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Biomass\sens_Price petroleum in Kenya\"/>
    </mc:Choice>
  </mc:AlternateContent>
  <xr:revisionPtr revIDLastSave="0" documentId="13_ncr:1_{5A960A2C-3127-475C-B053-007BC91E3E5F}" xr6:coauthVersionLast="45" xr6:coauthVersionMax="45" xr10:uidLastSave="{00000000-0000-0000-0000-000000000000}"/>
  <bookViews>
    <workbookView xWindow="768" yWindow="768" windowWidth="17280" windowHeight="8964" activeTab="1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6" l="1"/>
  <c r="C35" i="6"/>
  <c r="E2" i="1" s="1"/>
  <c r="C31" i="6"/>
  <c r="C34" i="6" s="1"/>
  <c r="F2" i="4" s="1"/>
  <c r="C30" i="6"/>
  <c r="C32" i="6" s="1"/>
  <c r="G2" i="3" s="1"/>
  <c r="C29" i="6"/>
  <c r="C26" i="6"/>
  <c r="C24" i="6"/>
  <c r="C23" i="6"/>
  <c r="C22" i="6"/>
  <c r="C15" i="6"/>
  <c r="C6" i="6"/>
  <c r="C5" i="6"/>
  <c r="C28" i="6" s="1"/>
  <c r="C25" i="6" s="1"/>
  <c r="C27" i="6" s="1"/>
  <c r="C33" i="6" s="1"/>
  <c r="G3" i="3" s="1"/>
  <c r="C3" i="6"/>
  <c r="C2" i="2" l="1"/>
</calcChain>
</file>

<file path=xl/sharedStrings.xml><?xml version="1.0" encoding="utf-8"?>
<sst xmlns="http://schemas.openxmlformats.org/spreadsheetml/2006/main" count="307" uniqueCount="263">
  <si>
    <t>row</t>
  </si>
  <si>
    <t>col</t>
  </si>
  <si>
    <t>type</t>
  </si>
  <si>
    <t>value</t>
  </si>
  <si>
    <t>Electricity and Heat</t>
  </si>
  <si>
    <t>Electricity (production)</t>
  </si>
  <si>
    <t>Percentage</t>
  </si>
  <si>
    <t>Metals and machines (commodity)</t>
  </si>
  <si>
    <t>level_row</t>
  </si>
  <si>
    <t>level_col</t>
  </si>
  <si>
    <t>aggregated</t>
  </si>
  <si>
    <t>Commodities</t>
  </si>
  <si>
    <t>Petroleum (commodity)</t>
  </si>
  <si>
    <t>Activities</t>
  </si>
  <si>
    <t>Absolute</t>
  </si>
  <si>
    <t>No</t>
  </si>
  <si>
    <t>Fertilizers 0 Nitrogen (commodity)</t>
  </si>
  <si>
    <t>High Rainfall (commercial production)</t>
  </si>
  <si>
    <t>Capital (non 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</si>
  <si>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</si>
  <si>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</si>
  <si>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</si>
  <si>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</si>
  <si>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</si>
  <si>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</si>
  <si>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</si>
  <si>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</si>
  <si>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</si>
  <si>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</si>
  <si>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</si>
  <si>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</si>
  <si>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</si>
  <si>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</si>
  <si>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</si>
  <si>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</si>
  <si>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</si>
  <si>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</si>
  <si>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</si>
  <si>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</si>
  <si>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</si>
  <si>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</si>
  <si>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</si>
  <si>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</si>
  <si>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</si>
  <si>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</si>
  <si>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</si>
  <si>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</si>
  <si>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</si>
  <si>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</si>
  <si>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</si>
  <si>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</si>
  <si>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</si>
  <si>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</si>
  <si>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</si>
  <si>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</si>
  <si>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</si>
  <si>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</si>
  <si>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</si>
  <si>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</si>
  <si>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</si>
  <si>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</si>
  <si>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</si>
  <si>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</si>
  <si>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</si>
  <si>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</si>
  <si>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</si>
  <si>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</si>
  <si>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</si>
  <si>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</si>
  <si>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</si>
  <si>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</si>
  <si>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</si>
  <si>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</si>
  <si>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</si>
  <si>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</si>
  <si>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</si>
  <si>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</si>
  <si>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</si>
  <si>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</si>
  <si>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</si>
  <si>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</si>
  <si>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</si>
  <si>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</si>
  <si>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</si>
  <si>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</si>
  <si>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</si>
  <si>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</si>
  <si>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</si>
  <si>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</si>
  <si>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</si>
  <si>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</si>
  <si>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</si>
  <si>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</si>
  <si>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</si>
  <si>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</si>
  <si>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</si>
  <si>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</si>
  <si>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</si>
  <si>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</si>
  <si>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</si>
  <si>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</si>
  <si>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</si>
  <si>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</si>
  <si>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Coffee (commodity)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</si>
  <si>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</si>
  <si>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</si>
  <si>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</si>
  <si>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</si>
  <si>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</si>
  <si>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</si>
  <si>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</si>
  <si>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</si>
  <si>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</si>
  <si>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</si>
  <si>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</si>
  <si>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</si>
  <si>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</si>
  <si>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</si>
  <si>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</si>
  <si>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</si>
  <si>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</si>
  <si>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</si>
  <si>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</si>
  <si>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</si>
  <si>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</si>
  <si>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</si>
  <si>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</si>
  <si>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</si>
  <si>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</si>
  <si>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</si>
  <si>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</si>
  <si>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</si>
  <si>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</si>
  <si>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</si>
  <si>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</si>
  <si>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</si>
  <si>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</si>
  <si>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</si>
  <si>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</si>
  <si>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</si>
  <si>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</si>
  <si>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</si>
  <si>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</si>
  <si>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</si>
  <si>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</si>
  <si>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</si>
  <si>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</si>
  <si>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</si>
  <si>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</si>
  <si>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</si>
  <si>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</si>
  <si>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</si>
  <si>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</si>
  <si>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</si>
  <si>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</si>
  <si>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</si>
  <si>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</si>
  <si>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</si>
  <si>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</si>
  <si>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</si>
  <si>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</si>
  <si>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</si>
  <si>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</si>
  <si>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</si>
  <si>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</si>
  <si>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</si>
  <si>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</si>
  <si>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</si>
  <si>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</si>
  <si>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</si>
  <si>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</si>
  <si>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</si>
  <si>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</si>
  <si>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</si>
  <si>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</si>
  <si>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</si>
  <si>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</si>
  <si>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</si>
  <si>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</si>
  <si>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</si>
  <si>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</si>
  <si>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</si>
  <si>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</si>
  <si>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Parmeter</t>
  </si>
  <si>
    <t>Reference Matrix</t>
  </si>
  <si>
    <t>Reference</t>
  </si>
  <si>
    <t>Specific cost of biodigester</t>
  </si>
  <si>
    <t>$/Nm3/h</t>
  </si>
  <si>
    <t>Specific cost of storage</t>
  </si>
  <si>
    <t>$/Nm3</t>
  </si>
  <si>
    <t>tbd</t>
  </si>
  <si>
    <t>Specific cost of generator</t>
  </si>
  <si>
    <t>$/kW</t>
  </si>
  <si>
    <t>Electricity produced in 1 year by the new plants</t>
  </si>
  <si>
    <t>GWh</t>
  </si>
  <si>
    <t>Calliope (to be changed for every different number of GenSets)</t>
  </si>
  <si>
    <t>Carbon intensity of electricity production from heavy fuel oil</t>
  </si>
  <si>
    <t>kgCO2/kWh</t>
  </si>
  <si>
    <t>https://www.engineeringtoolbox.com/co2-emission-fuels-d_1085.html</t>
  </si>
  <si>
    <t>Public electricity and heat production CO2 emissions</t>
  </si>
  <si>
    <t>kton</t>
  </si>
  <si>
    <t>JRC SAM + EORA @2014 (own elaboration)</t>
  </si>
  <si>
    <t>Efficiency of the old diesel generator</t>
  </si>
  <si>
    <t>Exchange rate $ to Sh</t>
  </si>
  <si>
    <t>Sh/$</t>
  </si>
  <si>
    <t>Heating value petroleum</t>
  </si>
  <si>
    <t>MJ/kg</t>
  </si>
  <si>
    <t>https://www.engineeringtoolbox.com/fuels-higher-calorific-values-d_169.html</t>
  </si>
  <si>
    <t>Density petroleum</t>
  </si>
  <si>
    <t>kg/L</t>
  </si>
  <si>
    <t>Price petroleum in Kenya</t>
  </si>
  <si>
    <t>kSh/L</t>
  </si>
  <si>
    <t>Yes</t>
  </si>
  <si>
    <t>Z</t>
  </si>
  <si>
    <t>Useful life of the machines</t>
  </si>
  <si>
    <t>y</t>
  </si>
  <si>
    <t>Biomass to fertilizer rate</t>
  </si>
  <si>
    <t>tbc</t>
  </si>
  <si>
    <t>Labour Cost*</t>
  </si>
  <si>
    <t>MSh</t>
  </si>
  <si>
    <t>https://kenya.paylab.com/salaryinfo</t>
  </si>
  <si>
    <t>Size of Biodigester</t>
  </si>
  <si>
    <t>Nm3/h</t>
  </si>
  <si>
    <t>Size of Storage</t>
  </si>
  <si>
    <t>Nm3</t>
  </si>
  <si>
    <t>Size of Generator</t>
  </si>
  <si>
    <t>MW</t>
  </si>
  <si>
    <t>FU</t>
  </si>
  <si>
    <t>Number of GenSets</t>
  </si>
  <si>
    <t>-</t>
  </si>
  <si>
    <t>Assumptions</t>
  </si>
  <si>
    <t>Increase in the use of transport as commodity by cooperatives</t>
  </si>
  <si>
    <t>Cost of biodigester</t>
  </si>
  <si>
    <t>Cost of storage</t>
  </si>
  <si>
    <t>Cost of generator</t>
  </si>
  <si>
    <t>Ammonium nitrate production</t>
  </si>
  <si>
    <t>ton</t>
  </si>
  <si>
    <t>Price of fertilzer</t>
  </si>
  <si>
    <t>kSh/ton</t>
  </si>
  <si>
    <t>https://africafertilizer.org/kenya/#tab-id-3</t>
  </si>
  <si>
    <t>Value of avoided fertilizer N</t>
  </si>
  <si>
    <t>Used biomass</t>
  </si>
  <si>
    <t>Calliope</t>
  </si>
  <si>
    <t>Reduction in electricity sector carbon emission</t>
  </si>
  <si>
    <t xml:space="preserve">Decrease in use of Petroleum </t>
  </si>
  <si>
    <t>kSh</t>
  </si>
  <si>
    <t>Modeled</t>
  </si>
  <si>
    <t>Metals &amp; Machine investment (imported)</t>
  </si>
  <si>
    <t>Y</t>
  </si>
  <si>
    <t>Decrease in use of Petroleum</t>
  </si>
  <si>
    <t>Decrease in the use of Fertilzers N</t>
  </si>
  <si>
    <t>Increase in Capital (non agriculture)</t>
  </si>
  <si>
    <t>va</t>
  </si>
  <si>
    <t>Decrease in Electricity Carbon Footprint</t>
  </si>
  <si>
    <t>%</t>
  </si>
  <si>
    <t>s</t>
  </si>
  <si>
    <t>Functional Unit</t>
  </si>
  <si>
    <t>*** We have to aslo define a shock on the supply-use matrix directly for the options which had a zero initial value like petroleum!</t>
  </si>
  <si>
    <t>For every plant</t>
  </si>
  <si>
    <t>kSh/month</t>
  </si>
  <si>
    <t>Process Engineer Electrical &amp; Power Engineering</t>
  </si>
  <si>
    <t>Technician (1)</t>
  </si>
  <si>
    <t>Technician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</si>
</sst>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1" fillId="0" borderId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10" fillId="5" borderId="1" xfId="0" applyFont="1" applyFill="1" applyBorder="1"/>
    <xf numFmtId="0" fontId="11" fillId="5" borderId="0" xfId="2" applyFill="1"/>
    <xf numFmtId="9" fontId="0" fillId="4" borderId="0" xfId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9" fillId="0" borderId="0" xfId="0" applyFont="1" applyAlignment="1">
      <alignment vertical="center"/>
    </xf>
    <xf numFmtId="2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0" fillId="5" borderId="0" xfId="2" applyFont="1" applyFill="1"/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fricafertilizer.org/kenya/" TargetMode="External"/><Relationship Id="rId2" Type="http://schemas.openxmlformats.org/officeDocument/2006/relationships/hyperlink" Target="https://kenya.paylab.com/salaryinfo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9" sqref="C9"/>
    </sheetView>
  </sheetViews>
  <sheetFormatPr defaultColWidth="9.109375" defaultRowHeight="14.4" x14ac:dyDescent="0.3"/>
  <cols>
    <col min="1" max="1" width="8.21875" style="1" customWidth="1"/>
    <col min="2" max="2" width="16.88671875" style="1" bestFit="1" customWidth="1"/>
    <col min="3" max="3" width="19.6640625" style="1" bestFit="1" customWidth="1"/>
    <col min="4" max="4" width="10.109375" style="1" bestFit="1" customWidth="1"/>
    <col min="5" max="5" width="7.21875" style="1" bestFit="1" customWidth="1"/>
    <col min="6" max="6" width="9.109375" style="1" customWidth="1"/>
    <col min="7" max="16384" width="9.109375" style="1"/>
  </cols>
  <sheetData>
    <row r="1" spans="1:5" x14ac:dyDescent="0.3">
      <c r="B1" s="41" t="s">
        <v>0</v>
      </c>
      <c r="C1" s="41" t="s">
        <v>1</v>
      </c>
      <c r="D1" s="41" t="s">
        <v>2</v>
      </c>
      <c r="E1" s="41" t="s">
        <v>3</v>
      </c>
    </row>
    <row r="2" spans="1:5" x14ac:dyDescent="0.3">
      <c r="A2" s="41">
        <v>1</v>
      </c>
      <c r="B2" s="42" t="s">
        <v>4</v>
      </c>
      <c r="C2" s="43" t="s">
        <v>5</v>
      </c>
      <c r="D2" s="44" t="s">
        <v>6</v>
      </c>
      <c r="E2" s="45">
        <f>main!C35</f>
        <v>-2.5592417061611375E-2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C14" sqref="C14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1" t="s">
        <v>0</v>
      </c>
      <c r="C1" s="41" t="s">
        <v>3</v>
      </c>
    </row>
    <row r="2" spans="1:3" x14ac:dyDescent="0.3">
      <c r="A2" s="41">
        <v>1</v>
      </c>
      <c r="B2" s="43" t="s">
        <v>7</v>
      </c>
      <c r="C2" s="46">
        <f>main!C31</f>
        <v>0.99999999999967082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14" sqref="C14"/>
    </sheetView>
  </sheetViews>
  <sheetFormatPr defaultColWidth="9.109375" defaultRowHeight="14.4" x14ac:dyDescent="0.3"/>
  <cols>
    <col min="1" max="1" width="9.109375" style="1" customWidth="1"/>
    <col min="2" max="2" width="11.77734375" style="1" bestFit="1" customWidth="1"/>
    <col min="3" max="3" width="29" style="1" bestFit="1" customWidth="1"/>
    <col min="4" max="4" width="8.33203125" style="1" bestFit="1" customWidth="1"/>
    <col min="5" max="5" width="32.109375" style="1" bestFit="1" customWidth="1"/>
    <col min="6" max="6" width="8.109375" style="1" bestFit="1" customWidth="1"/>
    <col min="7" max="7" width="12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A1" s="2"/>
      <c r="B1" s="41" t="s">
        <v>8</v>
      </c>
      <c r="C1" s="41" t="s">
        <v>0</v>
      </c>
      <c r="D1" s="41" t="s">
        <v>9</v>
      </c>
      <c r="E1" s="41" t="s">
        <v>1</v>
      </c>
      <c r="F1" s="41" t="s">
        <v>2</v>
      </c>
      <c r="G1" s="41" t="s">
        <v>3</v>
      </c>
      <c r="H1" s="41" t="s">
        <v>10</v>
      </c>
    </row>
    <row r="2" spans="1:8" x14ac:dyDescent="0.3">
      <c r="A2" s="41">
        <v>1</v>
      </c>
      <c r="B2" s="44" t="s">
        <v>11</v>
      </c>
      <c r="C2" s="47" t="s">
        <v>12</v>
      </c>
      <c r="D2" s="44" t="s">
        <v>13</v>
      </c>
      <c r="E2" s="47" t="s">
        <v>5</v>
      </c>
      <c r="F2" s="44" t="s">
        <v>14</v>
      </c>
      <c r="G2" s="44">
        <f>main!C32</f>
        <v>-2034.5368916797486</v>
      </c>
      <c r="H2" s="46" t="s">
        <v>15</v>
      </c>
    </row>
    <row r="3" spans="1:8" x14ac:dyDescent="0.3">
      <c r="A3" s="41">
        <v>2</v>
      </c>
      <c r="B3" s="44" t="s">
        <v>11</v>
      </c>
      <c r="C3" s="47" t="s">
        <v>16</v>
      </c>
      <c r="D3" s="44" t="s">
        <v>13</v>
      </c>
      <c r="E3" s="47" t="s">
        <v>17</v>
      </c>
      <c r="F3" s="44" t="s">
        <v>14</v>
      </c>
      <c r="G3" s="48">
        <f>main!C33</f>
        <v>-1417.3333333333333</v>
      </c>
      <c r="H3" s="46" t="s">
        <v>15</v>
      </c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</sheetData>
  <dataValidations count="3">
    <dataValidation type="list" showInputMessage="1" showErrorMessage="1" sqref="B4:B5 D4:D5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15" sqref="D15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8.44140625" style="1" bestFit="1" customWidth="1"/>
    <col min="4" max="4" width="32.109375" style="1" bestFit="1" customWidth="1"/>
    <col min="5" max="5" width="11" style="1" bestFit="1" customWidth="1"/>
    <col min="6" max="6" width="9.109375" style="1" customWidth="1"/>
    <col min="7" max="7" width="11.109375" style="1" bestFit="1" customWidth="1"/>
    <col min="8" max="8" width="9.109375" style="1" customWidth="1"/>
    <col min="9" max="16384" width="9.109375" style="1"/>
  </cols>
  <sheetData>
    <row r="1" spans="1:7" x14ac:dyDescent="0.3">
      <c r="B1" s="41" t="s">
        <v>0</v>
      </c>
      <c r="C1" s="41" t="s">
        <v>9</v>
      </c>
      <c r="D1" s="41" t="s">
        <v>1</v>
      </c>
      <c r="E1" s="41" t="s">
        <v>2</v>
      </c>
      <c r="F1" s="41" t="s">
        <v>3</v>
      </c>
      <c r="G1" s="41" t="s">
        <v>10</v>
      </c>
    </row>
    <row r="2" spans="1:7" x14ac:dyDescent="0.3">
      <c r="A2" s="41">
        <v>1</v>
      </c>
      <c r="B2" s="43" t="s">
        <v>18</v>
      </c>
      <c r="C2" s="44" t="s">
        <v>13</v>
      </c>
      <c r="D2" s="47" t="s">
        <v>5</v>
      </c>
      <c r="E2" s="44" t="s">
        <v>14</v>
      </c>
      <c r="F2" s="49">
        <f>main!C34</f>
        <v>3.9999999999986831E-2</v>
      </c>
      <c r="G2" s="46" t="s">
        <v>15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B18" sqref="B18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11</v>
      </c>
      <c r="B1" s="5" t="s">
        <v>13</v>
      </c>
      <c r="C1" s="5" t="s">
        <v>19</v>
      </c>
      <c r="D1" s="1"/>
    </row>
    <row r="2" spans="1:4" x14ac:dyDescent="0.3">
      <c r="A2" t="s">
        <v>20</v>
      </c>
      <c r="B2" t="s">
        <v>21</v>
      </c>
      <c r="C2" t="s">
        <v>22</v>
      </c>
    </row>
    <row r="3" spans="1:4" x14ac:dyDescent="0.3">
      <c r="A3" t="s">
        <v>23</v>
      </c>
      <c r="B3" t="s">
        <v>24</v>
      </c>
      <c r="C3" t="s">
        <v>25</v>
      </c>
    </row>
    <row r="4" spans="1:4" x14ac:dyDescent="0.3">
      <c r="A4" t="s">
        <v>26</v>
      </c>
      <c r="B4" t="s">
        <v>27</v>
      </c>
      <c r="C4" t="s">
        <v>28</v>
      </c>
    </row>
    <row r="5" spans="1:4" x14ac:dyDescent="0.3">
      <c r="A5" t="s">
        <v>29</v>
      </c>
      <c r="B5" t="s">
        <v>30</v>
      </c>
      <c r="C5" t="s">
        <v>31</v>
      </c>
    </row>
    <row r="6" spans="1:4" x14ac:dyDescent="0.3">
      <c r="A6" t="s">
        <v>32</v>
      </c>
      <c r="B6" t="s">
        <v>33</v>
      </c>
      <c r="C6" t="s">
        <v>34</v>
      </c>
    </row>
    <row r="7" spans="1:4" x14ac:dyDescent="0.3">
      <c r="A7" t="s">
        <v>35</v>
      </c>
      <c r="B7" t="s">
        <v>36</v>
      </c>
      <c r="C7" t="s">
        <v>37</v>
      </c>
    </row>
    <row r="8" spans="1:4" x14ac:dyDescent="0.3">
      <c r="A8" t="s">
        <v>38</v>
      </c>
      <c r="B8" t="s">
        <v>39</v>
      </c>
      <c r="C8" t="s">
        <v>40</v>
      </c>
    </row>
    <row r="9" spans="1:4" x14ac:dyDescent="0.3">
      <c r="A9" t="s">
        <v>41</v>
      </c>
      <c r="B9" t="s">
        <v>42</v>
      </c>
      <c r="C9" t="s">
        <v>43</v>
      </c>
    </row>
    <row r="10" spans="1:4" x14ac:dyDescent="0.3">
      <c r="A10" t="s">
        <v>44</v>
      </c>
      <c r="B10" t="s">
        <v>17</v>
      </c>
      <c r="C10" t="s">
        <v>45</v>
      </c>
    </row>
    <row r="11" spans="1:4" x14ac:dyDescent="0.3">
      <c r="A11" t="s">
        <v>46</v>
      </c>
      <c r="B11" t="s">
        <v>47</v>
      </c>
      <c r="C11" t="s">
        <v>48</v>
      </c>
    </row>
    <row r="12" spans="1:4" x14ac:dyDescent="0.3">
      <c r="A12" t="s">
        <v>49</v>
      </c>
      <c r="B12" t="s">
        <v>50</v>
      </c>
      <c r="C12" t="s">
        <v>51</v>
      </c>
    </row>
    <row r="13" spans="1:4" x14ac:dyDescent="0.3">
      <c r="A13" t="s">
        <v>52</v>
      </c>
      <c r="B13" t="s">
        <v>53</v>
      </c>
      <c r="C13" t="s">
        <v>54</v>
      </c>
    </row>
    <row r="14" spans="1:4" x14ac:dyDescent="0.3">
      <c r="A14" t="s">
        <v>55</v>
      </c>
      <c r="B14" t="s">
        <v>56</v>
      </c>
      <c r="C14" t="s">
        <v>57</v>
      </c>
    </row>
    <row r="15" spans="1:4" x14ac:dyDescent="0.3">
      <c r="A15" t="s">
        <v>58</v>
      </c>
      <c r="B15" t="s">
        <v>59</v>
      </c>
      <c r="C15" t="s">
        <v>60</v>
      </c>
    </row>
    <row r="16" spans="1:4" x14ac:dyDescent="0.3">
      <c r="A16" t="s">
        <v>61</v>
      </c>
      <c r="B16" t="s">
        <v>62</v>
      </c>
      <c r="C16" t="s">
        <v>63</v>
      </c>
    </row>
    <row r="17" spans="1:3" x14ac:dyDescent="0.3">
      <c r="A17" t="s">
        <v>64</v>
      </c>
      <c r="B17" t="s">
        <v>65</v>
      </c>
      <c r="C17" t="s">
        <v>66</v>
      </c>
    </row>
    <row r="18" spans="1:3" x14ac:dyDescent="0.3">
      <c r="A18" t="s">
        <v>67</v>
      </c>
      <c r="B18" t="s">
        <v>68</v>
      </c>
      <c r="C18" t="s">
        <v>69</v>
      </c>
    </row>
    <row r="19" spans="1:3" x14ac:dyDescent="0.3">
      <c r="A19" t="s">
        <v>70</v>
      </c>
      <c r="B19" t="s">
        <v>71</v>
      </c>
      <c r="C19" t="s">
        <v>72</v>
      </c>
    </row>
    <row r="20" spans="1:3" x14ac:dyDescent="0.3">
      <c r="A20" t="s">
        <v>73</v>
      </c>
      <c r="B20" t="s">
        <v>74</v>
      </c>
      <c r="C20" t="s">
        <v>75</v>
      </c>
    </row>
    <row r="21" spans="1:3" x14ac:dyDescent="0.3">
      <c r="A21" t="s">
        <v>76</v>
      </c>
      <c r="B21" t="s">
        <v>77</v>
      </c>
      <c r="C21" t="s">
        <v>78</v>
      </c>
    </row>
    <row r="22" spans="1:3" x14ac:dyDescent="0.3">
      <c r="A22" t="s">
        <v>79</v>
      </c>
      <c r="B22" t="s">
        <v>80</v>
      </c>
      <c r="C22" t="s">
        <v>81</v>
      </c>
    </row>
    <row r="23" spans="1:3" x14ac:dyDescent="0.3">
      <c r="A23" t="s">
        <v>82</v>
      </c>
      <c r="B23" t="s">
        <v>83</v>
      </c>
      <c r="C23" t="s">
        <v>84</v>
      </c>
    </row>
    <row r="24" spans="1:3" x14ac:dyDescent="0.3">
      <c r="A24" t="s">
        <v>85</v>
      </c>
      <c r="B24" t="s">
        <v>86</v>
      </c>
      <c r="C24" t="s">
        <v>87</v>
      </c>
    </row>
    <row r="25" spans="1:3" x14ac:dyDescent="0.3">
      <c r="A25" t="s">
        <v>88</v>
      </c>
      <c r="B25" t="s">
        <v>89</v>
      </c>
      <c r="C25" t="s">
        <v>90</v>
      </c>
    </row>
    <row r="26" spans="1:3" x14ac:dyDescent="0.3">
      <c r="A26" t="s">
        <v>91</v>
      </c>
      <c r="B26" t="s">
        <v>92</v>
      </c>
      <c r="C26" t="s">
        <v>93</v>
      </c>
    </row>
    <row r="27" spans="1:3" x14ac:dyDescent="0.3">
      <c r="A27" t="s">
        <v>94</v>
      </c>
      <c r="B27" t="s">
        <v>95</v>
      </c>
      <c r="C27" t="s">
        <v>96</v>
      </c>
    </row>
    <row r="28" spans="1:3" x14ac:dyDescent="0.3">
      <c r="A28" t="s">
        <v>97</v>
      </c>
      <c r="B28" t="s">
        <v>98</v>
      </c>
      <c r="C28" t="s">
        <v>99</v>
      </c>
    </row>
    <row r="29" spans="1:3" x14ac:dyDescent="0.3">
      <c r="A29" t="s">
        <v>100</v>
      </c>
      <c r="B29" t="s">
        <v>101</v>
      </c>
      <c r="C29" t="s">
        <v>102</v>
      </c>
    </row>
    <row r="30" spans="1:3" x14ac:dyDescent="0.3">
      <c r="A30" t="s">
        <v>103</v>
      </c>
      <c r="B30" t="s">
        <v>104</v>
      </c>
      <c r="C30" t="s">
        <v>105</v>
      </c>
    </row>
    <row r="31" spans="1:3" x14ac:dyDescent="0.3">
      <c r="A31" t="s">
        <v>106</v>
      </c>
      <c r="B31" t="s">
        <v>107</v>
      </c>
      <c r="C31" t="s">
        <v>108</v>
      </c>
    </row>
    <row r="32" spans="1:3" x14ac:dyDescent="0.3">
      <c r="A32" t="s">
        <v>109</v>
      </c>
      <c r="B32" t="s">
        <v>110</v>
      </c>
      <c r="C32" t="s">
        <v>111</v>
      </c>
    </row>
    <row r="33" spans="1:3" x14ac:dyDescent="0.3">
      <c r="A33" t="s">
        <v>112</v>
      </c>
      <c r="B33" t="s">
        <v>113</v>
      </c>
      <c r="C33" t="s">
        <v>18</v>
      </c>
    </row>
    <row r="34" spans="1:3" x14ac:dyDescent="0.3">
      <c r="A34" t="s">
        <v>114</v>
      </c>
      <c r="B34" t="s">
        <v>115</v>
      </c>
      <c r="C34" t="s">
        <v>116</v>
      </c>
    </row>
    <row r="35" spans="1:3" x14ac:dyDescent="0.3">
      <c r="A35" t="s">
        <v>117</v>
      </c>
      <c r="B35" t="s">
        <v>118</v>
      </c>
      <c r="C35" t="s">
        <v>119</v>
      </c>
    </row>
    <row r="36" spans="1:3" x14ac:dyDescent="0.3">
      <c r="A36" t="s">
        <v>120</v>
      </c>
      <c r="B36" t="s">
        <v>121</v>
      </c>
      <c r="C36" t="s">
        <v>122</v>
      </c>
    </row>
    <row r="37" spans="1:3" x14ac:dyDescent="0.3">
      <c r="A37" t="s">
        <v>123</v>
      </c>
      <c r="B37" t="s">
        <v>124</v>
      </c>
      <c r="C37" t="s">
        <v>125</v>
      </c>
    </row>
    <row r="38" spans="1:3" x14ac:dyDescent="0.3">
      <c r="A38" t="s">
        <v>126</v>
      </c>
      <c r="B38" t="s">
        <v>127</v>
      </c>
    </row>
    <row r="39" spans="1:3" x14ac:dyDescent="0.3">
      <c r="A39" t="s">
        <v>128</v>
      </c>
      <c r="B39" t="s">
        <v>129</v>
      </c>
    </row>
    <row r="40" spans="1:3" x14ac:dyDescent="0.3">
      <c r="A40" t="s">
        <v>130</v>
      </c>
      <c r="B40" t="s">
        <v>131</v>
      </c>
    </row>
    <row r="41" spans="1:3" x14ac:dyDescent="0.3">
      <c r="A41" t="s">
        <v>132</v>
      </c>
      <c r="B41" t="s">
        <v>133</v>
      </c>
    </row>
    <row r="42" spans="1:3" x14ac:dyDescent="0.3">
      <c r="A42" t="s">
        <v>134</v>
      </c>
      <c r="B42" t="s">
        <v>135</v>
      </c>
    </row>
    <row r="43" spans="1:3" x14ac:dyDescent="0.3">
      <c r="A43" t="s">
        <v>136</v>
      </c>
      <c r="B43" t="s">
        <v>5</v>
      </c>
    </row>
    <row r="44" spans="1:3" x14ac:dyDescent="0.3">
      <c r="A44" t="s">
        <v>137</v>
      </c>
      <c r="B44" t="s">
        <v>138</v>
      </c>
    </row>
    <row r="45" spans="1:3" x14ac:dyDescent="0.3">
      <c r="A45" t="s">
        <v>139</v>
      </c>
      <c r="B45" t="s">
        <v>140</v>
      </c>
    </row>
    <row r="46" spans="1:3" x14ac:dyDescent="0.3">
      <c r="A46" t="s">
        <v>141</v>
      </c>
      <c r="B46" t="s">
        <v>142</v>
      </c>
    </row>
    <row r="47" spans="1:3" x14ac:dyDescent="0.3">
      <c r="A47" t="s">
        <v>143</v>
      </c>
      <c r="B47" t="s">
        <v>144</v>
      </c>
    </row>
    <row r="48" spans="1:3" x14ac:dyDescent="0.3">
      <c r="A48" t="s">
        <v>145</v>
      </c>
      <c r="B48" t="s">
        <v>146</v>
      </c>
    </row>
    <row r="49" spans="1:2" x14ac:dyDescent="0.3">
      <c r="A49" t="s">
        <v>147</v>
      </c>
      <c r="B49" t="s">
        <v>148</v>
      </c>
    </row>
    <row r="50" spans="1:2" x14ac:dyDescent="0.3">
      <c r="A50" t="s">
        <v>149</v>
      </c>
      <c r="B50" t="s">
        <v>150</v>
      </c>
    </row>
    <row r="51" spans="1:2" x14ac:dyDescent="0.3">
      <c r="A51" t="s">
        <v>12</v>
      </c>
      <c r="B51" t="s">
        <v>151</v>
      </c>
    </row>
    <row r="52" spans="1:2" x14ac:dyDescent="0.3">
      <c r="A52" t="s">
        <v>152</v>
      </c>
      <c r="B52" t="s">
        <v>153</v>
      </c>
    </row>
    <row r="53" spans="1:2" x14ac:dyDescent="0.3">
      <c r="A53" t="s">
        <v>16</v>
      </c>
      <c r="B53" t="s">
        <v>154</v>
      </c>
    </row>
    <row r="54" spans="1:2" x14ac:dyDescent="0.3">
      <c r="A54" t="s">
        <v>155</v>
      </c>
      <c r="B54" t="s">
        <v>156</v>
      </c>
    </row>
    <row r="55" spans="1:2" x14ac:dyDescent="0.3">
      <c r="A55" t="s">
        <v>157</v>
      </c>
      <c r="B55" t="s">
        <v>158</v>
      </c>
    </row>
    <row r="56" spans="1:2" x14ac:dyDescent="0.3">
      <c r="A56" t="s">
        <v>7</v>
      </c>
    </row>
    <row r="57" spans="1:2" x14ac:dyDescent="0.3">
      <c r="A57" t="s">
        <v>159</v>
      </c>
    </row>
    <row r="58" spans="1:2" x14ac:dyDescent="0.3">
      <c r="A58" t="s">
        <v>160</v>
      </c>
    </row>
    <row r="59" spans="1:2" x14ac:dyDescent="0.3">
      <c r="A59" t="s">
        <v>161</v>
      </c>
    </row>
    <row r="60" spans="1:2" x14ac:dyDescent="0.3">
      <c r="A60" t="s">
        <v>162</v>
      </c>
    </row>
    <row r="61" spans="1:2" x14ac:dyDescent="0.3">
      <c r="A61" t="s">
        <v>163</v>
      </c>
    </row>
    <row r="62" spans="1:2" x14ac:dyDescent="0.3">
      <c r="A62" t="s">
        <v>164</v>
      </c>
    </row>
    <row r="63" spans="1:2" x14ac:dyDescent="0.3">
      <c r="A63" t="s">
        <v>165</v>
      </c>
    </row>
    <row r="64" spans="1:2" x14ac:dyDescent="0.3">
      <c r="A64" t="s">
        <v>166</v>
      </c>
    </row>
    <row r="65" spans="1:1" x14ac:dyDescent="0.3">
      <c r="A65" t="s">
        <v>167</v>
      </c>
    </row>
    <row r="66" spans="1:1" x14ac:dyDescent="0.3">
      <c r="A66" t="s">
        <v>168</v>
      </c>
    </row>
    <row r="67" spans="1:1" x14ac:dyDescent="0.3">
      <c r="A67" t="s">
        <v>169</v>
      </c>
    </row>
    <row r="68" spans="1:1" x14ac:dyDescent="0.3">
      <c r="A68" t="s">
        <v>170</v>
      </c>
    </row>
    <row r="69" spans="1:1" x14ac:dyDescent="0.3">
      <c r="A69" t="s">
        <v>171</v>
      </c>
    </row>
    <row r="70" spans="1:1" x14ac:dyDescent="0.3">
      <c r="A70" t="s">
        <v>172</v>
      </c>
    </row>
    <row r="71" spans="1:1" x14ac:dyDescent="0.3">
      <c r="A71" t="s">
        <v>173</v>
      </c>
    </row>
    <row r="72" spans="1:1" x14ac:dyDescent="0.3">
      <c r="A72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5"/>
  <sheetViews>
    <sheetView topLeftCell="A16" zoomScale="115" zoomScaleNormal="115" workbookViewId="0">
      <selection activeCell="G24" sqref="G24"/>
    </sheetView>
  </sheetViews>
  <sheetFormatPr defaultRowHeight="14.4" x14ac:dyDescent="0.3"/>
  <cols>
    <col min="1" max="1" width="10" style="7" customWidth="1"/>
    <col min="2" max="2" width="62.6640625" style="6" customWidth="1"/>
    <col min="3" max="3" width="13.5546875" style="7" bestFit="1" customWidth="1"/>
    <col min="4" max="4" width="13.5546875" style="7" customWidth="1"/>
    <col min="5" max="5" width="10.109375" style="7" bestFit="1" customWidth="1"/>
    <col min="6" max="6" width="10.109375" style="7" customWidth="1"/>
    <col min="7" max="7" width="13.88671875" style="7" bestFit="1" customWidth="1"/>
    <col min="8" max="9" width="13.88671875" style="7" customWidth="1"/>
    <col min="10" max="10" width="14.8867187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175</v>
      </c>
      <c r="B1" s="9" t="s">
        <v>176</v>
      </c>
      <c r="C1" s="10" t="s">
        <v>177</v>
      </c>
      <c r="D1" s="10" t="s">
        <v>178</v>
      </c>
      <c r="E1" s="10" t="s">
        <v>179</v>
      </c>
      <c r="F1" s="10" t="s">
        <v>180</v>
      </c>
      <c r="G1" s="10" t="s">
        <v>181</v>
      </c>
      <c r="H1" s="10" t="s">
        <v>182</v>
      </c>
      <c r="I1" s="10" t="s">
        <v>183</v>
      </c>
      <c r="J1" s="10" t="s">
        <v>184</v>
      </c>
      <c r="K1" s="10" t="s">
        <v>185</v>
      </c>
    </row>
    <row r="2" spans="1:11" x14ac:dyDescent="0.3">
      <c r="A2" s="54"/>
      <c r="B2" s="13" t="s">
        <v>186</v>
      </c>
      <c r="C2" s="19">
        <v>10000</v>
      </c>
      <c r="D2" s="19" t="s">
        <v>187</v>
      </c>
      <c r="E2" s="19"/>
      <c r="F2" s="19"/>
      <c r="G2" s="19"/>
      <c r="H2" s="19"/>
      <c r="I2" s="19"/>
      <c r="J2" s="14"/>
      <c r="K2" s="14"/>
    </row>
    <row r="3" spans="1:11" x14ac:dyDescent="0.3">
      <c r="A3" s="51"/>
      <c r="B3" s="13" t="s">
        <v>188</v>
      </c>
      <c r="C3" s="36">
        <f>C20</f>
        <v>0</v>
      </c>
      <c r="D3" s="19" t="s">
        <v>189</v>
      </c>
      <c r="E3" s="19"/>
      <c r="F3" s="19"/>
      <c r="G3" s="19"/>
      <c r="H3" s="19"/>
      <c r="I3" s="19"/>
      <c r="J3" s="14"/>
      <c r="K3" s="14" t="s">
        <v>190</v>
      </c>
    </row>
    <row r="4" spans="1:11" x14ac:dyDescent="0.3">
      <c r="A4" s="51"/>
      <c r="B4" s="13" t="s">
        <v>191</v>
      </c>
      <c r="C4" s="19">
        <v>500</v>
      </c>
      <c r="D4" s="19" t="s">
        <v>192</v>
      </c>
      <c r="E4" s="19"/>
      <c r="F4" s="19"/>
      <c r="G4" s="19"/>
      <c r="H4" s="19"/>
      <c r="I4" s="19"/>
      <c r="J4" s="14"/>
      <c r="K4" s="14"/>
    </row>
    <row r="5" spans="1:11" x14ac:dyDescent="0.3">
      <c r="A5" s="51"/>
      <c r="B5" s="29" t="s">
        <v>193</v>
      </c>
      <c r="C5" s="19">
        <f>17/17*80</f>
        <v>80</v>
      </c>
      <c r="D5" s="19" t="s">
        <v>194</v>
      </c>
      <c r="E5" s="19"/>
      <c r="F5" s="19"/>
      <c r="G5" s="19"/>
      <c r="H5" s="19"/>
      <c r="I5" s="19"/>
      <c r="J5" s="14"/>
      <c r="K5" s="14" t="s">
        <v>195</v>
      </c>
    </row>
    <row r="6" spans="1:11" x14ac:dyDescent="0.3">
      <c r="A6" s="51"/>
      <c r="B6" s="29" t="s">
        <v>196</v>
      </c>
      <c r="C6" s="32">
        <f>0.27</f>
        <v>0.27</v>
      </c>
      <c r="D6" s="19" t="s">
        <v>197</v>
      </c>
      <c r="E6" s="19"/>
      <c r="F6" s="19"/>
      <c r="G6" s="19"/>
      <c r="H6" s="19"/>
      <c r="I6" s="19"/>
      <c r="J6" s="14"/>
      <c r="K6" s="30" t="s">
        <v>198</v>
      </c>
    </row>
    <row r="7" spans="1:11" x14ac:dyDescent="0.3">
      <c r="A7" s="51"/>
      <c r="B7" s="29" t="s">
        <v>199</v>
      </c>
      <c r="C7" s="32">
        <v>2110</v>
      </c>
      <c r="D7" s="19" t="s">
        <v>200</v>
      </c>
      <c r="E7" s="19"/>
      <c r="F7" s="19"/>
      <c r="G7" s="19"/>
      <c r="H7" s="19"/>
      <c r="I7" s="19"/>
      <c r="J7" s="14"/>
      <c r="K7" s="37" t="s">
        <v>201</v>
      </c>
    </row>
    <row r="8" spans="1:11" x14ac:dyDescent="0.3">
      <c r="A8" s="51"/>
      <c r="B8" s="13" t="s">
        <v>202</v>
      </c>
      <c r="C8" s="19">
        <v>0.4</v>
      </c>
      <c r="D8" s="19"/>
      <c r="E8" s="19"/>
      <c r="F8" s="19"/>
      <c r="G8" s="19"/>
      <c r="H8" s="19"/>
      <c r="I8" s="19"/>
      <c r="J8" s="14"/>
      <c r="K8" s="14"/>
    </row>
    <row r="9" spans="1:11" x14ac:dyDescent="0.3">
      <c r="A9" s="51"/>
      <c r="B9" s="13" t="s">
        <v>203</v>
      </c>
      <c r="C9" s="19">
        <v>106.3</v>
      </c>
      <c r="D9" s="19" t="s">
        <v>204</v>
      </c>
      <c r="E9" s="19"/>
      <c r="F9" s="19"/>
      <c r="G9" s="19"/>
      <c r="H9" s="19"/>
      <c r="I9" s="19"/>
      <c r="J9" s="14"/>
      <c r="K9" s="14"/>
    </row>
    <row r="10" spans="1:11" x14ac:dyDescent="0.3">
      <c r="A10" s="51"/>
      <c r="B10" s="13" t="s">
        <v>205</v>
      </c>
      <c r="C10" s="19">
        <v>39</v>
      </c>
      <c r="D10" s="19" t="s">
        <v>206</v>
      </c>
      <c r="E10" s="19"/>
      <c r="F10" s="19"/>
      <c r="G10" s="19"/>
      <c r="H10" s="19"/>
      <c r="I10" s="19"/>
      <c r="J10" s="14"/>
      <c r="K10" s="14" t="s">
        <v>207</v>
      </c>
    </row>
    <row r="11" spans="1:11" x14ac:dyDescent="0.3">
      <c r="A11" s="51"/>
      <c r="B11" s="13" t="s">
        <v>208</v>
      </c>
      <c r="C11" s="19">
        <v>0.98</v>
      </c>
      <c r="D11" s="19" t="s">
        <v>209</v>
      </c>
      <c r="E11" s="19"/>
      <c r="F11" s="19"/>
      <c r="G11" s="19"/>
      <c r="H11" s="19"/>
      <c r="I11" s="19"/>
      <c r="J11" s="14"/>
      <c r="K11" s="14" t="s">
        <v>207</v>
      </c>
    </row>
    <row r="12" spans="1:11" x14ac:dyDescent="0.3">
      <c r="A12" s="51"/>
      <c r="B12" s="13" t="s">
        <v>210</v>
      </c>
      <c r="C12" s="19">
        <v>0.108</v>
      </c>
      <c r="D12" s="19" t="s">
        <v>211</v>
      </c>
      <c r="E12" s="19" t="s">
        <v>212</v>
      </c>
      <c r="F12" s="19">
        <v>0.107</v>
      </c>
      <c r="G12" s="19">
        <v>0.112</v>
      </c>
      <c r="H12" s="19">
        <v>1E-3</v>
      </c>
      <c r="I12" s="19" t="s">
        <v>213</v>
      </c>
      <c r="J12" s="14"/>
      <c r="K12" s="14"/>
    </row>
    <row r="13" spans="1:11" x14ac:dyDescent="0.3">
      <c r="A13" s="51"/>
      <c r="B13" s="13" t="s">
        <v>214</v>
      </c>
      <c r="C13" s="19">
        <v>25</v>
      </c>
      <c r="D13" s="19" t="s">
        <v>215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1"/>
      <c r="B14" s="13" t="s">
        <v>216</v>
      </c>
      <c r="C14" s="19">
        <v>0.3</v>
      </c>
      <c r="D14" s="19"/>
      <c r="E14" s="19"/>
      <c r="F14" s="19"/>
      <c r="G14" s="19"/>
      <c r="H14" s="19"/>
      <c r="I14" s="19"/>
      <c r="J14" s="14"/>
      <c r="K14" s="14" t="s">
        <v>217</v>
      </c>
    </row>
    <row r="15" spans="1:11" x14ac:dyDescent="0.3">
      <c r="A15" s="51"/>
      <c r="B15" s="13" t="s">
        <v>218</v>
      </c>
      <c r="C15" s="19">
        <f>C19*(C43+C44+C45)*12/(10^6)</f>
        <v>6.5851364063948216E-3</v>
      </c>
      <c r="D15" s="19" t="s">
        <v>219</v>
      </c>
      <c r="E15" s="19"/>
      <c r="F15" s="19"/>
      <c r="G15" s="19"/>
      <c r="H15" s="19"/>
      <c r="I15" s="19"/>
      <c r="J15" s="14"/>
      <c r="K15" s="30" t="s">
        <v>220</v>
      </c>
    </row>
    <row r="16" spans="1:11" x14ac:dyDescent="0.3">
      <c r="A16" s="51"/>
      <c r="B16" s="13" t="s">
        <v>221</v>
      </c>
      <c r="C16" s="19">
        <v>250</v>
      </c>
      <c r="D16" s="19" t="s">
        <v>222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51"/>
      <c r="B17" s="13" t="s">
        <v>223</v>
      </c>
      <c r="C17" s="28">
        <v>250000</v>
      </c>
      <c r="D17" s="19" t="s">
        <v>224</v>
      </c>
      <c r="E17" s="14"/>
      <c r="F17" s="14"/>
      <c r="G17" s="19"/>
      <c r="H17" s="19"/>
      <c r="I17" s="19"/>
      <c r="J17" s="14"/>
      <c r="K17" s="14"/>
    </row>
    <row r="18" spans="1:11" x14ac:dyDescent="0.3">
      <c r="A18" s="51"/>
      <c r="B18" s="13" t="s">
        <v>225</v>
      </c>
      <c r="C18" s="19">
        <v>1</v>
      </c>
      <c r="D18" s="19" t="s">
        <v>226</v>
      </c>
      <c r="E18" s="19"/>
      <c r="F18" s="19"/>
      <c r="G18" s="19"/>
      <c r="H18" s="19"/>
      <c r="I18" s="19"/>
      <c r="J18" s="14"/>
      <c r="K18" s="14"/>
    </row>
    <row r="19" spans="1:11" x14ac:dyDescent="0.3">
      <c r="A19" s="33" t="s">
        <v>227</v>
      </c>
      <c r="B19" s="38" t="s">
        <v>228</v>
      </c>
      <c r="C19" s="39">
        <v>3.1357792411403911E-3</v>
      </c>
      <c r="D19" s="39" t="s">
        <v>229</v>
      </c>
      <c r="E19" s="39"/>
      <c r="F19" s="39"/>
      <c r="G19" s="39"/>
      <c r="H19" s="39"/>
      <c r="I19" s="39"/>
      <c r="J19" s="40"/>
      <c r="K19" s="40"/>
    </row>
    <row r="20" spans="1:11" x14ac:dyDescent="0.3">
      <c r="A20" s="53" t="s">
        <v>230</v>
      </c>
      <c r="B20" s="12" t="s">
        <v>188</v>
      </c>
      <c r="C20" s="34">
        <v>0</v>
      </c>
      <c r="D20" s="20" t="s">
        <v>189</v>
      </c>
      <c r="E20" s="20"/>
      <c r="F20" s="20"/>
      <c r="G20" s="20"/>
      <c r="H20" s="20"/>
      <c r="I20" s="20"/>
      <c r="J20" s="17"/>
      <c r="K20" s="17"/>
    </row>
    <row r="21" spans="1:11" x14ac:dyDescent="0.3">
      <c r="A21" s="51"/>
      <c r="B21" s="12" t="s">
        <v>231</v>
      </c>
      <c r="C21" s="31">
        <v>0.3</v>
      </c>
      <c r="D21" s="20"/>
      <c r="E21" s="20"/>
      <c r="F21" s="20"/>
      <c r="G21" s="20"/>
      <c r="H21" s="20"/>
      <c r="I21" s="20"/>
      <c r="J21" s="17"/>
      <c r="K21" s="17"/>
    </row>
    <row r="22" spans="1:11" x14ac:dyDescent="0.3">
      <c r="A22" s="52"/>
      <c r="B22" s="24" t="s">
        <v>232</v>
      </c>
      <c r="C22" s="22">
        <f>C2*C16*C19*C9/(10^6)</f>
        <v>0.83333333333305903</v>
      </c>
      <c r="D22" s="22" t="s">
        <v>219</v>
      </c>
      <c r="E22" s="22"/>
      <c r="F22" s="22"/>
      <c r="G22" s="22"/>
      <c r="H22" s="22"/>
      <c r="I22" s="22"/>
      <c r="J22" s="18"/>
      <c r="K22" s="18"/>
    </row>
    <row r="23" spans="1:11" x14ac:dyDescent="0.3">
      <c r="A23" s="51"/>
      <c r="B23" s="24" t="s">
        <v>233</v>
      </c>
      <c r="C23" s="22">
        <f>C20*C17*C19*C9/(10^6)</f>
        <v>0</v>
      </c>
      <c r="D23" s="22" t="s">
        <v>219</v>
      </c>
      <c r="E23" s="22"/>
      <c r="F23" s="22"/>
      <c r="G23" s="22"/>
      <c r="H23" s="22"/>
      <c r="I23" s="22"/>
      <c r="J23" s="18"/>
      <c r="K23" s="18"/>
    </row>
    <row r="24" spans="1:11" x14ac:dyDescent="0.3">
      <c r="A24" s="51"/>
      <c r="B24" s="24" t="s">
        <v>234</v>
      </c>
      <c r="C24" s="22">
        <f>C4*C18*C19*1000*C9/(10^6)</f>
        <v>0.16666666666661178</v>
      </c>
      <c r="D24" s="22" t="s">
        <v>219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1"/>
      <c r="B25" s="24" t="s">
        <v>235</v>
      </c>
      <c r="C25" s="26">
        <f>C28*C14</f>
        <v>26666.666666666668</v>
      </c>
      <c r="D25" s="22" t="s">
        <v>236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1"/>
      <c r="B26" s="24" t="s">
        <v>237</v>
      </c>
      <c r="C26" s="22">
        <f>500*C9/1000</f>
        <v>53.15</v>
      </c>
      <c r="D26" s="22" t="s">
        <v>238</v>
      </c>
      <c r="E26" s="22"/>
      <c r="F26" s="22"/>
      <c r="G26" s="22"/>
      <c r="H26" s="22"/>
      <c r="I26" s="22"/>
      <c r="J26" s="18"/>
      <c r="K26" s="18" t="s">
        <v>239</v>
      </c>
    </row>
    <row r="27" spans="1:11" x14ac:dyDescent="0.3">
      <c r="A27" s="51"/>
      <c r="B27" s="24" t="s">
        <v>240</v>
      </c>
      <c r="C27" s="22">
        <f>C26*C25/1000</f>
        <v>1417.3333333333333</v>
      </c>
      <c r="D27" s="22" t="s">
        <v>219</v>
      </c>
      <c r="E27" s="22"/>
      <c r="F27" s="22"/>
      <c r="G27" s="22"/>
      <c r="H27" s="22"/>
      <c r="I27" s="22"/>
      <c r="J27" s="18"/>
      <c r="K27" s="18"/>
    </row>
    <row r="28" spans="1:11" x14ac:dyDescent="0.3">
      <c r="A28" s="51"/>
      <c r="B28" s="24" t="s">
        <v>241</v>
      </c>
      <c r="C28" s="26">
        <f>C5/0.45/10/200*10^6</f>
        <v>88888.888888888891</v>
      </c>
      <c r="D28" s="22" t="s">
        <v>236</v>
      </c>
      <c r="E28" s="22"/>
      <c r="F28" s="22"/>
      <c r="G28" s="22"/>
      <c r="H28" s="22"/>
      <c r="I28" s="22"/>
      <c r="J28" s="18"/>
      <c r="K28" s="18" t="s">
        <v>242</v>
      </c>
    </row>
    <row r="29" spans="1:11" x14ac:dyDescent="0.3">
      <c r="A29" s="51"/>
      <c r="B29" s="24" t="s">
        <v>243</v>
      </c>
      <c r="C29" s="26">
        <f>C5*C6/C8</f>
        <v>54</v>
      </c>
      <c r="D29" s="22" t="s">
        <v>200</v>
      </c>
      <c r="E29" s="22"/>
      <c r="F29" s="22"/>
      <c r="G29" s="22"/>
      <c r="H29" s="22"/>
      <c r="I29" s="22"/>
      <c r="J29" s="18"/>
      <c r="K29" s="18"/>
    </row>
    <row r="30" spans="1:11" x14ac:dyDescent="0.3">
      <c r="A30" s="51"/>
      <c r="B30" s="24" t="s">
        <v>244</v>
      </c>
      <c r="C30" s="26">
        <f>C5/C8*1000*3600/C10/C11*C12/1000</f>
        <v>2034.5368916797486</v>
      </c>
      <c r="D30" s="22" t="s">
        <v>245</v>
      </c>
      <c r="E30" s="22"/>
      <c r="F30" s="22"/>
      <c r="G30" s="22"/>
      <c r="H30" s="22"/>
      <c r="I30" s="22"/>
      <c r="J30" s="18"/>
      <c r="K30" s="18"/>
    </row>
    <row r="31" spans="1:11" x14ac:dyDescent="0.3">
      <c r="A31" s="50" t="s">
        <v>246</v>
      </c>
      <c r="B31" s="15" t="s">
        <v>247</v>
      </c>
      <c r="C31" s="27">
        <f>SUM(C22:C24)</f>
        <v>0.99999999999967082</v>
      </c>
      <c r="D31" s="21" t="s">
        <v>219</v>
      </c>
      <c r="E31" s="21"/>
      <c r="F31" s="21"/>
      <c r="G31" s="21"/>
      <c r="H31" s="21"/>
      <c r="I31" s="21"/>
      <c r="J31" s="16" t="s">
        <v>248</v>
      </c>
      <c r="K31" s="16"/>
    </row>
    <row r="32" spans="1:11" x14ac:dyDescent="0.3">
      <c r="A32" s="51"/>
      <c r="B32" s="15" t="s">
        <v>249</v>
      </c>
      <c r="C32" s="27">
        <f>-C30</f>
        <v>-2034.5368916797486</v>
      </c>
      <c r="D32" s="21" t="s">
        <v>219</v>
      </c>
      <c r="E32" s="21"/>
      <c r="F32" s="21"/>
      <c r="G32" s="21"/>
      <c r="H32" s="21"/>
      <c r="I32" s="21"/>
      <c r="J32" s="16" t="s">
        <v>213</v>
      </c>
      <c r="K32" s="16"/>
    </row>
    <row r="33" spans="1:11" x14ac:dyDescent="0.3">
      <c r="A33" s="51"/>
      <c r="B33" s="15" t="s">
        <v>250</v>
      </c>
      <c r="C33" s="27">
        <f>-C27</f>
        <v>-1417.3333333333333</v>
      </c>
      <c r="D33" s="21" t="s">
        <v>219</v>
      </c>
      <c r="E33" s="21"/>
      <c r="F33" s="21"/>
      <c r="G33" s="21"/>
      <c r="H33" s="21"/>
      <c r="I33" s="21"/>
      <c r="J33" s="16" t="s">
        <v>213</v>
      </c>
      <c r="K33" s="16"/>
    </row>
    <row r="34" spans="1:11" x14ac:dyDescent="0.3">
      <c r="A34" s="51"/>
      <c r="B34" s="15" t="s">
        <v>251</v>
      </c>
      <c r="C34" s="25">
        <f>C31/C13</f>
        <v>3.9999999999986831E-2</v>
      </c>
      <c r="D34" s="21" t="s">
        <v>219</v>
      </c>
      <c r="E34" s="21"/>
      <c r="F34" s="21"/>
      <c r="G34" s="21"/>
      <c r="H34" s="21"/>
      <c r="I34" s="21"/>
      <c r="J34" s="16" t="s">
        <v>252</v>
      </c>
      <c r="K34" s="16"/>
    </row>
    <row r="35" spans="1:11" x14ac:dyDescent="0.3">
      <c r="A35" s="51"/>
      <c r="B35" s="15" t="s">
        <v>253</v>
      </c>
      <c r="C35" s="35">
        <f>-C29/C7</f>
        <v>-2.5592417061611375E-2</v>
      </c>
      <c r="D35" s="21" t="s">
        <v>254</v>
      </c>
      <c r="E35" s="21"/>
      <c r="F35" s="21"/>
      <c r="G35" s="21"/>
      <c r="H35" s="21"/>
      <c r="I35" s="21"/>
      <c r="J35" s="16" t="s">
        <v>255</v>
      </c>
      <c r="K35" s="16"/>
    </row>
    <row r="38" spans="1:11" x14ac:dyDescent="0.3">
      <c r="B38" s="23" t="s">
        <v>256</v>
      </c>
    </row>
    <row r="39" spans="1:11" x14ac:dyDescent="0.3">
      <c r="B39" s="6" t="s">
        <v>257</v>
      </c>
    </row>
    <row r="41" spans="1:11" x14ac:dyDescent="0.3">
      <c r="A41">
        <f>59/90</f>
        <v>0.65555555555555556</v>
      </c>
    </row>
    <row r="42" spans="1:11" x14ac:dyDescent="0.3">
      <c r="B42" s="23" t="s">
        <v>258</v>
      </c>
      <c r="C42" t="s">
        <v>259</v>
      </c>
    </row>
    <row r="43" spans="1:11" x14ac:dyDescent="0.3">
      <c r="B43" s="6" t="s">
        <v>260</v>
      </c>
      <c r="C43">
        <v>75000</v>
      </c>
    </row>
    <row r="44" spans="1:11" x14ac:dyDescent="0.3">
      <c r="B44" s="6" t="s">
        <v>261</v>
      </c>
      <c r="C44">
        <v>50000</v>
      </c>
    </row>
    <row r="45" spans="1:11" x14ac:dyDescent="0.3">
      <c r="B45" s="6" t="s">
        <v>262</v>
      </c>
      <c r="C45">
        <v>50000</v>
      </c>
    </row>
  </sheetData>
  <mergeCells count="4">
    <mergeCell ref="A31:A35"/>
    <mergeCell ref="A22:A30"/>
    <mergeCell ref="A20:A21"/>
    <mergeCell ref="A2:A18"/>
  </mergeCells>
  <hyperlinks>
    <hyperlink ref="K6" r:id="rId1" xr:uid="{00000000-0004-0000-0500-000000000000}"/>
    <hyperlink ref="K15" r:id="rId2" xr:uid="{00000000-0004-0000-0500-000001000000}"/>
    <hyperlink ref="K26" r:id="rId3" location="tab-id-3" xr:uid="{00000000-0004-0000-0500-000002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2020-10-01T08:24:48Z</dcterms:modified>
</cp:coreProperties>
</file>