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rojects\O-Scope Probe\Documentation and Specification Repo\"/>
    </mc:Choice>
  </mc:AlternateContent>
  <xr:revisionPtr revIDLastSave="0" documentId="8_{1D2ED2FF-7723-49D7-8B8E-9710495717B7}" xr6:coauthVersionLast="41" xr6:coauthVersionMax="41" xr10:uidLastSave="{00000000-0000-0000-0000-000000000000}"/>
  <bookViews>
    <workbookView xWindow="28680" yWindow="-120" windowWidth="29040" windowHeight="16440" activeTab="2" xr2:uid="{212060AA-FC8A-4315-B980-74A4921C692F}"/>
  </bookViews>
  <sheets>
    <sheet name="Sheet1" sheetId="1" r:id="rId1"/>
    <sheet name="SI Prefix" sheetId="2" r:id="rId2"/>
    <sheet name="Input Noi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3" l="1"/>
  <c r="B28" i="3" l="1"/>
  <c r="B18" i="3" l="1"/>
  <c r="B30" i="3"/>
  <c r="C30" i="3" s="1"/>
  <c r="B29" i="3"/>
  <c r="C29" i="3" s="1"/>
  <c r="B24" i="3"/>
  <c r="C24" i="3" s="1"/>
  <c r="C23" i="3"/>
  <c r="B7" i="3"/>
  <c r="B12" i="3"/>
  <c r="C12" i="3" s="1"/>
  <c r="B4" i="3"/>
  <c r="B5" i="3"/>
  <c r="B3" i="3"/>
  <c r="B7" i="1"/>
  <c r="B6" i="3" l="1"/>
  <c r="I11" i="1"/>
  <c r="I9" i="1"/>
  <c r="I10" i="1"/>
  <c r="I7" i="1"/>
  <c r="I8" i="1" s="1"/>
  <c r="I6" i="1"/>
  <c r="I5" i="1"/>
  <c r="B9" i="1"/>
  <c r="B5" i="1"/>
  <c r="B8" i="1" s="1"/>
  <c r="C8" i="1" s="1"/>
  <c r="J8" i="1" l="1"/>
  <c r="I12" i="1"/>
  <c r="J12" i="1" s="1"/>
  <c r="B8" i="3"/>
  <c r="B17" i="3"/>
  <c r="C8" i="3"/>
  <c r="C6" i="3"/>
  <c r="B13" i="3"/>
  <c r="B10" i="1"/>
  <c r="C10" i="1" s="1"/>
  <c r="I13" i="1" l="1"/>
  <c r="J13" i="1" s="1"/>
  <c r="B19" i="3"/>
  <c r="C17" i="3"/>
  <c r="C19" i="3" l="1"/>
  <c r="C25" i="3"/>
  <c r="B25" i="3"/>
  <c r="B31" i="3"/>
  <c r="C31" i="3"/>
</calcChain>
</file>

<file path=xl/sharedStrings.xml><?xml version="1.0" encoding="utf-8"?>
<sst xmlns="http://schemas.openxmlformats.org/spreadsheetml/2006/main" count="135" uniqueCount="108">
  <si>
    <t>Noise caculation</t>
  </si>
  <si>
    <t>Tip noise (V)</t>
  </si>
  <si>
    <t>Tip noise (mV)</t>
  </si>
  <si>
    <t>Divider Ratio</t>
  </si>
  <si>
    <t>Post Divider Noise (V)</t>
  </si>
  <si>
    <t>Post Divider Noise (db fs)</t>
  </si>
  <si>
    <t>Frontend noise</t>
  </si>
  <si>
    <t>Post Divider Noise bw (Hz)</t>
  </si>
  <si>
    <t>Post Divider Noise bw (MHz)</t>
  </si>
  <si>
    <t>Post Devider Noise (V/rthz)</t>
  </si>
  <si>
    <t>Post Divider Noise (nV/rthz)</t>
  </si>
  <si>
    <t>Input impedance (ohm)</t>
  </si>
  <si>
    <t>Input impedance (Mohm)</t>
  </si>
  <si>
    <t>Voltage noise (V/rthz)</t>
  </si>
  <si>
    <t>Current noise (A/rthz)</t>
  </si>
  <si>
    <t>Current noise (fA/rthz)</t>
  </si>
  <si>
    <t>Voltage noise (nV/rthz)</t>
  </si>
  <si>
    <t>deci</t>
  </si>
  <si>
    <t>d</t>
  </si>
  <si>
    <t> 10−1</t>
  </si>
  <si>
    <t> tenth</t>
  </si>
  <si>
    <t>centi</t>
  </si>
  <si>
    <t>c</t>
  </si>
  <si>
    <t> 10−2</t>
  </si>
  <si>
    <t> hundredth</t>
  </si>
  <si>
    <t>milli</t>
  </si>
  <si>
    <t>m</t>
  </si>
  <si>
    <t> 10−3</t>
  </si>
  <si>
    <t> thousandth</t>
  </si>
  <si>
    <t>micro</t>
  </si>
  <si>
    <t>μ</t>
  </si>
  <si>
    <t> 10−6</t>
  </si>
  <si>
    <t> millionth</t>
  </si>
  <si>
    <t>nano</t>
  </si>
  <si>
    <t>n</t>
  </si>
  <si>
    <t> 10−9</t>
  </si>
  <si>
    <t> billionth</t>
  </si>
  <si>
    <t> milliardth</t>
  </si>
  <si>
    <t>pico</t>
  </si>
  <si>
    <t>p</t>
  </si>
  <si>
    <t> 10−12</t>
  </si>
  <si>
    <t> trillionth</t>
  </si>
  <si>
    <t>femto</t>
  </si>
  <si>
    <t>f</t>
  </si>
  <si>
    <t> 10−15</t>
  </si>
  <si>
    <t> quadrillionth</t>
  </si>
  <si>
    <t> billiardth</t>
  </si>
  <si>
    <t>atto</t>
  </si>
  <si>
    <t>a</t>
  </si>
  <si>
    <t> 10−18</t>
  </si>
  <si>
    <t> quintillionth</t>
  </si>
  <si>
    <t>zepto</t>
  </si>
  <si>
    <t>z</t>
  </si>
  <si>
    <t> 10−21</t>
  </si>
  <si>
    <t> sextillionth</t>
  </si>
  <si>
    <t> trilliardth</t>
  </si>
  <si>
    <t>yocto</t>
  </si>
  <si>
    <t>y</t>
  </si>
  <si>
    <t> 10−24 </t>
  </si>
  <si>
    <t> septillionth</t>
  </si>
  <si>
    <t> 1000−1/3</t>
  </si>
  <si>
    <t> 1000−2/3 </t>
  </si>
  <si>
    <t> 1000−1</t>
  </si>
  <si>
    <t> 1000−2</t>
  </si>
  <si>
    <t> 1000−3</t>
  </si>
  <si>
    <t> 1000−4</t>
  </si>
  <si>
    <t> 1000−5</t>
  </si>
  <si>
    <t> 1000−6</t>
  </si>
  <si>
    <t> 1000−7</t>
  </si>
  <si>
    <t> 1000−8</t>
  </si>
  <si>
    <t>Total noise (v/rthz)</t>
  </si>
  <si>
    <t>Total noise (nv/rthz)</t>
  </si>
  <si>
    <t>Input buffer stage (LTC6268-10)</t>
  </si>
  <si>
    <t>Current noise (pA/rthz)</t>
  </si>
  <si>
    <t>Pre-Amp total</t>
  </si>
  <si>
    <t>Vout (Swing)</t>
  </si>
  <si>
    <t>Vin (Peak)</t>
  </si>
  <si>
    <t>k_B</t>
  </si>
  <si>
    <t>Noise density (V/rthz)</t>
  </si>
  <si>
    <t>Temp (K)</t>
  </si>
  <si>
    <t>Temp (C)</t>
  </si>
  <si>
    <t>Noise density (nV/rthz)</t>
  </si>
  <si>
    <t>Frequency span (Hz)</t>
  </si>
  <si>
    <t>RMS noise (V)</t>
  </si>
  <si>
    <t>ADC Noise floor (V)</t>
  </si>
  <si>
    <t>ADC pk-pk (V)</t>
  </si>
  <si>
    <t>ADC Noise floor (mV)</t>
  </si>
  <si>
    <t>Resistance (Ohm)</t>
  </si>
  <si>
    <t>Resistance (MOhm)</t>
  </si>
  <si>
    <t>RMS Noise (mV)</t>
  </si>
  <si>
    <t>ADC ENOB</t>
  </si>
  <si>
    <t>Frequency span (MHz)</t>
  </si>
  <si>
    <t>Input Divider Thermal Noise</t>
  </si>
  <si>
    <t>Max non noise amplification (x)</t>
  </si>
  <si>
    <t>ADC resolution (AD9481)</t>
  </si>
  <si>
    <t>Input Divider settings</t>
  </si>
  <si>
    <t>Divide Ratio</t>
  </si>
  <si>
    <t>Amplification Ratio</t>
  </si>
  <si>
    <t>Non-Amplified range (pk-pk)</t>
  </si>
  <si>
    <t>Max Amplified range (pk-pk)</t>
  </si>
  <si>
    <t>Range (±V)</t>
  </si>
  <si>
    <t>ENOB at max amp</t>
  </si>
  <si>
    <t>Percent Noise</t>
  </si>
  <si>
    <t>Frontend Noise</t>
  </si>
  <si>
    <t>Note: Based on resistor noise</t>
  </si>
  <si>
    <t>Diff amp (ADA4932-1)</t>
  </si>
  <si>
    <t>1x Probe</t>
  </si>
  <si>
    <t>10x Probe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</si>
</sst>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9" fontId="1" fillId="0" borderId="0" applyFon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5" borderId="5" applyNumberFormat="0" applyAlignment="0" applyProtection="0"/>
  </cellStyleXfs>
  <cellXfs count="16">
    <xf numFmtId="0" fontId="0" fillId="0" borderId="0" xfId="0"/>
    <xf numFmtId="11" fontId="3" fillId="3" borderId="1" xfId="2" applyNumberFormat="1"/>
    <xf numFmtId="11" fontId="0" fillId="0" borderId="0" xfId="0" applyNumberFormat="1"/>
    <xf numFmtId="2" fontId="3" fillId="3" borderId="1" xfId="2" applyNumberFormat="1"/>
    <xf numFmtId="2" fontId="2" fillId="2" borderId="1" xfId="1" applyNumberFormat="1"/>
    <xf numFmtId="2" fontId="0" fillId="0" borderId="0" xfId="0" applyNumberFormat="1"/>
    <xf numFmtId="164" fontId="0" fillId="0" borderId="0" xfId="0" applyNumberFormat="1"/>
    <xf numFmtId="0" fontId="0" fillId="4" borderId="2" xfId="3" applyFont="1" applyAlignment="1">
      <alignment wrapText="1"/>
    </xf>
    <xf numFmtId="0" fontId="2" fillId="2" borderId="1" xfId="1"/>
    <xf numFmtId="0" fontId="3" fillId="3" borderId="1" xfId="2"/>
    <xf numFmtId="0" fontId="6" fillId="5" borderId="5" xfId="7"/>
    <xf numFmtId="165" fontId="0" fillId="0" borderId="0" xfId="4" applyNumberFormat="1" applyFont="1"/>
    <xf numFmtId="0" fontId="0" fillId="4" borderId="2" xfId="3" applyFont="1"/>
    <xf numFmtId="0" fontId="0" fillId="4" borderId="2" xfId="3" applyFont="1" applyAlignment="1">
      <alignment horizontal="left" vertical="top" wrapText="1"/>
    </xf>
    <xf numFmtId="0" fontId="4" fillId="0" borderId="3" xfId="5" applyAlignment="1">
      <alignment horizontal="center"/>
    </xf>
    <xf numFmtId="0" fontId="5" fillId="0" borderId="4" xfId="6" applyAlignment="1">
      <alignment horizontal="center"/>
    </xf>
  </cellXfs>
  <cellStyles count="8">
    <cellStyle name="Calculation" xfId="2" builtinId="22"/>
    <cellStyle name="Check Cell" xfId="7" builtinId="23"/>
    <cellStyle name="Heading 1" xfId="5" builtinId="16"/>
    <cellStyle name="Heading 2" xfId="6" builtinId="17"/>
    <cellStyle name="Input" xfId="1" builtinId="20"/>
    <cellStyle name="Normal" xfId="0" builtinId="0"/>
    <cellStyle name="Note" xfId="3" builtinId="1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50D7-CB23-4158-B867-5185EDC60CE4}">
  <dimension ref="A1:K13"/>
  <sheetViews>
    <sheetView workbookViewId="0">
      <selection activeCell="E17" sqref="E17"/>
    </sheetView>
  </sheetViews>
  <sheetFormatPr defaultRowHeight="15" x14ac:dyDescent="0.25"/>
  <cols>
    <col min="1" max="1" width="25.85546875" bestFit="1" customWidth="1"/>
    <col min="2" max="2" width="8.5703125" bestFit="1" customWidth="1"/>
    <col min="3" max="3" width="7.28515625" bestFit="1" customWidth="1"/>
    <col min="4" max="4" width="26.7109375" bestFit="1" customWidth="1"/>
    <col min="8" max="8" width="22.28515625" bestFit="1" customWidth="1"/>
    <col min="9" max="9" width="24" bestFit="1" customWidth="1"/>
    <col min="10" max="10" width="12" bestFit="1" customWidth="1"/>
    <col min="11" max="11" width="24" bestFit="1" customWidth="1"/>
    <col min="12" max="12" width="25.140625" bestFit="1" customWidth="1"/>
    <col min="13" max="13" width="58.28515625" bestFit="1" customWidth="1"/>
  </cols>
  <sheetData>
    <row r="1" spans="1:11" x14ac:dyDescent="0.25">
      <c r="A1" t="s">
        <v>0</v>
      </c>
    </row>
    <row r="3" spans="1:11" x14ac:dyDescent="0.25">
      <c r="A3" t="s">
        <v>6</v>
      </c>
    </row>
    <row r="4" spans="1:11" x14ac:dyDescent="0.25">
      <c r="A4" t="s">
        <v>76</v>
      </c>
      <c r="B4" s="8">
        <v>8</v>
      </c>
    </row>
    <row r="5" spans="1:11" x14ac:dyDescent="0.25">
      <c r="A5" t="s">
        <v>1</v>
      </c>
      <c r="B5" s="3">
        <f>CONVERT(C5,"ms","s")</f>
        <v>0.01</v>
      </c>
      <c r="C5" s="4">
        <v>10</v>
      </c>
      <c r="D5" t="s">
        <v>2</v>
      </c>
      <c r="G5" s="13" t="s">
        <v>72</v>
      </c>
      <c r="H5" t="s">
        <v>11</v>
      </c>
      <c r="I5" s="6">
        <f>J5*10^6</f>
        <v>1000000</v>
      </c>
      <c r="J5" s="5">
        <v>1</v>
      </c>
      <c r="K5" t="s">
        <v>12</v>
      </c>
    </row>
    <row r="6" spans="1:11" x14ac:dyDescent="0.25">
      <c r="A6" t="s">
        <v>3</v>
      </c>
      <c r="B6" s="4">
        <v>5</v>
      </c>
      <c r="C6" s="2"/>
      <c r="G6" s="13"/>
      <c r="H6" t="s">
        <v>13</v>
      </c>
      <c r="I6" s="6">
        <f>J6/10^9</f>
        <v>4.0000000000000002E-9</v>
      </c>
      <c r="J6" s="5">
        <v>4</v>
      </c>
      <c r="K6" t="s">
        <v>16</v>
      </c>
    </row>
    <row r="7" spans="1:11" x14ac:dyDescent="0.25">
      <c r="A7" t="s">
        <v>75</v>
      </c>
      <c r="B7" s="9">
        <f>(2*B4)/B6</f>
        <v>3.2</v>
      </c>
      <c r="G7" s="13"/>
      <c r="H7" t="s">
        <v>14</v>
      </c>
      <c r="I7" s="6">
        <f>J7/10^15</f>
        <v>7.0000000000000001E-15</v>
      </c>
      <c r="J7" s="5">
        <v>7</v>
      </c>
      <c r="K7" t="s">
        <v>15</v>
      </c>
    </row>
    <row r="8" spans="1:11" x14ac:dyDescent="0.25">
      <c r="A8" t="s">
        <v>4</v>
      </c>
      <c r="B8" s="1">
        <f>B5/B6</f>
        <v>2E-3</v>
      </c>
      <c r="C8" s="3">
        <f>20*LOG10(B8/B7)</f>
        <v>-64.082399653118486</v>
      </c>
      <c r="D8" t="s">
        <v>5</v>
      </c>
      <c r="G8" s="13"/>
      <c r="H8" t="s">
        <v>70</v>
      </c>
      <c r="I8" s="6">
        <f>SQRT((I7*I5)^2+(I6)^2)</f>
        <v>8.062257748298549E-9</v>
      </c>
      <c r="J8" s="5">
        <f>I8*10^9</f>
        <v>8.0622577482985491</v>
      </c>
      <c r="K8" t="s">
        <v>71</v>
      </c>
    </row>
    <row r="9" spans="1:11" ht="15" customHeight="1" x14ac:dyDescent="0.25">
      <c r="A9" t="s">
        <v>7</v>
      </c>
      <c r="B9" s="1">
        <f>C9*10^6</f>
        <v>50000000</v>
      </c>
      <c r="C9" s="4">
        <v>50</v>
      </c>
      <c r="D9" t="s">
        <v>8</v>
      </c>
      <c r="G9" s="13" t="s">
        <v>105</v>
      </c>
      <c r="H9" t="s">
        <v>11</v>
      </c>
      <c r="I9" s="6">
        <f>J9*10^6</f>
        <v>10000</v>
      </c>
      <c r="J9" s="5">
        <v>0.01</v>
      </c>
      <c r="K9" t="s">
        <v>12</v>
      </c>
    </row>
    <row r="10" spans="1:11" x14ac:dyDescent="0.25">
      <c r="A10" t="s">
        <v>9</v>
      </c>
      <c r="B10" s="1">
        <f>B8/SQRT(B9)</f>
        <v>2.8284271247461903E-7</v>
      </c>
      <c r="C10" s="3">
        <f>B10*(10^9)</f>
        <v>282.84271247461902</v>
      </c>
      <c r="D10" t="s">
        <v>10</v>
      </c>
      <c r="G10" s="13"/>
      <c r="H10" t="s">
        <v>13</v>
      </c>
      <c r="I10" s="6">
        <f>J10/10^9</f>
        <v>8.0000000000000005E-9</v>
      </c>
      <c r="J10" s="5">
        <v>8</v>
      </c>
      <c r="K10" t="s">
        <v>16</v>
      </c>
    </row>
    <row r="11" spans="1:11" x14ac:dyDescent="0.25">
      <c r="G11" s="13"/>
      <c r="H11" t="s">
        <v>14</v>
      </c>
      <c r="I11" s="6">
        <f>J11/10^12</f>
        <v>1.8E-12</v>
      </c>
      <c r="J11" s="5">
        <v>1.8</v>
      </c>
      <c r="K11" t="s">
        <v>73</v>
      </c>
    </row>
    <row r="12" spans="1:11" x14ac:dyDescent="0.25">
      <c r="G12" s="13"/>
      <c r="H12" t="s">
        <v>70</v>
      </c>
      <c r="I12" s="6">
        <f>SQRT((I9*I11)^2+(I10)^2)</f>
        <v>1.9697715603592208E-8</v>
      </c>
      <c r="J12" s="5">
        <f>I12*10^9</f>
        <v>19.697715603592208</v>
      </c>
      <c r="K12" t="s">
        <v>71</v>
      </c>
    </row>
    <row r="13" spans="1:11" ht="30" x14ac:dyDescent="0.25">
      <c r="G13" s="7" t="s">
        <v>74</v>
      </c>
      <c r="H13" t="s">
        <v>13</v>
      </c>
      <c r="I13" s="6">
        <f>SQRT(SUMSQ(I8,I12))</f>
        <v>2.1283796653792761E-8</v>
      </c>
      <c r="J13" s="5">
        <f>I13*10^9</f>
        <v>21.283796653792763</v>
      </c>
      <c r="K13" t="s">
        <v>16</v>
      </c>
    </row>
  </sheetData>
  <mergeCells count="2">
    <mergeCell ref="G5:G8"/>
    <mergeCell ref="G9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5D95-02C0-4C22-B951-FDF7B709AB6B}">
  <dimension ref="A2:H11"/>
  <sheetViews>
    <sheetView workbookViewId="0">
      <selection activeCell="D7" sqref="D7"/>
    </sheetView>
  </sheetViews>
  <sheetFormatPr defaultRowHeight="15" x14ac:dyDescent="0.25"/>
  <cols>
    <col min="5" max="5" width="12" bestFit="1" customWidth="1"/>
  </cols>
  <sheetData>
    <row r="2" spans="1:8" x14ac:dyDescent="0.25">
      <c r="A2" t="s">
        <v>17</v>
      </c>
      <c r="B2" t="s">
        <v>18</v>
      </c>
      <c r="C2" t="s">
        <v>60</v>
      </c>
      <c r="D2" t="s">
        <v>19</v>
      </c>
      <c r="E2">
        <v>0.1</v>
      </c>
      <c r="F2" t="s">
        <v>20</v>
      </c>
      <c r="H2">
        <v>1795</v>
      </c>
    </row>
    <row r="3" spans="1:8" x14ac:dyDescent="0.25">
      <c r="A3" t="s">
        <v>21</v>
      </c>
      <c r="B3" t="s">
        <v>22</v>
      </c>
      <c r="C3" t="s">
        <v>61</v>
      </c>
      <c r="D3" t="s">
        <v>23</v>
      </c>
      <c r="E3">
        <v>0.01</v>
      </c>
      <c r="F3" t="s">
        <v>24</v>
      </c>
      <c r="H3">
        <v>1795</v>
      </c>
    </row>
    <row r="4" spans="1:8" x14ac:dyDescent="0.25">
      <c r="A4" t="s">
        <v>25</v>
      </c>
      <c r="B4" t="s">
        <v>26</v>
      </c>
      <c r="C4" t="s">
        <v>62</v>
      </c>
      <c r="D4" t="s">
        <v>27</v>
      </c>
      <c r="E4">
        <v>1E-3</v>
      </c>
      <c r="F4" t="s">
        <v>28</v>
      </c>
      <c r="H4">
        <v>1795</v>
      </c>
    </row>
    <row r="5" spans="1:8" x14ac:dyDescent="0.25">
      <c r="A5" t="s">
        <v>29</v>
      </c>
      <c r="B5" t="s">
        <v>30</v>
      </c>
      <c r="C5" t="s">
        <v>63</v>
      </c>
      <c r="D5" t="s">
        <v>31</v>
      </c>
      <c r="E5">
        <v>9.9999999999999995E-7</v>
      </c>
      <c r="F5" t="s">
        <v>32</v>
      </c>
      <c r="H5">
        <v>1873</v>
      </c>
    </row>
    <row r="6" spans="1:8" x14ac:dyDescent="0.25">
      <c r="A6" t="s">
        <v>33</v>
      </c>
      <c r="B6" t="s">
        <v>34</v>
      </c>
      <c r="C6" t="s">
        <v>64</v>
      </c>
      <c r="D6" t="s">
        <v>35</v>
      </c>
      <c r="E6">
        <v>1.0000000000000001E-9</v>
      </c>
      <c r="F6" t="s">
        <v>36</v>
      </c>
      <c r="G6" t="s">
        <v>37</v>
      </c>
      <c r="H6">
        <v>1960</v>
      </c>
    </row>
    <row r="7" spans="1:8" x14ac:dyDescent="0.25">
      <c r="A7" t="s">
        <v>38</v>
      </c>
      <c r="B7" t="s">
        <v>39</v>
      </c>
      <c r="C7" t="s">
        <v>65</v>
      </c>
      <c r="D7" t="s">
        <v>40</v>
      </c>
      <c r="E7">
        <v>9.9999999999999998E-13</v>
      </c>
      <c r="F7" t="s">
        <v>41</v>
      </c>
      <c r="G7" t="s">
        <v>36</v>
      </c>
      <c r="H7">
        <v>1960</v>
      </c>
    </row>
    <row r="8" spans="1:8" x14ac:dyDescent="0.25">
      <c r="A8" t="s">
        <v>42</v>
      </c>
      <c r="B8" t="s">
        <v>43</v>
      </c>
      <c r="C8" t="s">
        <v>66</v>
      </c>
      <c r="D8" t="s">
        <v>44</v>
      </c>
      <c r="E8">
        <v>1.0000000000000001E-15</v>
      </c>
      <c r="F8" t="s">
        <v>45</v>
      </c>
      <c r="G8" t="s">
        <v>46</v>
      </c>
      <c r="H8">
        <v>1964</v>
      </c>
    </row>
    <row r="9" spans="1:8" x14ac:dyDescent="0.25">
      <c r="A9" t="s">
        <v>47</v>
      </c>
      <c r="B9" t="s">
        <v>48</v>
      </c>
      <c r="C9" t="s">
        <v>67</v>
      </c>
      <c r="D9" t="s">
        <v>49</v>
      </c>
      <c r="E9">
        <v>1.0000000000000001E-18</v>
      </c>
      <c r="F9" t="s">
        <v>50</v>
      </c>
      <c r="G9" t="s">
        <v>41</v>
      </c>
      <c r="H9">
        <v>1964</v>
      </c>
    </row>
    <row r="10" spans="1:8" x14ac:dyDescent="0.25">
      <c r="A10" t="s">
        <v>51</v>
      </c>
      <c r="B10" t="s">
        <v>52</v>
      </c>
      <c r="C10" t="s">
        <v>68</v>
      </c>
      <c r="D10" t="s">
        <v>53</v>
      </c>
      <c r="E10">
        <v>9.9999999999999991E-22</v>
      </c>
      <c r="F10" t="s">
        <v>54</v>
      </c>
      <c r="G10" t="s">
        <v>55</v>
      </c>
      <c r="H10">
        <v>1991</v>
      </c>
    </row>
    <row r="11" spans="1:8" x14ac:dyDescent="0.25">
      <c r="A11" t="s">
        <v>56</v>
      </c>
      <c r="B11" t="s">
        <v>57</v>
      </c>
      <c r="C11" t="s">
        <v>69</v>
      </c>
      <c r="D11" t="s">
        <v>58</v>
      </c>
      <c r="E11">
        <v>9.9999999999999992E-25</v>
      </c>
      <c r="F11" t="s">
        <v>59</v>
      </c>
      <c r="G11" t="s">
        <v>45</v>
      </c>
      <c r="H11">
        <v>1991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669DA-CAF9-4D2A-A571-C83C420CF942}">
  <dimension ref="A2:D31"/>
  <sheetViews>
    <sheetView tabSelected="1" workbookViewId="0">
      <selection activeCell="B23" sqref="B23"/>
    </sheetView>
  </sheetViews>
  <sheetFormatPr defaultRowHeight="15" x14ac:dyDescent="0.25"/>
  <cols>
    <col min="1" max="1" width="29.42578125" bestFit="1" customWidth="1"/>
    <col min="2" max="2" width="12.5703125" bestFit="1" customWidth="1"/>
    <col min="3" max="3" width="9.5703125" bestFit="1" customWidth="1"/>
    <col min="4" max="4" width="27.42578125" bestFit="1" customWidth="1"/>
  </cols>
  <sheetData>
    <row r="2" spans="1:4" ht="20.25" thickBot="1" x14ac:dyDescent="0.35">
      <c r="A2" s="14" t="s">
        <v>92</v>
      </c>
      <c r="B2" s="14"/>
      <c r="C2" s="14"/>
      <c r="D2" s="14"/>
    </row>
    <row r="3" spans="1:4" ht="16.5" thickTop="1" thickBot="1" x14ac:dyDescent="0.3">
      <c r="A3" t="s">
        <v>77</v>
      </c>
      <c r="B3" s="10">
        <f>1.38*10^-23</f>
        <v>1.3800000000000001E-23</v>
      </c>
    </row>
    <row r="4" spans="1:4" ht="15.75" thickTop="1" x14ac:dyDescent="0.25">
      <c r="A4" t="s">
        <v>87</v>
      </c>
      <c r="B4" s="9">
        <f>10^6*C4</f>
        <v>1000000</v>
      </c>
      <c r="C4" s="8">
        <v>1</v>
      </c>
      <c r="D4" t="s">
        <v>88</v>
      </c>
    </row>
    <row r="5" spans="1:4" x14ac:dyDescent="0.25">
      <c r="A5" t="s">
        <v>79</v>
      </c>
      <c r="B5" s="9">
        <f>CONVERT(C5,"C","K")</f>
        <v>298.14999999999998</v>
      </c>
      <c r="C5" s="8">
        <v>25</v>
      </c>
      <c r="D5" t="s">
        <v>80</v>
      </c>
    </row>
    <row r="6" spans="1:4" x14ac:dyDescent="0.25">
      <c r="A6" t="s">
        <v>78</v>
      </c>
      <c r="B6" s="9">
        <f>SQRT(4*B3*B5*B4)</f>
        <v>1.2828826914414271E-7</v>
      </c>
      <c r="C6" s="3">
        <f>CONVERT(B6,"s","ns")</f>
        <v>128.2882691441427</v>
      </c>
      <c r="D6" t="s">
        <v>81</v>
      </c>
    </row>
    <row r="7" spans="1:4" x14ac:dyDescent="0.25">
      <c r="A7" t="s">
        <v>82</v>
      </c>
      <c r="B7" s="9">
        <f>C7*10^6</f>
        <v>60000000</v>
      </c>
      <c r="C7" s="8">
        <v>60</v>
      </c>
      <c r="D7" t="s">
        <v>91</v>
      </c>
    </row>
    <row r="8" spans="1:4" x14ac:dyDescent="0.25">
      <c r="A8" t="s">
        <v>83</v>
      </c>
      <c r="B8" s="9">
        <f>B6*SQRT(B7)</f>
        <v>9.9371665981807904E-4</v>
      </c>
      <c r="C8" s="3">
        <f>CONVERT(B8,"s","ms")</f>
        <v>0.993716659818079</v>
      </c>
      <c r="D8" t="s">
        <v>89</v>
      </c>
    </row>
    <row r="9" spans="1:4" ht="20.25" thickBot="1" x14ac:dyDescent="0.35">
      <c r="A9" s="14" t="s">
        <v>94</v>
      </c>
      <c r="B9" s="14"/>
      <c r="C9" s="14"/>
      <c r="D9" s="14"/>
    </row>
    <row r="10" spans="1:4" ht="16.5" thickTop="1" thickBot="1" x14ac:dyDescent="0.3">
      <c r="A10" t="s">
        <v>85</v>
      </c>
      <c r="B10" s="10">
        <v>1</v>
      </c>
    </row>
    <row r="11" spans="1:4" ht="16.5" thickTop="1" thickBot="1" x14ac:dyDescent="0.3">
      <c r="A11" t="s">
        <v>90</v>
      </c>
      <c r="B11" s="10">
        <v>7.5</v>
      </c>
    </row>
    <row r="12" spans="1:4" ht="15.75" thickTop="1" x14ac:dyDescent="0.25">
      <c r="A12" t="s">
        <v>84</v>
      </c>
      <c r="B12" s="9">
        <f>B10/2^B11</f>
        <v>5.5242717280199038E-3</v>
      </c>
      <c r="C12" s="3">
        <f>CONVERT(B12,"s","ms")</f>
        <v>5.5242717280199036</v>
      </c>
      <c r="D12" t="s">
        <v>86</v>
      </c>
    </row>
    <row r="13" spans="1:4" x14ac:dyDescent="0.25">
      <c r="A13" t="s">
        <v>93</v>
      </c>
      <c r="B13" s="3">
        <f>B12/B8</f>
        <v>5.559202085865441</v>
      </c>
      <c r="D13" s="12" t="s">
        <v>104</v>
      </c>
    </row>
    <row r="15" spans="1:4" ht="20.25" thickBot="1" x14ac:dyDescent="0.35">
      <c r="A15" s="14" t="s">
        <v>95</v>
      </c>
      <c r="B15" s="14"/>
      <c r="C15" s="14"/>
      <c r="D15" s="14"/>
    </row>
    <row r="16" spans="1:4" ht="18.75" thickTop="1" thickBot="1" x14ac:dyDescent="0.35">
      <c r="A16" s="15" t="s">
        <v>103</v>
      </c>
      <c r="B16" s="15"/>
      <c r="C16" s="15"/>
      <c r="D16" s="15"/>
    </row>
    <row r="17" spans="1:4" ht="15.75" thickTop="1" x14ac:dyDescent="0.25">
      <c r="A17" t="s">
        <v>78</v>
      </c>
      <c r="B17" s="9">
        <f>SQRT(B6^2+B6^2)</f>
        <v>1.8142701011701647E-7</v>
      </c>
      <c r="C17" s="3">
        <f>CONVERT(B17,"s","ns")</f>
        <v>181.42701011701647</v>
      </c>
      <c r="D17" t="s">
        <v>81</v>
      </c>
    </row>
    <row r="18" spans="1:4" x14ac:dyDescent="0.25">
      <c r="A18" t="s">
        <v>82</v>
      </c>
      <c r="B18" s="9">
        <f>C18*10^6</f>
        <v>60000000</v>
      </c>
      <c r="C18" s="8">
        <v>60</v>
      </c>
      <c r="D18" t="s">
        <v>91</v>
      </c>
    </row>
    <row r="19" spans="1:4" x14ac:dyDescent="0.25">
      <c r="A19" t="s">
        <v>83</v>
      </c>
      <c r="B19" s="9">
        <f>B17*SQRT(B18)</f>
        <v>1.4053275774708188E-3</v>
      </c>
      <c r="C19" s="3">
        <f>CONVERT(B19,"s","ms")</f>
        <v>1.4053275774708189</v>
      </c>
      <c r="D19" t="s">
        <v>89</v>
      </c>
    </row>
    <row r="20" spans="1:4" ht="18" thickBot="1" x14ac:dyDescent="0.35">
      <c r="A20" s="15" t="s">
        <v>106</v>
      </c>
      <c r="B20" s="15"/>
      <c r="C20" s="15"/>
      <c r="D20" s="15"/>
    </row>
    <row r="21" spans="1:4" ht="15.75" thickTop="1" x14ac:dyDescent="0.25">
      <c r="A21" t="s">
        <v>97</v>
      </c>
      <c r="B21" s="8">
        <v>10</v>
      </c>
    </row>
    <row r="22" spans="1:4" x14ac:dyDescent="0.25">
      <c r="A22" t="s">
        <v>96</v>
      </c>
      <c r="B22" s="8">
        <v>30</v>
      </c>
    </row>
    <row r="23" spans="1:4" x14ac:dyDescent="0.25">
      <c r="A23" t="s">
        <v>98</v>
      </c>
      <c r="B23" s="9">
        <f>B22*B10</f>
        <v>30</v>
      </c>
      <c r="C23" s="9">
        <f>B23/2</f>
        <v>15</v>
      </c>
      <c r="D23" t="s">
        <v>100</v>
      </c>
    </row>
    <row r="24" spans="1:4" x14ac:dyDescent="0.25">
      <c r="A24" t="s">
        <v>99</v>
      </c>
      <c r="B24" s="9">
        <f>B22/B21</f>
        <v>3</v>
      </c>
      <c r="C24" s="9">
        <f>B24/2</f>
        <v>1.5</v>
      </c>
      <c r="D24" t="s">
        <v>100</v>
      </c>
    </row>
    <row r="25" spans="1:4" x14ac:dyDescent="0.25">
      <c r="A25" t="s">
        <v>101</v>
      </c>
      <c r="B25" s="3">
        <f>LOG(B10/(B19*B21), 2)</f>
        <v>6.1529497324187457</v>
      </c>
      <c r="C25" s="11">
        <f>B19/B10</f>
        <v>1.4053275774708188E-3</v>
      </c>
      <c r="D25" t="s">
        <v>102</v>
      </c>
    </row>
    <row r="26" spans="1:4" ht="18" thickBot="1" x14ac:dyDescent="0.35">
      <c r="A26" s="15" t="s">
        <v>107</v>
      </c>
      <c r="B26" s="15"/>
      <c r="C26" s="15"/>
      <c r="D26" s="15"/>
    </row>
    <row r="27" spans="1:4" ht="15.75" thickTop="1" x14ac:dyDescent="0.25">
      <c r="A27" t="s">
        <v>97</v>
      </c>
      <c r="B27" s="8">
        <v>10</v>
      </c>
    </row>
    <row r="28" spans="1:4" x14ac:dyDescent="0.25">
      <c r="A28" t="s">
        <v>96</v>
      </c>
      <c r="B28" s="8">
        <f>10*B22</f>
        <v>300</v>
      </c>
    </row>
    <row r="29" spans="1:4" x14ac:dyDescent="0.25">
      <c r="A29" t="s">
        <v>98</v>
      </c>
      <c r="B29" s="9">
        <f>B28*B10</f>
        <v>300</v>
      </c>
      <c r="C29" s="9">
        <f>B29/2</f>
        <v>150</v>
      </c>
      <c r="D29" t="s">
        <v>100</v>
      </c>
    </row>
    <row r="30" spans="1:4" x14ac:dyDescent="0.25">
      <c r="A30" t="s">
        <v>99</v>
      </c>
      <c r="B30" s="9">
        <f>B28/B27</f>
        <v>30</v>
      </c>
      <c r="C30" s="9">
        <f>B30/2</f>
        <v>15</v>
      </c>
      <c r="D30" t="s">
        <v>100</v>
      </c>
    </row>
    <row r="31" spans="1:4" x14ac:dyDescent="0.25">
      <c r="A31" t="s">
        <v>101</v>
      </c>
      <c r="B31" s="3">
        <f>LOG(B10/(B19*B27), 2)</f>
        <v>6.1529497324187457</v>
      </c>
      <c r="C31" s="11">
        <f>B19/B10</f>
        <v>1.4053275774708188E-3</v>
      </c>
      <c r="D31" t="s">
        <v>102</v>
      </c>
    </row>
  </sheetData>
  <mergeCells count="6">
    <mergeCell ref="A2:D2"/>
    <mergeCell ref="A9:D9"/>
    <mergeCell ref="A15:D15"/>
    <mergeCell ref="A20:D20"/>
    <mergeCell ref="A26:D26"/>
    <mergeCell ref="A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SI Prefix</vt:lpstr>
      <vt:lpstr>Input 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Omo</dc:creator>
  <cp:lastModifiedBy>Mark Omo</cp:lastModifiedBy>
  <dcterms:created xsi:type="dcterms:W3CDTF">2019-05-17T17:19:13Z</dcterms:created>
  <dcterms:modified xsi:type="dcterms:W3CDTF">2019-08-24T22:43:35Z</dcterms:modified>
</cp:coreProperties>
</file>