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sex\Year 3\Advanced Physics Laboratory\Laser Spectroscopy\"/>
    </mc:Choice>
  </mc:AlternateContent>
  <bookViews>
    <workbookView xWindow="14745" yWindow="4020" windowWidth="16515" windowHeight="7605" activeTab="3"/>
  </bookViews>
  <sheets>
    <sheet name="Values" sheetId="1" r:id="rId1"/>
    <sheet name="Uncertainties" sheetId="3" r:id="rId2"/>
    <sheet name="Calculations" sheetId="5" r:id="rId3"/>
    <sheet name="Printab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4" l="1"/>
  <c r="Q17" i="5"/>
  <c r="Q19" i="5" s="1"/>
  <c r="P17" i="5"/>
  <c r="P19" i="5" s="1"/>
  <c r="Q13" i="5"/>
  <c r="Q15" i="5" s="1"/>
  <c r="P13" i="5"/>
  <c r="P15" i="5" s="1"/>
  <c r="Q10" i="5"/>
  <c r="P10" i="5"/>
  <c r="Q8" i="5"/>
  <c r="P8" i="5"/>
  <c r="Q4" i="5"/>
  <c r="Q6" i="5" s="1"/>
  <c r="P4" i="5"/>
  <c r="P6" i="5" s="1"/>
  <c r="F14" i="5"/>
  <c r="F13" i="5"/>
  <c r="I13" i="5" s="1"/>
  <c r="F12" i="5"/>
  <c r="I12" i="5" s="1"/>
  <c r="F11" i="5"/>
  <c r="F10" i="5"/>
  <c r="F9" i="5"/>
  <c r="E14" i="5"/>
  <c r="H14" i="5" s="1"/>
  <c r="E13" i="5"/>
  <c r="E12" i="5"/>
  <c r="E11" i="5"/>
  <c r="E10" i="5"/>
  <c r="E8" i="5"/>
  <c r="E7" i="5"/>
  <c r="E6" i="5"/>
  <c r="E5" i="5"/>
  <c r="E4" i="5"/>
  <c r="E3" i="5"/>
  <c r="E9" i="5"/>
  <c r="H9" i="5" s="1"/>
  <c r="I14" i="5"/>
  <c r="H13" i="5"/>
  <c r="H12" i="5"/>
  <c r="I11" i="5"/>
  <c r="H11" i="5"/>
  <c r="I10" i="5"/>
  <c r="H10" i="5"/>
  <c r="I8" i="5"/>
  <c r="I7" i="5"/>
  <c r="H7" i="5"/>
  <c r="I6" i="5"/>
  <c r="H6" i="5"/>
  <c r="I5" i="5"/>
  <c r="H4" i="5"/>
  <c r="I3" i="5"/>
  <c r="I9" i="5" l="1"/>
  <c r="M3" i="5" s="1"/>
  <c r="M4" i="5" s="1"/>
  <c r="H8" i="5"/>
  <c r="H3" i="5"/>
  <c r="I4" i="5"/>
  <c r="H5" i="5"/>
  <c r="L3" i="5" l="1"/>
  <c r="L4" i="5" s="1"/>
  <c r="R26" i="4" l="1"/>
  <c r="Q26" i="4"/>
  <c r="H26" i="4"/>
  <c r="G26" i="4"/>
  <c r="F26" i="4"/>
  <c r="E26" i="4"/>
  <c r="R20" i="4"/>
  <c r="Q20" i="4"/>
  <c r="H20" i="4"/>
  <c r="G20" i="4"/>
  <c r="F20" i="4"/>
  <c r="E20" i="4"/>
  <c r="R14" i="4"/>
  <c r="Q14" i="4"/>
  <c r="H14" i="4"/>
  <c r="G14" i="4"/>
  <c r="F14" i="4"/>
  <c r="E14" i="4"/>
  <c r="R8" i="4"/>
  <c r="Q8" i="4"/>
  <c r="H8" i="4"/>
  <c r="G8" i="4"/>
  <c r="F8" i="4"/>
  <c r="E8" i="4"/>
  <c r="L7" i="4"/>
  <c r="K7" i="4"/>
  <c r="L6" i="4"/>
  <c r="K6" i="4"/>
  <c r="L5" i="4"/>
  <c r="R4" i="4"/>
  <c r="Q4" i="4"/>
  <c r="L4" i="4"/>
  <c r="K4" i="4"/>
  <c r="H4" i="4"/>
  <c r="G4" i="4"/>
  <c r="F4" i="4"/>
  <c r="E4" i="4"/>
  <c r="AG4" i="3" l="1" a="1"/>
  <c r="AG7" i="3" s="1"/>
  <c r="AG4" i="3"/>
  <c r="AG5" i="3"/>
  <c r="AG6" i="3"/>
  <c r="W4" i="3" a="1"/>
  <c r="X4" i="3" s="1"/>
  <c r="AG24" i="3" l="1"/>
  <c r="AG18" i="3"/>
  <c r="AG12" i="3"/>
  <c r="AG23" i="3"/>
  <c r="AG17" i="3"/>
  <c r="AG11" i="3"/>
  <c r="AG22" i="3"/>
  <c r="AG16" i="3"/>
  <c r="AG10" i="3"/>
  <c r="AG21" i="3"/>
  <c r="AG15" i="3"/>
  <c r="AG9" i="3"/>
  <c r="AG20" i="3"/>
  <c r="AG14" i="3"/>
  <c r="AG8" i="3"/>
  <c r="AG19" i="3"/>
  <c r="AG13" i="3"/>
  <c r="Y6" i="3"/>
  <c r="AA5" i="3"/>
  <c r="AC4" i="3"/>
  <c r="W4" i="3"/>
  <c r="AD6" i="3"/>
  <c r="X6" i="3"/>
  <c r="Z5" i="3"/>
  <c r="AB4" i="3"/>
  <c r="AC6" i="3"/>
  <c r="W6" i="3"/>
  <c r="Y5" i="3"/>
  <c r="AA4" i="3"/>
  <c r="AB6" i="3"/>
  <c r="AD5" i="3"/>
  <c r="X5" i="3"/>
  <c r="Z4" i="3"/>
  <c r="AA6" i="3"/>
  <c r="AC5" i="3"/>
  <c r="W5" i="3"/>
  <c r="Y4" i="3"/>
  <c r="Z6" i="3"/>
  <c r="AB5" i="3"/>
  <c r="AD4" i="3"/>
  <c r="T5" i="1"/>
  <c r="P5" i="1"/>
  <c r="L5" i="1"/>
  <c r="H5" i="1"/>
  <c r="T6" i="1"/>
  <c r="P6" i="1"/>
  <c r="L6" i="1"/>
  <c r="H6" i="1"/>
</calcChain>
</file>

<file path=xl/sharedStrings.xml><?xml version="1.0" encoding="utf-8"?>
<sst xmlns="http://schemas.openxmlformats.org/spreadsheetml/2006/main" count="406" uniqueCount="85">
  <si>
    <t>CSV</t>
  </si>
  <si>
    <t>Peak Function</t>
  </si>
  <si>
    <t>Peak #1</t>
  </si>
  <si>
    <t>Peak #2</t>
  </si>
  <si>
    <t>Peak #4</t>
  </si>
  <si>
    <t>Peak #3</t>
  </si>
  <si>
    <t>Peak #5</t>
  </si>
  <si>
    <t>Peak #6</t>
  </si>
  <si>
    <t>Broadened Initial Saturated Attempt</t>
  </si>
  <si>
    <t>Broadened First Set</t>
  </si>
  <si>
    <t>Broadened Second Set</t>
  </si>
  <si>
    <t>Folder</t>
  </si>
  <si>
    <t>Broadened</t>
  </si>
  <si>
    <t>Gaussian</t>
  </si>
  <si>
    <t>1 87Rb Fg = 2</t>
  </si>
  <si>
    <t>Lorentzian</t>
  </si>
  <si>
    <t>First take rough</t>
  </si>
  <si>
    <t>First Take rough</t>
  </si>
  <si>
    <t>Oscilloscope Smoothing again</t>
  </si>
  <si>
    <t>3 85Rb Fg = 2</t>
  </si>
  <si>
    <t>2 85Rb Fg = 3</t>
  </si>
  <si>
    <t>Saturated 3rd Peaks Initial</t>
  </si>
  <si>
    <t>Saturated 3rd Peaks Initial Take 2</t>
  </si>
  <si>
    <t>4 87Rb Fg = 1</t>
  </si>
  <si>
    <t>Saturated 6 peaks of hyperfine</t>
  </si>
  <si>
    <t>x</t>
  </si>
  <si>
    <t>Fabry Perot calibration</t>
  </si>
  <si>
    <t>Number of peaks</t>
  </si>
  <si>
    <t>Location of last peak,FP2</t>
  </si>
  <si>
    <t>Location of first peak, FP1</t>
  </si>
  <si>
    <t>This one had oscilloscope smoothing on</t>
  </si>
  <si>
    <t>Doppler Broadened first set</t>
  </si>
  <si>
    <t>Comparing Fabry Perot calibration to known frequency transitions:</t>
  </si>
  <si>
    <t>Doppler Broadened second set</t>
  </si>
  <si>
    <t>Uncertainty</t>
  </si>
  <si>
    <t>X</t>
  </si>
  <si>
    <t xml:space="preserve">Value </t>
  </si>
  <si>
    <t>Calculated 87Rb(F=1&lt;-&gt;F=2) (MHz)</t>
  </si>
  <si>
    <t>Accepted 87Rb(F=1&lt;-&gt;F=2) (MHz)</t>
  </si>
  <si>
    <t>Calculated 85Rb(F=2&lt;-&gt;F=3) (MHz)</t>
  </si>
  <si>
    <t>Accepted 85Rb(F=2&lt;-&gt;F=3) (MHz)</t>
  </si>
  <si>
    <t>Percent error of 85Rb(F=2&lt;-&gt;F=3)</t>
  </si>
  <si>
    <t xml:space="preserve">Percent error of 87 Rb(F=1&lt;=&gt;F=2) </t>
  </si>
  <si>
    <t>Deviation (MHz)</t>
  </si>
  <si>
    <t>Linewidth (MHz)</t>
  </si>
  <si>
    <t>Amplitude (V)</t>
  </si>
  <si>
    <t>Mean (MHz)</t>
  </si>
  <si>
    <t>Gradient (V/MHz)</t>
  </si>
  <si>
    <t>Intercept (V)</t>
  </si>
  <si>
    <t>Second oscillioscope smoothed data</t>
  </si>
  <si>
    <t>Second take of data</t>
  </si>
  <si>
    <t>xx</t>
  </si>
  <si>
    <t>DataSet</t>
  </si>
  <si>
    <t>Frequency between peaks (MHz)</t>
  </si>
  <si>
    <t>RealVal (MHz)</t>
  </si>
  <si>
    <t>Calibration Coefficient ()</t>
  </si>
  <si>
    <t>Error</t>
  </si>
  <si>
    <t>Mean Calibration Coefficient</t>
  </si>
  <si>
    <t>Value</t>
  </si>
  <si>
    <t>FP Distance (MHz)</t>
  </si>
  <si>
    <t>Initial Peak Number</t>
  </si>
  <si>
    <t>Final Peak Number</t>
  </si>
  <si>
    <t>Estimate from Data(MHz)</t>
  </si>
  <si>
    <t>Error on Estimate  (MHz)</t>
  </si>
  <si>
    <t>Error on Coefficient()</t>
  </si>
  <si>
    <t>CSV                  (.csv)</t>
  </si>
  <si>
    <t>Transitions</t>
  </si>
  <si>
    <t>Intercept ± Uncertainty (mV)</t>
  </si>
  <si>
    <t>Gradient ± Uncertainty (V/Hz)</t>
  </si>
  <si>
    <t>Peak Values</t>
  </si>
  <si>
    <t>Fabry Perot Calibration</t>
  </si>
  <si>
    <t>Deviation ± Uncertainty (MHz)</t>
  </si>
  <si>
    <t>Linewidth ± Uncertainty (MHz)</t>
  </si>
  <si>
    <t>Mean ± Uncertainty       (MHz)</t>
  </si>
  <si>
    <t>Amplitude ± Uncertainty (V)</t>
  </si>
  <si>
    <t>First Peak       (ms)</t>
  </si>
  <si>
    <t>Last Peak        (ms)</t>
  </si>
  <si>
    <t>Peak Number</t>
  </si>
  <si>
    <t>Peak Separation (MHz)</t>
  </si>
  <si>
    <t>Doppler Broadened</t>
  </si>
  <si>
    <t>87Rb Fg = 2</t>
  </si>
  <si>
    <t>-</t>
  </si>
  <si>
    <t>85Rb Fg = 3</t>
  </si>
  <si>
    <t>85Rb Fg = 2</t>
  </si>
  <si>
    <t>87Rb Fg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</si>
</sst>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00"/>
    <numFmt numFmtId="166" formatCode="0.000000"/>
    <numFmt numFmtId="167" formatCode="0.00000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11" fontId="0" fillId="2" borderId="2" xfId="0" applyNumberFormat="1" applyFill="1" applyBorder="1"/>
    <xf numFmtId="0" fontId="0" fillId="4" borderId="0" xfId="0" applyFill="1"/>
    <xf numFmtId="2" fontId="0" fillId="0" borderId="0" xfId="0" applyNumberFormat="1"/>
    <xf numFmtId="0" fontId="0" fillId="0" borderId="5" xfId="0" applyBorder="1"/>
    <xf numFmtId="1" fontId="0" fillId="0" borderId="5" xfId="0" applyNumberFormat="1" applyBorder="1"/>
    <xf numFmtId="2" fontId="0" fillId="0" borderId="5" xfId="0" applyNumberFormat="1" applyBorder="1"/>
    <xf numFmtId="0" fontId="0" fillId="0" borderId="5" xfId="0" applyBorder="1" applyAlignment="1">
      <alignment horizontal="center"/>
    </xf>
    <xf numFmtId="10" fontId="0" fillId="0" borderId="5" xfId="0" applyNumberFormat="1" applyBorder="1"/>
    <xf numFmtId="2" fontId="0" fillId="2" borderId="2" xfId="0" applyNumberFormat="1" applyFill="1" applyBorder="1"/>
    <xf numFmtId="2" fontId="0" fillId="0" borderId="2" xfId="0" applyNumberFormat="1" applyBorder="1"/>
    <xf numFmtId="11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11" fontId="0" fillId="5" borderId="2" xfId="0" applyNumberFormat="1" applyFill="1" applyBorder="1"/>
    <xf numFmtId="2" fontId="0" fillId="5" borderId="0" xfId="0" applyNumberFormat="1" applyFill="1"/>
    <xf numFmtId="0" fontId="0" fillId="2" borderId="6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4" xfId="0" applyFill="1" applyBorder="1"/>
    <xf numFmtId="0" fontId="1" fillId="3" borderId="7" xfId="0" applyFont="1" applyFill="1" applyBorder="1" applyAlignment="1">
      <alignment vertical="center"/>
    </xf>
    <xf numFmtId="2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10" xfId="0" applyFont="1" applyFill="1" applyBorder="1"/>
    <xf numFmtId="2" fontId="1" fillId="3" borderId="10" xfId="0" applyNumberFormat="1" applyFont="1" applyFill="1" applyBorder="1"/>
    <xf numFmtId="2" fontId="0" fillId="6" borderId="12" xfId="0" applyNumberFormat="1" applyFont="1" applyFill="1" applyBorder="1"/>
    <xf numFmtId="2" fontId="0" fillId="2" borderId="9" xfId="0" applyNumberFormat="1" applyFont="1" applyFill="1" applyBorder="1"/>
    <xf numFmtId="2" fontId="0" fillId="6" borderId="9" xfId="0" applyNumberFormat="1" applyFont="1" applyFill="1" applyBorder="1"/>
    <xf numFmtId="165" fontId="0" fillId="2" borderId="9" xfId="0" applyNumberFormat="1" applyFont="1" applyFill="1" applyBorder="1"/>
    <xf numFmtId="166" fontId="0" fillId="6" borderId="12" xfId="0" applyNumberFormat="1" applyFont="1" applyFill="1" applyBorder="1"/>
    <xf numFmtId="166" fontId="0" fillId="2" borderId="9" xfId="0" applyNumberFormat="1" applyFont="1" applyFill="1" applyBorder="1"/>
    <xf numFmtId="166" fontId="0" fillId="6" borderId="9" xfId="0" applyNumberFormat="1" applyFont="1" applyFill="1" applyBorder="1"/>
    <xf numFmtId="1" fontId="0" fillId="6" borderId="12" xfId="0" applyNumberFormat="1" applyFont="1" applyFill="1" applyBorder="1"/>
    <xf numFmtId="1" fontId="0" fillId="2" borderId="9" xfId="0" applyNumberFormat="1" applyFont="1" applyFill="1" applyBorder="1"/>
    <xf numFmtId="1" fontId="0" fillId="6" borderId="9" xfId="0" applyNumberFormat="1" applyFont="1" applyFill="1" applyBorder="1"/>
    <xf numFmtId="166" fontId="0" fillId="6" borderId="12" xfId="1" applyNumberFormat="1" applyFont="1" applyFill="1" applyBorder="1"/>
    <xf numFmtId="166" fontId="0" fillId="2" borderId="9" xfId="1" applyNumberFormat="1" applyFont="1" applyFill="1" applyBorder="1"/>
    <xf numFmtId="166" fontId="0" fillId="6" borderId="9" xfId="1" applyNumberFormat="1" applyFont="1" applyFill="1" applyBorder="1"/>
    <xf numFmtId="167" fontId="0" fillId="6" borderId="12" xfId="0" applyNumberFormat="1" applyFont="1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2" fontId="0" fillId="2" borderId="19" xfId="0" applyNumberFormat="1" applyFill="1" applyBorder="1" applyAlignment="1">
      <alignment horizontal="center" vertical="center" wrapText="1"/>
    </xf>
    <xf numFmtId="2" fontId="0" fillId="2" borderId="19" xfId="0" applyNumberFormat="1" applyFill="1" applyBorder="1" applyAlignment="1">
      <alignment horizontal="center" vertical="center" wrapText="1"/>
    </xf>
    <xf numFmtId="168" fontId="0" fillId="2" borderId="19" xfId="0" applyNumberForma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2" fontId="0" fillId="2" borderId="20" xfId="0" applyNumberFormat="1" applyFill="1" applyBorder="1" applyAlignment="1">
      <alignment horizontal="center" vertical="center" wrapText="1"/>
    </xf>
    <xf numFmtId="2" fontId="0" fillId="2" borderId="20" xfId="0" applyNumberFormat="1" applyFill="1" applyBorder="1" applyAlignment="1">
      <alignment horizontal="center" vertical="center" wrapText="1"/>
    </xf>
    <xf numFmtId="168" fontId="0" fillId="2" borderId="20" xfId="0" applyNumberForma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168" fontId="0" fillId="0" borderId="20" xfId="0" applyNumberFormat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2" fontId="0" fillId="2" borderId="23" xfId="0" applyNumberFormat="1" applyFill="1" applyBorder="1" applyAlignment="1">
      <alignment horizontal="center" vertical="center" wrapText="1"/>
    </xf>
    <xf numFmtId="2" fontId="0" fillId="2" borderId="21" xfId="0" applyNumberFormat="1" applyFill="1" applyBorder="1" applyAlignment="1">
      <alignment horizontal="center" vertical="center" wrapText="1"/>
    </xf>
    <xf numFmtId="2" fontId="0" fillId="2" borderId="22" xfId="0" applyNumberFormat="1" applyFill="1" applyBorder="1" applyAlignment="1">
      <alignment horizontal="center" vertical="center" wrapText="1"/>
    </xf>
    <xf numFmtId="168" fontId="0" fillId="2" borderId="23" xfId="0" applyNumberForma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2" fontId="0" fillId="2" borderId="24" xfId="0" applyNumberFormat="1" applyFill="1" applyBorder="1" applyAlignment="1">
      <alignment horizontal="center" vertical="center" wrapText="1"/>
    </xf>
    <xf numFmtId="168" fontId="0" fillId="2" borderId="24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 wrapText="1"/>
    </xf>
    <xf numFmtId="168" fontId="0" fillId="0" borderId="23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168" fontId="0" fillId="0" borderId="24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168" fontId="0" fillId="0" borderId="19" xfId="0" applyNumberForma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0" fillId="6" borderId="25" xfId="0" applyFont="1" applyFill="1" applyBorder="1" applyAlignment="1">
      <alignment horizontal="center" vertical="center" wrapText="1"/>
    </xf>
    <xf numFmtId="1" fontId="0" fillId="2" borderId="26" xfId="0" applyNumberFormat="1" applyFont="1" applyFill="1" applyBorder="1"/>
    <xf numFmtId="2" fontId="0" fillId="2" borderId="26" xfId="0" applyNumberFormat="1" applyFont="1" applyFill="1" applyBorder="1"/>
    <xf numFmtId="2" fontId="0" fillId="2" borderId="27" xfId="0" applyNumberFormat="1" applyFont="1" applyFill="1" applyBorder="1"/>
    <xf numFmtId="166" fontId="0" fillId="2" borderId="26" xfId="0" applyNumberFormat="1" applyFont="1" applyFill="1" applyBorder="1"/>
    <xf numFmtId="166" fontId="0" fillId="2" borderId="27" xfId="1" applyNumberFormat="1" applyFont="1" applyFill="1" applyBorder="1"/>
    <xf numFmtId="0" fontId="0" fillId="2" borderId="15" xfId="0" applyFont="1" applyFill="1" applyBorder="1" applyAlignment="1">
      <alignment horizontal="center" vertical="center" wrapText="1"/>
    </xf>
    <xf numFmtId="1" fontId="0" fillId="6" borderId="18" xfId="0" applyNumberFormat="1" applyFont="1" applyFill="1" applyBorder="1"/>
    <xf numFmtId="2" fontId="0" fillId="6" borderId="18" xfId="0" applyNumberFormat="1" applyFont="1" applyFill="1" applyBorder="1"/>
    <xf numFmtId="2" fontId="0" fillId="6" borderId="28" xfId="0" applyNumberFormat="1" applyFont="1" applyFill="1" applyBorder="1"/>
    <xf numFmtId="166" fontId="0" fillId="6" borderId="18" xfId="0" applyNumberFormat="1" applyFont="1" applyFill="1" applyBorder="1"/>
    <xf numFmtId="166" fontId="0" fillId="6" borderId="18" xfId="1" applyNumberFormat="1" applyFont="1" applyFill="1" applyBorder="1"/>
    <xf numFmtId="2" fontId="0" fillId="2" borderId="7" xfId="0" applyNumberFormat="1" applyFont="1" applyFill="1" applyBorder="1"/>
    <xf numFmtId="2" fontId="0" fillId="6" borderId="7" xfId="0" applyNumberFormat="1" applyFont="1" applyFill="1" applyBorder="1"/>
    <xf numFmtId="0" fontId="0" fillId="2" borderId="25" xfId="0" applyFont="1" applyFill="1" applyBorder="1" applyAlignment="1">
      <alignment horizontal="center" vertical="center" wrapText="1"/>
    </xf>
    <xf numFmtId="166" fontId="0" fillId="2" borderId="26" xfId="1" applyNumberFormat="1" applyFont="1" applyFill="1" applyBorder="1"/>
    <xf numFmtId="0" fontId="0" fillId="7" borderId="1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5"/>
  <sheetViews>
    <sheetView zoomScale="85" zoomScaleNormal="85" workbookViewId="0">
      <selection activeCell="D29" sqref="D29"/>
    </sheetView>
  </sheetViews>
  <sheetFormatPr defaultRowHeight="15" x14ac:dyDescent="0.25"/>
  <cols>
    <col min="1" max="1" width="13.140625" bestFit="1" customWidth="1"/>
    <col min="2" max="2" width="40.7109375" customWidth="1"/>
    <col min="3" max="3" width="18.7109375" customWidth="1"/>
    <col min="4" max="4" width="16.28515625" bestFit="1" customWidth="1"/>
    <col min="5" max="5" width="12" bestFit="1" customWidth="1"/>
    <col min="6" max="6" width="17" bestFit="1" customWidth="1"/>
    <col min="7" max="7" width="15.5703125" bestFit="1" customWidth="1"/>
    <col min="8" max="8" width="15.85546875" style="10" bestFit="1" customWidth="1"/>
    <col min="9" max="9" width="12" bestFit="1" customWidth="1"/>
    <col min="10" max="10" width="13.7109375" bestFit="1" customWidth="1"/>
    <col min="11" max="11" width="15.5703125" bestFit="1" customWidth="1"/>
    <col min="12" max="12" width="15.85546875" bestFit="1" customWidth="1"/>
    <col min="13" max="13" width="12" bestFit="1" customWidth="1"/>
    <col min="14" max="14" width="13.7109375" bestFit="1" customWidth="1"/>
    <col min="15" max="15" width="15.5703125" bestFit="1" customWidth="1"/>
    <col min="16" max="16" width="15.85546875" bestFit="1" customWidth="1"/>
    <col min="17" max="17" width="12" bestFit="1" customWidth="1"/>
    <col min="18" max="18" width="13.7109375" bestFit="1" customWidth="1"/>
    <col min="19" max="19" width="15.5703125" bestFit="1" customWidth="1"/>
    <col min="20" max="20" width="15.85546875" bestFit="1" customWidth="1"/>
    <col min="21" max="21" width="12" bestFit="1" customWidth="1"/>
    <col min="22" max="22" width="13.7109375" bestFit="1" customWidth="1"/>
    <col min="23" max="23" width="15.5703125" bestFit="1" customWidth="1"/>
    <col min="24" max="24" width="15.85546875" bestFit="1" customWidth="1"/>
    <col min="25" max="25" width="12" bestFit="1" customWidth="1"/>
    <col min="26" max="26" width="13.7109375" bestFit="1" customWidth="1"/>
    <col min="27" max="27" width="15.5703125" bestFit="1" customWidth="1"/>
    <col min="28" max="28" width="15.85546875" bestFit="1" customWidth="1"/>
    <col min="29" max="29" width="12" bestFit="1" customWidth="1"/>
    <col min="30" max="30" width="13.7109375" bestFit="1" customWidth="1"/>
    <col min="31" max="31" width="24" bestFit="1" customWidth="1"/>
    <col min="32" max="32" width="23.140625" bestFit="1" customWidth="1"/>
    <col min="33" max="33" width="16.28515625" bestFit="1" customWidth="1"/>
    <col min="34" max="34" width="31.7109375" customWidth="1"/>
  </cols>
  <sheetData>
    <row r="2" spans="1:34" s="7" customFormat="1" x14ac:dyDescent="0.25">
      <c r="B2" s="52" t="s">
        <v>0</v>
      </c>
      <c r="C2" s="52" t="s">
        <v>11</v>
      </c>
      <c r="D2" s="52" t="s">
        <v>1</v>
      </c>
      <c r="E2" s="52" t="s">
        <v>48</v>
      </c>
      <c r="F2" s="52" t="s">
        <v>47</v>
      </c>
      <c r="G2" s="52" t="s">
        <v>2</v>
      </c>
      <c r="H2" s="52"/>
      <c r="I2" s="52"/>
      <c r="J2" s="52"/>
      <c r="K2" s="52" t="s">
        <v>3</v>
      </c>
      <c r="L2" s="52"/>
      <c r="M2" s="52"/>
      <c r="N2" s="52"/>
      <c r="O2" s="52" t="s">
        <v>5</v>
      </c>
      <c r="P2" s="52"/>
      <c r="Q2" s="52"/>
      <c r="R2" s="52"/>
      <c r="S2" s="52" t="s">
        <v>4</v>
      </c>
      <c r="T2" s="52"/>
      <c r="U2" s="52"/>
      <c r="V2" s="52"/>
      <c r="W2" s="52" t="s">
        <v>6</v>
      </c>
      <c r="X2" s="52"/>
      <c r="Y2" s="52"/>
      <c r="Z2" s="52"/>
      <c r="AA2" s="52" t="s">
        <v>7</v>
      </c>
      <c r="AB2" s="52"/>
      <c r="AC2" s="52"/>
      <c r="AD2" s="52"/>
      <c r="AE2" s="52" t="s">
        <v>26</v>
      </c>
      <c r="AF2" s="52"/>
      <c r="AG2" s="52"/>
      <c r="AH2" s="52"/>
    </row>
    <row r="3" spans="1:34" s="7" customFormat="1" x14ac:dyDescent="0.25">
      <c r="B3" s="52"/>
      <c r="C3" s="52"/>
      <c r="D3" s="52"/>
      <c r="E3" s="52"/>
      <c r="F3" s="52"/>
      <c r="G3" s="30" t="s">
        <v>43</v>
      </c>
      <c r="H3" s="31" t="s">
        <v>44</v>
      </c>
      <c r="I3" s="32" t="s">
        <v>46</v>
      </c>
      <c r="J3" s="32" t="s">
        <v>45</v>
      </c>
      <c r="K3" s="30" t="s">
        <v>43</v>
      </c>
      <c r="L3" s="31" t="s">
        <v>44</v>
      </c>
      <c r="M3" s="32" t="s">
        <v>46</v>
      </c>
      <c r="N3" s="32" t="s">
        <v>45</v>
      </c>
      <c r="O3" s="30" t="s">
        <v>43</v>
      </c>
      <c r="P3" s="31" t="s">
        <v>44</v>
      </c>
      <c r="Q3" s="32" t="s">
        <v>46</v>
      </c>
      <c r="R3" s="32" t="s">
        <v>45</v>
      </c>
      <c r="S3" s="30" t="s">
        <v>43</v>
      </c>
      <c r="T3" s="31" t="s">
        <v>44</v>
      </c>
      <c r="U3" s="32" t="s">
        <v>46</v>
      </c>
      <c r="V3" s="32" t="s">
        <v>45</v>
      </c>
      <c r="W3" s="30" t="s">
        <v>43</v>
      </c>
      <c r="X3" s="31" t="s">
        <v>44</v>
      </c>
      <c r="Y3" s="32" t="s">
        <v>46</v>
      </c>
      <c r="Z3" s="32" t="s">
        <v>45</v>
      </c>
      <c r="AA3" s="30" t="s">
        <v>43</v>
      </c>
      <c r="AB3" s="31" t="s">
        <v>44</v>
      </c>
      <c r="AC3" s="32" t="s">
        <v>46</v>
      </c>
      <c r="AD3" s="32" t="s">
        <v>45</v>
      </c>
      <c r="AE3" s="32" t="s">
        <v>29</v>
      </c>
      <c r="AF3" s="32" t="s">
        <v>28</v>
      </c>
      <c r="AG3" s="32" t="s">
        <v>27</v>
      </c>
      <c r="AH3" s="32" t="s">
        <v>53</v>
      </c>
    </row>
    <row r="4" spans="1:34" x14ac:dyDescent="0.25">
      <c r="A4" s="7"/>
      <c r="B4" s="26" t="s">
        <v>8</v>
      </c>
      <c r="C4" s="27" t="s">
        <v>12</v>
      </c>
      <c r="D4" s="27" t="s">
        <v>13</v>
      </c>
      <c r="E4" s="27"/>
      <c r="F4" s="27"/>
      <c r="G4" s="27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9"/>
      <c r="AD4" s="29"/>
      <c r="AE4" s="27"/>
      <c r="AF4" s="29"/>
      <c r="AG4" s="29"/>
      <c r="AH4" s="29"/>
    </row>
    <row r="5" spans="1:34" s="9" customFormat="1" x14ac:dyDescent="0.25">
      <c r="A5" s="7"/>
      <c r="B5" s="22" t="s">
        <v>9</v>
      </c>
      <c r="C5" s="23" t="s">
        <v>12</v>
      </c>
      <c r="D5" s="23" t="s">
        <v>13</v>
      </c>
      <c r="E5" s="23">
        <v>-4.9127999999999998</v>
      </c>
      <c r="F5" s="24">
        <v>2.7332000000000002E-4</v>
      </c>
      <c r="G5" s="24">
        <v>294</v>
      </c>
      <c r="H5" s="25">
        <f>2*G5*SQRT(2*LN(2))</f>
        <v>692.31709323909911</v>
      </c>
      <c r="I5" s="24">
        <v>1150</v>
      </c>
      <c r="J5" s="24">
        <v>3115.2</v>
      </c>
      <c r="K5" s="24">
        <v>322</v>
      </c>
      <c r="L5" s="21">
        <f>2*K5*SQRT(2*LN(2))</f>
        <v>758.25205449996565</v>
      </c>
      <c r="M5" s="24">
        <v>2350</v>
      </c>
      <c r="N5" s="24">
        <v>4816.3999999999996</v>
      </c>
      <c r="O5" s="24">
        <v>271</v>
      </c>
      <c r="P5" s="21">
        <f>2*O5*SQRT(2*LN(2))</f>
        <v>638.15623220338728</v>
      </c>
      <c r="Q5" s="24">
        <v>5280</v>
      </c>
      <c r="R5" s="24">
        <v>2662.8</v>
      </c>
      <c r="S5" s="24">
        <v>261</v>
      </c>
      <c r="T5" s="21">
        <f>2*S5*SQRT(2*LN(2))</f>
        <v>614.60803175307774</v>
      </c>
      <c r="U5" s="24">
        <v>7690</v>
      </c>
      <c r="V5" s="24">
        <v>981.69</v>
      </c>
      <c r="W5" s="23" t="s">
        <v>25</v>
      </c>
      <c r="X5" s="23" t="s">
        <v>25</v>
      </c>
      <c r="Y5" s="23" t="s">
        <v>25</v>
      </c>
      <c r="Z5" s="23" t="s">
        <v>25</v>
      </c>
      <c r="AA5" s="23" t="s">
        <v>25</v>
      </c>
      <c r="AB5" s="23" t="s">
        <v>25</v>
      </c>
      <c r="AC5" s="23" t="s">
        <v>25</v>
      </c>
      <c r="AD5" s="23" t="s">
        <v>25</v>
      </c>
      <c r="AE5" s="23">
        <v>1.225E-3</v>
      </c>
      <c r="AF5" s="23">
        <v>1.462E-3</v>
      </c>
      <c r="AG5" s="23">
        <v>23</v>
      </c>
      <c r="AH5" s="23">
        <v>380</v>
      </c>
    </row>
    <row r="6" spans="1:34" x14ac:dyDescent="0.25">
      <c r="A6" s="7"/>
      <c r="B6" s="1" t="s">
        <v>10</v>
      </c>
      <c r="C6" s="2" t="s">
        <v>12</v>
      </c>
      <c r="D6" s="2" t="s">
        <v>13</v>
      </c>
      <c r="E6" s="2">
        <v>-2.9790999999999999</v>
      </c>
      <c r="F6" s="8">
        <v>2.7300000000000002E-4</v>
      </c>
      <c r="G6" s="8">
        <v>260</v>
      </c>
      <c r="H6" s="16">
        <f>2*G6*SQRT(2*LN(2))</f>
        <v>612.25321170804682</v>
      </c>
      <c r="I6" s="2">
        <v>2870</v>
      </c>
      <c r="J6" s="8">
        <v>3079.2</v>
      </c>
      <c r="K6" s="8">
        <v>301</v>
      </c>
      <c r="L6" s="8">
        <f>2*K6*SQRT(2*LN(2))</f>
        <v>708.80083355431577</v>
      </c>
      <c r="M6" s="8">
        <v>3970</v>
      </c>
      <c r="N6" s="8">
        <v>5104.5</v>
      </c>
      <c r="O6" s="8">
        <v>275</v>
      </c>
      <c r="P6" s="8">
        <f>2*O6*SQRT(2*LN(2))</f>
        <v>647.57551238351107</v>
      </c>
      <c r="Q6" s="8">
        <v>6810</v>
      </c>
      <c r="R6" s="8">
        <v>3067.5</v>
      </c>
      <c r="S6" s="8">
        <v>293</v>
      </c>
      <c r="T6" s="8">
        <f>2*S6*SQRT(2*LN(2))</f>
        <v>689.96227319406819</v>
      </c>
      <c r="U6" s="8">
        <v>9350</v>
      </c>
      <c r="V6" s="8">
        <v>1258.7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25</v>
      </c>
      <c r="AD6" s="3" t="s">
        <v>25</v>
      </c>
      <c r="AE6" s="2">
        <v>3.137E-3</v>
      </c>
      <c r="AF6" s="3">
        <v>2.1540000000000001E-3</v>
      </c>
      <c r="AG6" s="3">
        <v>34</v>
      </c>
      <c r="AH6" s="3">
        <v>380</v>
      </c>
    </row>
    <row r="7" spans="1:34" x14ac:dyDescent="0.25">
      <c r="A7" s="7"/>
      <c r="B7" s="4" t="s">
        <v>24</v>
      </c>
      <c r="C7" s="5" t="s">
        <v>14</v>
      </c>
      <c r="D7" s="5" t="s">
        <v>15</v>
      </c>
      <c r="E7" s="18">
        <v>1.8599999999999998E-2</v>
      </c>
      <c r="F7" s="18">
        <v>7.7300000000000005E-6</v>
      </c>
      <c r="G7" s="5" t="s">
        <v>25</v>
      </c>
      <c r="H7" s="20">
        <v>422</v>
      </c>
      <c r="I7" s="20">
        <v>128</v>
      </c>
      <c r="J7" s="19">
        <v>11.2</v>
      </c>
      <c r="K7" s="5" t="s">
        <v>25</v>
      </c>
      <c r="L7" s="19">
        <v>20.9</v>
      </c>
      <c r="M7" s="20">
        <v>119</v>
      </c>
      <c r="N7" s="5">
        <v>1.3</v>
      </c>
      <c r="O7" s="5" t="s">
        <v>25</v>
      </c>
      <c r="P7" s="5">
        <v>24</v>
      </c>
      <c r="Q7" s="5">
        <v>202</v>
      </c>
      <c r="R7" s="5">
        <v>1.54</v>
      </c>
      <c r="S7" s="5" t="s">
        <v>25</v>
      </c>
      <c r="T7" s="5">
        <v>19.3</v>
      </c>
      <c r="U7" s="5">
        <v>256</v>
      </c>
      <c r="V7" s="5">
        <v>5.88</v>
      </c>
      <c r="W7" s="5" t="s">
        <v>25</v>
      </c>
      <c r="X7" s="5">
        <v>28</v>
      </c>
      <c r="Y7" s="5">
        <v>339</v>
      </c>
      <c r="Z7" s="5">
        <v>12.5</v>
      </c>
      <c r="AA7" s="5" t="s">
        <v>25</v>
      </c>
      <c r="AB7" s="5">
        <v>12.9</v>
      </c>
      <c r="AC7" s="5">
        <v>473</v>
      </c>
      <c r="AD7" s="5">
        <v>1.9</v>
      </c>
      <c r="AE7" s="5">
        <v>2.8649999999999999E-3</v>
      </c>
      <c r="AF7" s="6">
        <v>2.5019999999999999E-3</v>
      </c>
      <c r="AG7" s="6">
        <v>1</v>
      </c>
      <c r="AH7" s="6">
        <v>380</v>
      </c>
    </row>
    <row r="8" spans="1:34" x14ac:dyDescent="0.25">
      <c r="A8" s="7"/>
      <c r="B8" s="1" t="s">
        <v>49</v>
      </c>
      <c r="C8" s="2" t="s">
        <v>14</v>
      </c>
      <c r="D8" s="2" t="s">
        <v>15</v>
      </c>
      <c r="E8" s="2">
        <v>0.121</v>
      </c>
      <c r="F8" s="8">
        <v>-7.5699999999999997E-5</v>
      </c>
      <c r="G8" s="2" t="s">
        <v>25</v>
      </c>
      <c r="H8" s="2">
        <v>100</v>
      </c>
      <c r="I8" s="2">
        <v>33.299999999999997</v>
      </c>
      <c r="J8" s="2">
        <v>8.59</v>
      </c>
      <c r="K8" s="2" t="s">
        <v>25</v>
      </c>
      <c r="L8" s="2">
        <v>29.7</v>
      </c>
      <c r="M8" s="2">
        <v>117</v>
      </c>
      <c r="N8" s="2">
        <v>6.92</v>
      </c>
      <c r="O8" s="2" t="s">
        <v>25</v>
      </c>
      <c r="P8" s="2">
        <v>33.200000000000003</v>
      </c>
      <c r="Q8" s="2">
        <v>196</v>
      </c>
      <c r="R8" s="2">
        <v>7.69</v>
      </c>
      <c r="S8" s="2" t="s">
        <v>25</v>
      </c>
      <c r="T8" s="2">
        <v>21.1</v>
      </c>
      <c r="U8" s="2">
        <v>248</v>
      </c>
      <c r="V8" s="2">
        <v>25.7</v>
      </c>
      <c r="W8" s="2" t="s">
        <v>25</v>
      </c>
      <c r="X8" s="2">
        <v>25.7</v>
      </c>
      <c r="Y8" s="2">
        <v>325</v>
      </c>
      <c r="Z8" s="2">
        <v>42.3</v>
      </c>
      <c r="AA8" s="2" t="s">
        <v>25</v>
      </c>
      <c r="AB8" s="2">
        <v>11.3</v>
      </c>
      <c r="AC8" s="2">
        <v>459</v>
      </c>
      <c r="AD8" s="2">
        <v>4.8</v>
      </c>
      <c r="AE8" s="2">
        <v>3.5825000000000001E-4</v>
      </c>
      <c r="AF8" s="2">
        <v>3.8529999999999999E-4</v>
      </c>
      <c r="AG8" s="2">
        <v>1</v>
      </c>
      <c r="AH8" s="3">
        <v>380</v>
      </c>
    </row>
    <row r="9" spans="1:34" x14ac:dyDescent="0.25">
      <c r="B9" s="4" t="s">
        <v>21</v>
      </c>
      <c r="C9" s="5" t="s">
        <v>20</v>
      </c>
      <c r="D9" s="5" t="s">
        <v>15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  <c r="AB9" s="5" t="s">
        <v>25</v>
      </c>
      <c r="AC9" s="5" t="s">
        <v>25</v>
      </c>
      <c r="AD9" s="5" t="s">
        <v>25</v>
      </c>
      <c r="AE9" s="5" t="s">
        <v>25</v>
      </c>
      <c r="AF9" s="5" t="s">
        <v>25</v>
      </c>
      <c r="AG9" s="5" t="s">
        <v>25</v>
      </c>
      <c r="AH9" s="6">
        <v>380</v>
      </c>
    </row>
    <row r="10" spans="1:34" x14ac:dyDescent="0.25">
      <c r="B10" s="1" t="s">
        <v>22</v>
      </c>
      <c r="C10" s="2" t="s">
        <v>20</v>
      </c>
      <c r="D10" s="2" t="s">
        <v>15</v>
      </c>
      <c r="E10" s="8">
        <v>-8.2100000000000006E-2</v>
      </c>
      <c r="F10" s="8">
        <v>-7.0999999999999998E-6</v>
      </c>
      <c r="G10" s="2" t="s">
        <v>25</v>
      </c>
      <c r="H10" s="2">
        <v>16.8</v>
      </c>
      <c r="I10" s="2">
        <v>194</v>
      </c>
      <c r="J10" s="2">
        <v>0.33400000000000002</v>
      </c>
      <c r="K10" s="2" t="s">
        <v>25</v>
      </c>
      <c r="L10" s="2">
        <v>18.899999999999999</v>
      </c>
      <c r="M10" s="2">
        <v>223</v>
      </c>
      <c r="N10" s="2">
        <v>1.1299999999999999</v>
      </c>
      <c r="O10" s="2" t="s">
        <v>25</v>
      </c>
      <c r="P10" s="2">
        <v>23.6</v>
      </c>
      <c r="Q10" s="2">
        <v>253</v>
      </c>
      <c r="R10" s="2">
        <v>1.28</v>
      </c>
      <c r="S10" s="2" t="s">
        <v>25</v>
      </c>
      <c r="T10" s="2">
        <v>16.2</v>
      </c>
      <c r="U10" s="2">
        <v>280</v>
      </c>
      <c r="V10" s="2">
        <v>5.91</v>
      </c>
      <c r="W10" s="2" t="s">
        <v>25</v>
      </c>
      <c r="X10" s="2">
        <v>17.899999999999999</v>
      </c>
      <c r="Y10" s="2">
        <v>314</v>
      </c>
      <c r="Z10" s="2">
        <v>7.67</v>
      </c>
      <c r="AA10" s="2" t="s">
        <v>25</v>
      </c>
      <c r="AB10" s="2">
        <v>11.9</v>
      </c>
      <c r="AC10" s="2">
        <v>378</v>
      </c>
      <c r="AD10" s="2">
        <v>1.06</v>
      </c>
      <c r="AE10" s="2">
        <v>3.1059999999999998E-3</v>
      </c>
      <c r="AF10" s="2">
        <v>2.4910000000000002E-3</v>
      </c>
      <c r="AG10" s="2">
        <v>1</v>
      </c>
      <c r="AH10" s="3">
        <v>380</v>
      </c>
    </row>
    <row r="11" spans="1:34" x14ac:dyDescent="0.25">
      <c r="B11" s="4" t="s">
        <v>17</v>
      </c>
      <c r="C11" s="5" t="s">
        <v>19</v>
      </c>
      <c r="D11" s="5" t="s">
        <v>15</v>
      </c>
      <c r="E11" s="5">
        <v>-1.23</v>
      </c>
      <c r="F11" s="18">
        <v>-9.1100000000000005E-5</v>
      </c>
      <c r="G11" s="5" t="s">
        <v>25</v>
      </c>
      <c r="H11" s="17">
        <v>38.1</v>
      </c>
      <c r="I11" s="5">
        <v>138</v>
      </c>
      <c r="J11" s="5">
        <v>29</v>
      </c>
      <c r="K11" s="5" t="s">
        <v>25</v>
      </c>
      <c r="L11" s="5">
        <v>24.9</v>
      </c>
      <c r="M11" s="5">
        <v>169</v>
      </c>
      <c r="N11" s="5">
        <v>41.7</v>
      </c>
      <c r="O11" s="5" t="s">
        <v>25</v>
      </c>
      <c r="P11" s="5">
        <v>21.5</v>
      </c>
      <c r="Q11" s="5">
        <v>184</v>
      </c>
      <c r="R11" s="5">
        <v>27.8</v>
      </c>
      <c r="S11" s="5" t="s">
        <v>25</v>
      </c>
      <c r="T11" s="5">
        <v>26</v>
      </c>
      <c r="U11" s="5">
        <v>202</v>
      </c>
      <c r="V11" s="5">
        <v>26.7</v>
      </c>
      <c r="W11" s="5" t="s">
        <v>25</v>
      </c>
      <c r="X11" s="5">
        <v>28.5</v>
      </c>
      <c r="Y11" s="5">
        <v>227</v>
      </c>
      <c r="Z11" s="5">
        <v>23</v>
      </c>
      <c r="AA11" s="5" t="s">
        <v>25</v>
      </c>
      <c r="AB11" s="5">
        <v>5.77</v>
      </c>
      <c r="AC11" s="6">
        <v>315</v>
      </c>
      <c r="AD11" s="6">
        <v>0.15</v>
      </c>
      <c r="AE11" s="5">
        <v>3.114E-3</v>
      </c>
      <c r="AF11" s="6">
        <v>2.2330000000000002E-3</v>
      </c>
      <c r="AG11" s="6">
        <v>1</v>
      </c>
      <c r="AH11" s="6">
        <v>380</v>
      </c>
    </row>
    <row r="12" spans="1:34" x14ac:dyDescent="0.25">
      <c r="B12" s="1" t="s">
        <v>18</v>
      </c>
      <c r="C12" s="2" t="s">
        <v>19</v>
      </c>
      <c r="D12" s="2" t="s">
        <v>15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  <c r="Z12" s="2" t="s">
        <v>25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3" t="s">
        <v>25</v>
      </c>
      <c r="AG12" s="3" t="s">
        <v>25</v>
      </c>
      <c r="AH12" s="3">
        <v>380</v>
      </c>
    </row>
    <row r="13" spans="1:34" x14ac:dyDescent="0.25">
      <c r="B13" s="4" t="s">
        <v>16</v>
      </c>
      <c r="C13" s="5" t="s">
        <v>23</v>
      </c>
      <c r="D13" s="5" t="s">
        <v>15</v>
      </c>
      <c r="E13" s="5" t="s">
        <v>25</v>
      </c>
      <c r="F13" s="5" t="s">
        <v>25</v>
      </c>
      <c r="G13" s="5" t="s">
        <v>25</v>
      </c>
      <c r="H13" s="17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5" t="s">
        <v>25</v>
      </c>
      <c r="T13" s="5" t="s">
        <v>25</v>
      </c>
      <c r="U13" s="5" t="s">
        <v>51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  <c r="AB13" s="5" t="s">
        <v>25</v>
      </c>
      <c r="AC13" s="6" t="s">
        <v>25</v>
      </c>
      <c r="AD13" s="6" t="s">
        <v>25</v>
      </c>
      <c r="AE13" s="5" t="s">
        <v>25</v>
      </c>
      <c r="AF13" s="6" t="s">
        <v>25</v>
      </c>
      <c r="AG13" s="6" t="s">
        <v>25</v>
      </c>
      <c r="AH13" s="6">
        <v>380</v>
      </c>
    </row>
    <row r="14" spans="1:34" x14ac:dyDescent="0.25">
      <c r="B14" s="1" t="s">
        <v>30</v>
      </c>
      <c r="C14" s="2" t="s">
        <v>23</v>
      </c>
      <c r="D14" s="2" t="s">
        <v>15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2" t="s">
        <v>25</v>
      </c>
      <c r="AA14" s="2" t="s">
        <v>25</v>
      </c>
      <c r="AB14" s="2" t="s">
        <v>25</v>
      </c>
      <c r="AC14" s="2" t="s">
        <v>25</v>
      </c>
      <c r="AD14" s="2" t="s">
        <v>25</v>
      </c>
      <c r="AE14" s="2" t="s">
        <v>25</v>
      </c>
      <c r="AF14" s="3" t="s">
        <v>25</v>
      </c>
      <c r="AG14" s="3" t="s">
        <v>25</v>
      </c>
      <c r="AH14" s="3">
        <v>380</v>
      </c>
    </row>
    <row r="15" spans="1:34" x14ac:dyDescent="0.25">
      <c r="B15" s="4" t="s">
        <v>50</v>
      </c>
      <c r="C15" s="5" t="s">
        <v>23</v>
      </c>
      <c r="D15" s="5" t="s">
        <v>15</v>
      </c>
      <c r="E15" s="5">
        <v>-0.151</v>
      </c>
      <c r="F15" s="18">
        <v>-1.35E-4</v>
      </c>
      <c r="G15" t="s">
        <v>25</v>
      </c>
      <c r="H15" s="18">
        <v>17.399999999999999</v>
      </c>
      <c r="I15" s="18">
        <v>404</v>
      </c>
      <c r="J15" s="5">
        <v>4.6900000000000004</v>
      </c>
      <c r="K15" s="5" t="s">
        <v>25</v>
      </c>
      <c r="L15" s="5">
        <v>16.899999999999999</v>
      </c>
      <c r="M15" s="5">
        <v>439</v>
      </c>
      <c r="N15" s="5">
        <v>-6.48</v>
      </c>
      <c r="O15" s="5" t="s">
        <v>25</v>
      </c>
      <c r="P15" s="5">
        <v>32.5</v>
      </c>
      <c r="Q15" s="5">
        <v>477</v>
      </c>
      <c r="R15" s="5">
        <v>19.600000000000001</v>
      </c>
      <c r="S15" s="5" t="s">
        <v>25</v>
      </c>
      <c r="T15" s="5">
        <v>40</v>
      </c>
      <c r="U15" s="5">
        <v>5.23</v>
      </c>
      <c r="V15" s="5">
        <v>21</v>
      </c>
      <c r="W15" s="5" t="s">
        <v>25</v>
      </c>
      <c r="X15" s="5">
        <v>26.9</v>
      </c>
      <c r="Y15" s="5">
        <v>556</v>
      </c>
      <c r="Z15" s="5">
        <v>23.7</v>
      </c>
      <c r="AA15" s="5" t="s">
        <v>25</v>
      </c>
      <c r="AB15" s="5">
        <v>30.1</v>
      </c>
      <c r="AC15" s="6">
        <v>623</v>
      </c>
      <c r="AD15" s="6">
        <v>15.4</v>
      </c>
      <c r="AE15" s="5">
        <v>9.7600000000000001E-5</v>
      </c>
      <c r="AF15" s="6">
        <v>1.7359999999999999E-3</v>
      </c>
      <c r="AG15" s="6">
        <v>2</v>
      </c>
      <c r="AH15" s="6">
        <v>380</v>
      </c>
    </row>
    <row r="16" spans="1:34" x14ac:dyDescent="0.25">
      <c r="B16" s="1"/>
      <c r="C16" s="2"/>
      <c r="D16" s="2"/>
      <c r="E16" s="2"/>
      <c r="F16" s="2"/>
      <c r="G16" s="2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  <c r="AE16" s="2"/>
      <c r="AF16" s="3"/>
      <c r="AG16" s="3"/>
      <c r="AH16" s="3"/>
    </row>
    <row r="17" spans="2:34" x14ac:dyDescent="0.25">
      <c r="B17" s="4"/>
      <c r="C17" s="5"/>
      <c r="D17" s="5"/>
      <c r="E17" s="5"/>
      <c r="F17" s="5"/>
      <c r="G17" s="5"/>
      <c r="H17" s="1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  <c r="AD17" s="6"/>
      <c r="AE17" s="5"/>
      <c r="AF17" s="6"/>
      <c r="AG17" s="6"/>
      <c r="AH17" s="6"/>
    </row>
    <row r="18" spans="2:34" x14ac:dyDescent="0.25">
      <c r="B18" s="1"/>
      <c r="C18" s="2"/>
      <c r="D18" s="2"/>
      <c r="E18" s="2"/>
      <c r="F18" s="2"/>
      <c r="G18" s="2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2"/>
      <c r="AF18" s="3"/>
      <c r="AG18" s="3"/>
      <c r="AH18" s="3"/>
    </row>
    <row r="19" spans="2:34" x14ac:dyDescent="0.25">
      <c r="B19" s="4"/>
      <c r="C19" s="5"/>
      <c r="D19" s="5"/>
      <c r="E19" s="5"/>
      <c r="F19" s="5"/>
      <c r="G19" s="5"/>
      <c r="H19" s="1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s="6"/>
      <c r="AE19" s="5"/>
      <c r="AF19" s="6"/>
      <c r="AG19" s="6"/>
      <c r="AH19" s="6"/>
    </row>
    <row r="20" spans="2:34" x14ac:dyDescent="0.25">
      <c r="B20" s="1"/>
      <c r="C20" s="2"/>
      <c r="D20" s="2"/>
      <c r="E20" s="2"/>
      <c r="F20" s="2"/>
      <c r="G20" s="2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  <c r="AE20" s="2"/>
      <c r="AF20" s="3"/>
      <c r="AG20" s="3"/>
      <c r="AH20" s="3"/>
    </row>
    <row r="21" spans="2:34" x14ac:dyDescent="0.25">
      <c r="B21" s="4"/>
      <c r="C21" s="5"/>
      <c r="D21" s="5"/>
      <c r="E21" s="5"/>
      <c r="F21" s="5"/>
      <c r="G21" s="5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  <c r="AD21" s="6"/>
      <c r="AE21" s="5"/>
      <c r="AF21" s="6"/>
      <c r="AG21" s="6"/>
      <c r="AH21" s="6"/>
    </row>
    <row r="22" spans="2:34" x14ac:dyDescent="0.25">
      <c r="B22" s="1"/>
      <c r="C22" s="2"/>
      <c r="D22" s="2"/>
      <c r="E22" s="2"/>
      <c r="F22" s="2"/>
      <c r="G22" s="2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2"/>
      <c r="AF22" s="3"/>
      <c r="AG22" s="3"/>
      <c r="AH22" s="3"/>
    </row>
    <row r="23" spans="2:34" x14ac:dyDescent="0.25">
      <c r="B23" s="4"/>
      <c r="C23" s="5"/>
      <c r="D23" s="5"/>
      <c r="E23" s="5"/>
      <c r="F23" s="5"/>
      <c r="G23" s="5"/>
      <c r="H23" s="1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  <c r="AD23" s="6"/>
      <c r="AE23" s="5"/>
      <c r="AF23" s="6"/>
      <c r="AG23" s="6"/>
      <c r="AH23" s="6"/>
    </row>
    <row r="24" spans="2:34" x14ac:dyDescent="0.25">
      <c r="B24" s="1"/>
      <c r="C24" s="2"/>
      <c r="D24" s="2"/>
      <c r="E24" s="2"/>
      <c r="F24" s="2"/>
      <c r="G24" s="2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2"/>
      <c r="AF24" s="3"/>
      <c r="AG24" s="3"/>
      <c r="AH24" s="3"/>
    </row>
    <row r="25" spans="2:34" x14ac:dyDescent="0.25">
      <c r="B25" s="4"/>
      <c r="C25" s="5"/>
      <c r="D25" s="5"/>
      <c r="E25" s="5"/>
      <c r="F25" s="5"/>
      <c r="G25" s="5"/>
      <c r="H25" s="1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AA25" s="5"/>
    </row>
  </sheetData>
  <mergeCells count="12">
    <mergeCell ref="B2:B3"/>
    <mergeCell ref="D2:D3"/>
    <mergeCell ref="E2:E3"/>
    <mergeCell ref="F2:F3"/>
    <mergeCell ref="C2:C3"/>
    <mergeCell ref="AE2:AH2"/>
    <mergeCell ref="G2:J2"/>
    <mergeCell ref="K2:N2"/>
    <mergeCell ref="O2:R2"/>
    <mergeCell ref="S2:V2"/>
    <mergeCell ref="W2:Z2"/>
    <mergeCell ref="AA2:A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4"/>
  <sheetViews>
    <sheetView zoomScale="85" zoomScaleNormal="85" workbookViewId="0">
      <selection activeCell="E6" sqref="E6"/>
    </sheetView>
  </sheetViews>
  <sheetFormatPr defaultRowHeight="15" x14ac:dyDescent="0.25"/>
  <cols>
    <col min="2" max="2" width="40.7109375" customWidth="1"/>
    <col min="3" max="33" width="18.7109375" customWidth="1"/>
    <col min="34" max="34" width="31.7109375" customWidth="1"/>
  </cols>
  <sheetData>
    <row r="2" spans="2:34" x14ac:dyDescent="0.25">
      <c r="B2" s="52" t="s">
        <v>0</v>
      </c>
      <c r="C2" s="52" t="s">
        <v>11</v>
      </c>
      <c r="D2" s="52" t="s">
        <v>1</v>
      </c>
      <c r="E2" s="52" t="s">
        <v>48</v>
      </c>
      <c r="F2" s="52" t="s">
        <v>47</v>
      </c>
      <c r="G2" s="52" t="s">
        <v>2</v>
      </c>
      <c r="H2" s="52"/>
      <c r="I2" s="52"/>
      <c r="J2" s="52"/>
      <c r="K2" s="52" t="s">
        <v>3</v>
      </c>
      <c r="L2" s="52"/>
      <c r="M2" s="52"/>
      <c r="N2" s="52"/>
      <c r="O2" s="52" t="s">
        <v>5</v>
      </c>
      <c r="P2" s="52"/>
      <c r="Q2" s="52"/>
      <c r="R2" s="52"/>
      <c r="S2" s="52" t="s">
        <v>4</v>
      </c>
      <c r="T2" s="52"/>
      <c r="U2" s="52"/>
      <c r="V2" s="52"/>
      <c r="W2" s="52" t="s">
        <v>6</v>
      </c>
      <c r="X2" s="52"/>
      <c r="Y2" s="52"/>
      <c r="Z2" s="52"/>
      <c r="AA2" s="52" t="s">
        <v>7</v>
      </c>
      <c r="AB2" s="52"/>
      <c r="AC2" s="52"/>
      <c r="AD2" s="52"/>
      <c r="AE2" s="52" t="s">
        <v>26</v>
      </c>
      <c r="AF2" s="52"/>
      <c r="AG2" s="52"/>
      <c r="AH2" s="52"/>
    </row>
    <row r="3" spans="2:34" x14ac:dyDescent="0.25">
      <c r="B3" s="52"/>
      <c r="C3" s="52"/>
      <c r="D3" s="52"/>
      <c r="E3" s="52"/>
      <c r="F3" s="52"/>
      <c r="G3" s="30" t="s">
        <v>43</v>
      </c>
      <c r="H3" s="31" t="s">
        <v>44</v>
      </c>
      <c r="I3" s="32" t="s">
        <v>46</v>
      </c>
      <c r="J3" s="32" t="s">
        <v>45</v>
      </c>
      <c r="K3" s="30" t="s">
        <v>43</v>
      </c>
      <c r="L3" s="31" t="s">
        <v>44</v>
      </c>
      <c r="M3" s="32" t="s">
        <v>46</v>
      </c>
      <c r="N3" s="32" t="s">
        <v>45</v>
      </c>
      <c r="O3" s="30" t="s">
        <v>43</v>
      </c>
      <c r="P3" s="31" t="s">
        <v>44</v>
      </c>
      <c r="Q3" s="32" t="s">
        <v>46</v>
      </c>
      <c r="R3" s="32" t="s">
        <v>45</v>
      </c>
      <c r="S3" s="30" t="s">
        <v>43</v>
      </c>
      <c r="T3" s="31" t="s">
        <v>44</v>
      </c>
      <c r="U3" s="32" t="s">
        <v>46</v>
      </c>
      <c r="V3" s="32" t="s">
        <v>45</v>
      </c>
      <c r="W3" s="30" t="s">
        <v>43</v>
      </c>
      <c r="X3" s="31" t="s">
        <v>44</v>
      </c>
      <c r="Y3" s="32" t="s">
        <v>46</v>
      </c>
      <c r="Z3" s="32" t="s">
        <v>45</v>
      </c>
      <c r="AA3" s="30" t="s">
        <v>43</v>
      </c>
      <c r="AB3" s="31" t="s">
        <v>44</v>
      </c>
      <c r="AC3" s="32" t="s">
        <v>46</v>
      </c>
      <c r="AD3" s="32" t="s">
        <v>45</v>
      </c>
      <c r="AE3" s="32" t="s">
        <v>29</v>
      </c>
      <c r="AF3" s="32" t="s">
        <v>28</v>
      </c>
      <c r="AG3" s="32" t="s">
        <v>27</v>
      </c>
      <c r="AH3" s="32" t="s">
        <v>53</v>
      </c>
    </row>
    <row r="4" spans="2:34" x14ac:dyDescent="0.25">
      <c r="B4" s="1" t="s">
        <v>8</v>
      </c>
      <c r="C4" s="2" t="s">
        <v>12</v>
      </c>
      <c r="D4" s="2" t="s">
        <v>13</v>
      </c>
      <c r="E4" s="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 t="str">
        <f t="array" ref="W4:AD6">"x"</f>
        <v>x</v>
      </c>
      <c r="X4" s="8" t="str">
        <v>x</v>
      </c>
      <c r="Y4" s="8" t="str">
        <v>x</v>
      </c>
      <c r="Z4" s="8" t="str">
        <v>x</v>
      </c>
      <c r="AA4" s="8" t="str">
        <v>x</v>
      </c>
      <c r="AB4" s="8" t="str">
        <v>x</v>
      </c>
      <c r="AC4" s="8" t="str">
        <v>x</v>
      </c>
      <c r="AD4" s="8" t="str">
        <v>x</v>
      </c>
      <c r="AE4" s="8"/>
      <c r="AF4" s="8"/>
      <c r="AG4" s="8" t="str">
        <f t="array" ref="AG4:AG24">"x"</f>
        <v>x</v>
      </c>
      <c r="AH4" s="8">
        <v>1</v>
      </c>
    </row>
    <row r="5" spans="2:34" x14ac:dyDescent="0.25">
      <c r="B5" s="4" t="s">
        <v>9</v>
      </c>
      <c r="C5" s="5" t="s">
        <v>12</v>
      </c>
      <c r="D5" s="5" t="s">
        <v>13</v>
      </c>
      <c r="E5" s="18"/>
      <c r="F5" s="1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tr">
        <v>x</v>
      </c>
      <c r="X5" s="5" t="str">
        <v>x</v>
      </c>
      <c r="Y5" s="5" t="str">
        <v>x</v>
      </c>
      <c r="Z5" s="5" t="str">
        <v>x</v>
      </c>
      <c r="AA5" s="5" t="str">
        <v>x</v>
      </c>
      <c r="AB5" s="5" t="str">
        <v>x</v>
      </c>
      <c r="AC5" s="5" t="str">
        <v>x</v>
      </c>
      <c r="AD5" s="5" t="str">
        <v>x</v>
      </c>
      <c r="AE5" s="5"/>
      <c r="AF5" s="5"/>
      <c r="AG5" s="5" t="str">
        <v>x</v>
      </c>
      <c r="AH5" s="5">
        <v>1</v>
      </c>
    </row>
    <row r="6" spans="2:34" x14ac:dyDescent="0.25">
      <c r="B6" s="1" t="s">
        <v>10</v>
      </c>
      <c r="C6" s="2" t="s">
        <v>12</v>
      </c>
      <c r="D6" s="2" t="s">
        <v>13</v>
      </c>
      <c r="E6" s="8">
        <v>6.0600000000000003E-3</v>
      </c>
      <c r="F6" s="8">
        <v>7.5000000000000002E-7</v>
      </c>
      <c r="G6" s="8">
        <v>1.19</v>
      </c>
      <c r="H6" s="8"/>
      <c r="I6" s="8">
        <v>1.1200000000000001</v>
      </c>
      <c r="J6" s="8">
        <v>12.9</v>
      </c>
      <c r="K6" s="8">
        <v>0.90300000000000002</v>
      </c>
      <c r="L6" s="8"/>
      <c r="M6" s="8">
        <v>0.83499999999999996</v>
      </c>
      <c r="N6" s="8">
        <v>13.7</v>
      </c>
      <c r="O6" s="8">
        <v>1.19</v>
      </c>
      <c r="P6" s="8"/>
      <c r="Q6" s="8">
        <v>1.1499999999999999</v>
      </c>
      <c r="R6" s="8">
        <v>12.2</v>
      </c>
      <c r="S6" s="8">
        <v>3.23</v>
      </c>
      <c r="T6" s="8"/>
      <c r="U6" s="8">
        <v>3.1</v>
      </c>
      <c r="V6" s="8">
        <v>13</v>
      </c>
      <c r="W6" s="3" t="str">
        <v>x</v>
      </c>
      <c r="X6" s="3" t="str">
        <v>x</v>
      </c>
      <c r="Y6" s="3" t="str">
        <v>x</v>
      </c>
      <c r="Z6" s="3" t="str">
        <v>x</v>
      </c>
      <c r="AA6" s="3" t="str">
        <v>x</v>
      </c>
      <c r="AB6" s="3" t="str">
        <v>x</v>
      </c>
      <c r="AC6" s="3" t="str">
        <v>x</v>
      </c>
      <c r="AD6" s="3" t="str">
        <v>x</v>
      </c>
      <c r="AE6" s="2"/>
      <c r="AF6" s="3"/>
      <c r="AG6" s="3" t="str">
        <v>x</v>
      </c>
      <c r="AH6" s="3">
        <v>1</v>
      </c>
    </row>
    <row r="7" spans="2:34" x14ac:dyDescent="0.25">
      <c r="B7" s="4" t="s">
        <v>24</v>
      </c>
      <c r="C7" s="5" t="s">
        <v>14</v>
      </c>
      <c r="D7" s="5" t="s">
        <v>15</v>
      </c>
      <c r="E7" s="18"/>
      <c r="F7" s="1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6" t="str">
        <v>x</v>
      </c>
      <c r="AH7" s="6">
        <v>1</v>
      </c>
    </row>
    <row r="8" spans="2:34" x14ac:dyDescent="0.25">
      <c r="B8" s="1" t="s">
        <v>49</v>
      </c>
      <c r="C8" s="2" t="s">
        <v>14</v>
      </c>
      <c r="D8" s="2" t="s">
        <v>15</v>
      </c>
      <c r="E8" s="2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tr">
        <v>x</v>
      </c>
      <c r="AH8" s="3">
        <v>1</v>
      </c>
    </row>
    <row r="9" spans="2:34" x14ac:dyDescent="0.25">
      <c r="B9" s="4" t="s">
        <v>21</v>
      </c>
      <c r="C9" s="5" t="s">
        <v>20</v>
      </c>
      <c r="D9" s="5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tr">
        <v>x</v>
      </c>
      <c r="AH9" s="6">
        <v>1</v>
      </c>
    </row>
    <row r="10" spans="2:34" x14ac:dyDescent="0.25">
      <c r="B10" s="1" t="s">
        <v>22</v>
      </c>
      <c r="C10" s="2" t="s">
        <v>20</v>
      </c>
      <c r="D10" s="2" t="s">
        <v>15</v>
      </c>
      <c r="E10" s="8"/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 t="str">
        <v>x</v>
      </c>
      <c r="AH10" s="3">
        <v>1</v>
      </c>
    </row>
    <row r="11" spans="2:34" x14ac:dyDescent="0.25">
      <c r="B11" s="4" t="s">
        <v>17</v>
      </c>
      <c r="C11" s="5" t="s">
        <v>19</v>
      </c>
      <c r="D11" s="5" t="s">
        <v>15</v>
      </c>
      <c r="E11" s="5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  <c r="AD11" s="6"/>
      <c r="AE11" s="5"/>
      <c r="AF11" s="6"/>
      <c r="AG11" s="6" t="str">
        <v>x</v>
      </c>
      <c r="AH11" s="6">
        <v>1</v>
      </c>
    </row>
    <row r="12" spans="2:34" x14ac:dyDescent="0.25">
      <c r="B12" s="1" t="s">
        <v>18</v>
      </c>
      <c r="C12" s="2" t="s">
        <v>19</v>
      </c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  <c r="AG12" s="3" t="str">
        <v>x</v>
      </c>
      <c r="AH12" s="3">
        <v>1</v>
      </c>
    </row>
    <row r="13" spans="2:34" x14ac:dyDescent="0.25">
      <c r="B13" s="4" t="s">
        <v>16</v>
      </c>
      <c r="C13" s="5" t="s">
        <v>23</v>
      </c>
      <c r="D13" s="5" t="s">
        <v>15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  <c r="AD13" s="6"/>
      <c r="AE13" s="5"/>
      <c r="AF13" s="6"/>
      <c r="AG13" s="6" t="str">
        <v>x</v>
      </c>
      <c r="AH13" s="6">
        <v>1</v>
      </c>
    </row>
    <row r="14" spans="2:34" x14ac:dyDescent="0.25">
      <c r="B14" s="1" t="s">
        <v>30</v>
      </c>
      <c r="C14" s="2" t="s">
        <v>23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3" t="str">
        <v>x</v>
      </c>
      <c r="AH14" s="3">
        <v>1</v>
      </c>
    </row>
    <row r="15" spans="2:34" x14ac:dyDescent="0.25">
      <c r="B15" s="4" t="s">
        <v>50</v>
      </c>
      <c r="C15" s="5" t="s">
        <v>23</v>
      </c>
      <c r="D15" s="5" t="s">
        <v>15</v>
      </c>
      <c r="E15" s="5"/>
      <c r="F15" s="18"/>
      <c r="V15" s="5"/>
      <c r="W15" s="5"/>
      <c r="X15" s="5"/>
      <c r="Y15" s="5"/>
      <c r="Z15" s="5"/>
      <c r="AA15" s="5"/>
      <c r="AB15" s="5"/>
      <c r="AC15" s="6"/>
      <c r="AD15" s="6"/>
      <c r="AE15" s="5"/>
      <c r="AF15" s="6"/>
      <c r="AG15" s="6" t="str">
        <v>x</v>
      </c>
      <c r="AH15" s="6">
        <v>1</v>
      </c>
    </row>
    <row r="16" spans="2:34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  <c r="AE16" s="2"/>
      <c r="AF16" s="3"/>
      <c r="AG16" s="3" t="str">
        <v>x</v>
      </c>
      <c r="AH16" s="3">
        <v>1</v>
      </c>
    </row>
    <row r="17" spans="2:34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  <c r="AD17" s="6"/>
      <c r="AE17" s="5"/>
      <c r="AF17" s="6"/>
      <c r="AG17" s="6" t="str">
        <v>x</v>
      </c>
      <c r="AH17" s="6">
        <v>1</v>
      </c>
    </row>
    <row r="18" spans="2:34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2"/>
      <c r="AF18" s="3"/>
      <c r="AG18" s="3" t="str">
        <v>x</v>
      </c>
      <c r="AH18" s="3">
        <v>1</v>
      </c>
    </row>
    <row r="19" spans="2:34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  <c r="AD19" s="6"/>
      <c r="AE19" s="5"/>
      <c r="AF19" s="6"/>
      <c r="AG19" s="6" t="str">
        <v>x</v>
      </c>
      <c r="AH19" s="6">
        <v>1</v>
      </c>
    </row>
    <row r="20" spans="2:34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  <c r="AE20" s="2"/>
      <c r="AF20" s="3"/>
      <c r="AG20" s="3" t="str">
        <v>x</v>
      </c>
      <c r="AH20" s="3">
        <v>1</v>
      </c>
    </row>
    <row r="21" spans="2:34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  <c r="AD21" s="6"/>
      <c r="AE21" s="5"/>
      <c r="AF21" s="6"/>
      <c r="AG21" s="6" t="str">
        <v>x</v>
      </c>
      <c r="AH21" s="6">
        <v>1</v>
      </c>
    </row>
    <row r="22" spans="2:34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2"/>
      <c r="AF22" s="3"/>
      <c r="AG22" s="3" t="str">
        <v>x</v>
      </c>
      <c r="AH22" s="3">
        <v>1</v>
      </c>
    </row>
    <row r="23" spans="2:34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  <c r="AD23" s="6"/>
      <c r="AE23" s="5"/>
      <c r="AF23" s="6"/>
      <c r="AG23" s="6" t="str">
        <v>x</v>
      </c>
      <c r="AH23" s="6">
        <v>1</v>
      </c>
    </row>
    <row r="24" spans="2:34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2"/>
      <c r="AF24" s="3"/>
      <c r="AG24" s="3" t="str">
        <v>x</v>
      </c>
      <c r="AH24" s="3">
        <v>1</v>
      </c>
    </row>
  </sheetData>
  <mergeCells count="12">
    <mergeCell ref="AE2:AH2"/>
    <mergeCell ref="B2:B3"/>
    <mergeCell ref="C2:C3"/>
    <mergeCell ref="D2:D3"/>
    <mergeCell ref="E2:E3"/>
    <mergeCell ref="F2:F3"/>
    <mergeCell ref="G2:J2"/>
    <mergeCell ref="K2:N2"/>
    <mergeCell ref="O2:R2"/>
    <mergeCell ref="S2:V2"/>
    <mergeCell ref="W2:Z2"/>
    <mergeCell ref="AA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workbookViewId="0">
      <selection activeCell="K15" sqref="K15"/>
    </sheetView>
  </sheetViews>
  <sheetFormatPr defaultRowHeight="15" x14ac:dyDescent="0.25"/>
  <cols>
    <col min="2" max="2" width="31.7109375" bestFit="1" customWidth="1"/>
    <col min="3" max="3" width="18.85546875" bestFit="1" customWidth="1"/>
    <col min="4" max="4" width="18" bestFit="1" customWidth="1"/>
    <col min="5" max="5" width="18.85546875" bestFit="1" customWidth="1"/>
    <col min="6" max="6" width="22.85546875" bestFit="1" customWidth="1"/>
    <col min="7" max="7" width="13.7109375" bestFit="1" customWidth="1"/>
    <col min="8" max="8" width="23.28515625" bestFit="1" customWidth="1"/>
    <col min="9" max="9" width="20" bestFit="1" customWidth="1"/>
    <col min="11" max="11" width="27" bestFit="1" customWidth="1"/>
    <col min="12" max="13" width="9.5703125" bestFit="1" customWidth="1"/>
    <col min="15" max="15" width="31.7109375" bestFit="1" customWidth="1"/>
    <col min="16" max="17" width="15.7109375" customWidth="1"/>
  </cols>
  <sheetData>
    <row r="2" spans="2:17" ht="15.75" thickBot="1" x14ac:dyDescent="0.3">
      <c r="B2" s="33" t="s">
        <v>52</v>
      </c>
      <c r="C2" s="34" t="s">
        <v>60</v>
      </c>
      <c r="D2" s="34" t="s">
        <v>61</v>
      </c>
      <c r="E2" s="35" t="s">
        <v>62</v>
      </c>
      <c r="F2" s="34" t="s">
        <v>63</v>
      </c>
      <c r="G2" s="34" t="s">
        <v>54</v>
      </c>
      <c r="H2" s="34" t="s">
        <v>55</v>
      </c>
      <c r="I2" s="34" t="s">
        <v>64</v>
      </c>
      <c r="K2" s="33"/>
      <c r="L2" s="34" t="s">
        <v>58</v>
      </c>
      <c r="M2" s="34" t="s">
        <v>56</v>
      </c>
      <c r="O2" s="53" t="s">
        <v>32</v>
      </c>
      <c r="P2" s="53"/>
      <c r="Q2" s="53"/>
    </row>
    <row r="3" spans="2:17" ht="15.75" thickTop="1" x14ac:dyDescent="0.25">
      <c r="B3" s="96" t="s">
        <v>9</v>
      </c>
      <c r="C3" s="43">
        <v>1</v>
      </c>
      <c r="D3" s="43">
        <v>2</v>
      </c>
      <c r="E3" s="36">
        <f>ABS(Values!I5 - Values!M5)</f>
        <v>1200</v>
      </c>
      <c r="F3" s="36"/>
      <c r="G3" s="36">
        <v>1298.117463</v>
      </c>
      <c r="H3" s="40">
        <f>G3/E3</f>
        <v>1.0817645525000001</v>
      </c>
      <c r="I3" s="46">
        <f t="shared" ref="I3:I14" si="0">G3*F3/E3^2</f>
        <v>0</v>
      </c>
      <c r="K3" s="50" t="s">
        <v>57</v>
      </c>
      <c r="L3" s="49">
        <f>SUMPRODUCT(H9:H14,(I9:I14)^-2)/SUMPRODUCT(I9:I14^-2)</f>
        <v>1.0834807214911457</v>
      </c>
      <c r="M3" s="49">
        <f>SUMPRODUCT(I9:I14^-2)^-0.5</f>
        <v>4.7018108032069553E-4</v>
      </c>
      <c r="O3" s="11" t="s">
        <v>33</v>
      </c>
      <c r="P3" s="11" t="s">
        <v>36</v>
      </c>
      <c r="Q3" s="11" t="s">
        <v>34</v>
      </c>
    </row>
    <row r="4" spans="2:17" x14ac:dyDescent="0.25">
      <c r="B4" s="97"/>
      <c r="C4" s="44">
        <v>1</v>
      </c>
      <c r="D4" s="44">
        <v>3</v>
      </c>
      <c r="E4" s="37">
        <f>ABS(Values!I5-Values!Q5)</f>
        <v>4130</v>
      </c>
      <c r="F4" s="37"/>
      <c r="G4" s="37">
        <v>4333.8499019999999</v>
      </c>
      <c r="H4" s="41">
        <f t="shared" ref="H4:H14" si="1">G4/E4</f>
        <v>1.0493583297820823</v>
      </c>
      <c r="I4" s="47">
        <f t="shared" si="0"/>
        <v>0</v>
      </c>
      <c r="K4" s="51" t="s">
        <v>59</v>
      </c>
      <c r="L4" s="39">
        <f>380*L3</f>
        <v>411.72267416663539</v>
      </c>
      <c r="M4" s="39">
        <f>380*M3</f>
        <v>0.17866881052186431</v>
      </c>
      <c r="O4" s="11" t="s">
        <v>37</v>
      </c>
      <c r="P4" s="12">
        <f>Values!$U$6-Values!$I$6</f>
        <v>6480</v>
      </c>
      <c r="Q4" s="13">
        <f>SUMSQ(3.096,1.1191)</f>
        <v>10.837600810000001</v>
      </c>
    </row>
    <row r="5" spans="2:17" x14ac:dyDescent="0.25">
      <c r="B5" s="97"/>
      <c r="C5" s="45">
        <v>1</v>
      </c>
      <c r="D5" s="45">
        <v>4</v>
      </c>
      <c r="E5" s="38">
        <f>ABS(Values!I5-Values!U5)</f>
        <v>6540</v>
      </c>
      <c r="F5" s="38"/>
      <c r="G5" s="38">
        <v>6834.6826109042004</v>
      </c>
      <c r="H5" s="42">
        <f>G5/E5</f>
        <v>1.0450585031963608</v>
      </c>
      <c r="I5" s="48">
        <f t="shared" si="0"/>
        <v>0</v>
      </c>
      <c r="O5" s="11" t="s">
        <v>38</v>
      </c>
      <c r="P5" s="13">
        <v>6834.7</v>
      </c>
      <c r="Q5" s="14" t="s">
        <v>35</v>
      </c>
    </row>
    <row r="6" spans="2:17" x14ac:dyDescent="0.25">
      <c r="B6" s="97"/>
      <c r="C6" s="44">
        <v>2</v>
      </c>
      <c r="D6" s="44">
        <v>3</v>
      </c>
      <c r="E6" s="37">
        <f>ABS(Values!M5-Values!Q5)</f>
        <v>2930</v>
      </c>
      <c r="F6" s="37"/>
      <c r="G6" s="37">
        <v>3035.7324389999999</v>
      </c>
      <c r="H6" s="41">
        <f t="shared" si="1"/>
        <v>1.0360861566552901</v>
      </c>
      <c r="I6" s="47">
        <f t="shared" si="0"/>
        <v>0</v>
      </c>
      <c r="O6" s="11" t="s">
        <v>42</v>
      </c>
      <c r="P6" s="15">
        <f>ABS(P4-P5)/P5</f>
        <v>5.1896937685633582E-2</v>
      </c>
      <c r="Q6" s="15">
        <f>Q4/P5</f>
        <v>1.5856732277934658E-3</v>
      </c>
    </row>
    <row r="7" spans="2:17" x14ac:dyDescent="0.25">
      <c r="B7" s="97"/>
      <c r="C7" s="45">
        <v>2</v>
      </c>
      <c r="D7" s="45">
        <v>4</v>
      </c>
      <c r="E7" s="38">
        <f>ABS(Values!M5-Values!U5)</f>
        <v>5340</v>
      </c>
      <c r="F7" s="38"/>
      <c r="G7" s="38">
        <v>5536.5651479999997</v>
      </c>
      <c r="H7" s="42">
        <f t="shared" si="1"/>
        <v>1.0368099528089887</v>
      </c>
      <c r="I7" s="48">
        <f t="shared" si="0"/>
        <v>0</v>
      </c>
      <c r="O7" s="11"/>
      <c r="P7" s="11"/>
      <c r="Q7" s="11"/>
    </row>
    <row r="8" spans="2:17" ht="15.75" thickBot="1" x14ac:dyDescent="0.3">
      <c r="B8" s="98"/>
      <c r="C8" s="99">
        <v>3</v>
      </c>
      <c r="D8" s="99">
        <v>4</v>
      </c>
      <c r="E8" s="100">
        <f>ABS(Values!Q5-Values!U5)</f>
        <v>2410</v>
      </c>
      <c r="F8" s="101"/>
      <c r="G8" s="100">
        <v>2500.8327089999998</v>
      </c>
      <c r="H8" s="102">
        <f t="shared" si="1"/>
        <v>1.0376899207468879</v>
      </c>
      <c r="I8" s="103">
        <f t="shared" si="0"/>
        <v>0</v>
      </c>
      <c r="O8" s="11" t="s">
        <v>39</v>
      </c>
      <c r="P8" s="13">
        <f>ABS(Values!$M$6-Values!$Q$6)</f>
        <v>2840</v>
      </c>
      <c r="Q8" s="13">
        <f>SUMSQ(0.83459,1.1516)</f>
        <v>2.0227230281000002</v>
      </c>
    </row>
    <row r="9" spans="2:17" ht="15.75" thickTop="1" x14ac:dyDescent="0.25">
      <c r="B9" s="104" t="s">
        <v>10</v>
      </c>
      <c r="C9" s="105">
        <v>1</v>
      </c>
      <c r="D9" s="105">
        <v>2</v>
      </c>
      <c r="E9" s="106">
        <f>ABS(Values!I6 - Values!M6)</f>
        <v>1100</v>
      </c>
      <c r="F9" s="107">
        <f>SUMSQ(Uncertainties!I6,Uncertainties!M6)</f>
        <v>1.9516250000000002</v>
      </c>
      <c r="G9" s="107">
        <v>1298.117463</v>
      </c>
      <c r="H9" s="108">
        <f>G9/E9</f>
        <v>1.1801067845454545</v>
      </c>
      <c r="I9" s="109">
        <f>G9*F9/E9^2</f>
        <v>2.0937508212622935E-3</v>
      </c>
      <c r="O9" s="11" t="s">
        <v>40</v>
      </c>
      <c r="P9" s="13">
        <v>3035.7</v>
      </c>
      <c r="Q9" s="14" t="s">
        <v>35</v>
      </c>
    </row>
    <row r="10" spans="2:17" x14ac:dyDescent="0.25">
      <c r="B10" s="104"/>
      <c r="C10" s="44">
        <v>1</v>
      </c>
      <c r="D10" s="44">
        <v>3</v>
      </c>
      <c r="E10" s="37">
        <f>ABS(Values!I6-Values!Q6)</f>
        <v>3940</v>
      </c>
      <c r="F10" s="110">
        <f>SUMSQ(Uncertainties!I6,Uncertainties!Q6)</f>
        <v>2.5769000000000002</v>
      </c>
      <c r="G10" s="110">
        <v>4333.8499019999999</v>
      </c>
      <c r="H10" s="41">
        <f t="shared" si="1"/>
        <v>1.0999619040609137</v>
      </c>
      <c r="I10" s="47">
        <f t="shared" si="0"/>
        <v>7.1941417019659112E-4</v>
      </c>
      <c r="O10" s="11" t="s">
        <v>41</v>
      </c>
      <c r="P10" s="15">
        <f>ABS(P8-P9)/P9</f>
        <v>6.4466185723226876E-2</v>
      </c>
      <c r="Q10" s="15">
        <f>Q8/P9</f>
        <v>6.6631189778304848E-4</v>
      </c>
    </row>
    <row r="11" spans="2:17" x14ac:dyDescent="0.25">
      <c r="B11" s="104"/>
      <c r="C11" s="45">
        <v>1</v>
      </c>
      <c r="D11" s="45">
        <v>4</v>
      </c>
      <c r="E11" s="38">
        <f>ABS(Values!I6-Values!U6)</f>
        <v>6480</v>
      </c>
      <c r="F11" s="111">
        <f>SUMSQ(Uncertainties!I6,Uncertainties!U6)</f>
        <v>10.864400000000002</v>
      </c>
      <c r="G11" s="111">
        <v>6834.6826109042004</v>
      </c>
      <c r="H11" s="42">
        <f t="shared" si="1"/>
        <v>1.0547349708185494</v>
      </c>
      <c r="I11" s="48">
        <f t="shared" si="0"/>
        <v>1.7683738606421376E-3</v>
      </c>
    </row>
    <row r="12" spans="2:17" x14ac:dyDescent="0.25">
      <c r="B12" s="104"/>
      <c r="C12" s="44">
        <v>2</v>
      </c>
      <c r="D12" s="44">
        <v>3</v>
      </c>
      <c r="E12" s="37">
        <f>ABS(Values!M6-Values!Q6)</f>
        <v>2840</v>
      </c>
      <c r="F12" s="110">
        <f>SUMSQ(Uncertainties!M6,Uncertainties!Q6)</f>
        <v>2.0197249999999998</v>
      </c>
      <c r="G12" s="110">
        <v>3035.7324389999999</v>
      </c>
      <c r="H12" s="41">
        <f t="shared" si="1"/>
        <v>1.0689198728873239</v>
      </c>
      <c r="I12" s="47">
        <f t="shared" si="0"/>
        <v>7.6018457403779929E-4</v>
      </c>
      <c r="O12" s="11" t="s">
        <v>31</v>
      </c>
      <c r="P12" s="11" t="s">
        <v>36</v>
      </c>
      <c r="Q12" s="11" t="s">
        <v>34</v>
      </c>
    </row>
    <row r="13" spans="2:17" x14ac:dyDescent="0.25">
      <c r="B13" s="104"/>
      <c r="C13" s="45">
        <v>2</v>
      </c>
      <c r="D13" s="45">
        <v>4</v>
      </c>
      <c r="E13" s="38">
        <f>ABS(Values!M6-Values!U6)</f>
        <v>5380</v>
      </c>
      <c r="F13" s="111">
        <f>SUMSQ(Uncertainties!M6,Uncertainties!U6)</f>
        <v>10.307225000000001</v>
      </c>
      <c r="G13" s="111">
        <v>5536.5651479999997</v>
      </c>
      <c r="H13" s="42">
        <f t="shared" si="1"/>
        <v>1.0291013286245352</v>
      </c>
      <c r="I13" s="48">
        <f t="shared" si="0"/>
        <v>1.9715945988721239E-3</v>
      </c>
      <c r="O13" s="11" t="s">
        <v>37</v>
      </c>
      <c r="P13" s="12">
        <f>ABS(Values!$U$5-Values!$I$5)</f>
        <v>6540</v>
      </c>
      <c r="Q13" s="13">
        <f>SUMSQ(1.1968,2.9713)</f>
        <v>10.260953929999999</v>
      </c>
    </row>
    <row r="14" spans="2:17" ht="15.75" thickBot="1" x14ac:dyDescent="0.3">
      <c r="B14" s="112"/>
      <c r="C14" s="99">
        <v>3</v>
      </c>
      <c r="D14" s="99">
        <v>4</v>
      </c>
      <c r="E14" s="100">
        <f>ABS(Values!Q6-Values!U6)</f>
        <v>2540</v>
      </c>
      <c r="F14" s="101">
        <f>SUMSQ(Uncertainties!Q6,Uncertainties!U6)</f>
        <v>10.932500000000001</v>
      </c>
      <c r="G14" s="101">
        <v>2500.8327089999998</v>
      </c>
      <c r="H14" s="102">
        <f t="shared" si="1"/>
        <v>0.98457980669291334</v>
      </c>
      <c r="I14" s="113">
        <f t="shared" si="0"/>
        <v>4.2377632821536514E-3</v>
      </c>
      <c r="O14" s="11" t="s">
        <v>38</v>
      </c>
      <c r="P14" s="13">
        <v>6834.7</v>
      </c>
      <c r="Q14" s="14" t="s">
        <v>35</v>
      </c>
    </row>
    <row r="15" spans="2:17" ht="15" customHeight="1" thickTop="1" x14ac:dyDescent="0.25">
      <c r="B15" s="114" t="s">
        <v>49</v>
      </c>
      <c r="C15" s="105">
        <v>1</v>
      </c>
      <c r="D15" s="105">
        <v>2</v>
      </c>
      <c r="E15" s="106"/>
      <c r="F15" s="107"/>
      <c r="G15" s="107"/>
      <c r="H15" s="108"/>
      <c r="I15" s="109"/>
      <c r="O15" s="11" t="s">
        <v>42</v>
      </c>
      <c r="P15" s="15">
        <f>ABS(P13-P14)/P14</f>
        <v>4.3118205627167221E-2</v>
      </c>
      <c r="Q15" s="15">
        <f>Q13/P14</f>
        <v>1.5013027535956223E-3</v>
      </c>
    </row>
    <row r="16" spans="2:17" x14ac:dyDescent="0.25">
      <c r="B16" s="115"/>
      <c r="C16" s="44">
        <v>1</v>
      </c>
      <c r="D16" s="44">
        <v>3</v>
      </c>
      <c r="E16" s="37"/>
      <c r="F16" s="110"/>
      <c r="G16" s="110"/>
      <c r="H16" s="41"/>
      <c r="I16" s="47"/>
      <c r="O16" s="11"/>
      <c r="P16" s="11"/>
      <c r="Q16" s="11"/>
    </row>
    <row r="17" spans="2:17" x14ac:dyDescent="0.25">
      <c r="B17" s="115"/>
      <c r="C17" s="45">
        <v>1</v>
      </c>
      <c r="D17" s="45">
        <v>4</v>
      </c>
      <c r="E17" s="38"/>
      <c r="F17" s="111"/>
      <c r="G17" s="111"/>
      <c r="H17" s="42"/>
      <c r="I17" s="48"/>
      <c r="O17" s="11" t="s">
        <v>39</v>
      </c>
      <c r="P17" s="13">
        <f>ABS(Values!$M$5-Values!$Q$5)</f>
        <v>2930</v>
      </c>
      <c r="Q17" s="13">
        <f>SUMSQ(0.87717,1.1634)</f>
        <v>2.1229267689000002</v>
      </c>
    </row>
    <row r="18" spans="2:17" x14ac:dyDescent="0.25">
      <c r="B18" s="115"/>
      <c r="C18" s="44">
        <v>1</v>
      </c>
      <c r="D18" s="44">
        <v>5</v>
      </c>
      <c r="E18" s="37"/>
      <c r="F18" s="110"/>
      <c r="G18" s="110"/>
      <c r="H18" s="41"/>
      <c r="I18" s="47"/>
      <c r="O18" s="11" t="s">
        <v>40</v>
      </c>
      <c r="P18" s="13">
        <v>3035.7</v>
      </c>
      <c r="Q18" s="14" t="s">
        <v>35</v>
      </c>
    </row>
    <row r="19" spans="2:17" x14ac:dyDescent="0.25">
      <c r="B19" s="115"/>
      <c r="C19" s="45">
        <v>1</v>
      </c>
      <c r="D19" s="45">
        <v>6</v>
      </c>
      <c r="E19" s="38"/>
      <c r="F19" s="111"/>
      <c r="G19" s="111"/>
      <c r="H19" s="42"/>
      <c r="I19" s="48"/>
      <c r="O19" s="11" t="s">
        <v>41</v>
      </c>
      <c r="P19" s="15">
        <f>ABS(P17-P18)/P18</f>
        <v>3.4818987383469981E-2</v>
      </c>
      <c r="Q19" s="15">
        <f>Q17/P18</f>
        <v>6.9932034420397285E-4</v>
      </c>
    </row>
    <row r="20" spans="2:17" x14ac:dyDescent="0.25">
      <c r="B20" s="115"/>
      <c r="C20" s="44">
        <v>2</v>
      </c>
      <c r="D20" s="44">
        <v>3</v>
      </c>
      <c r="E20" s="37"/>
      <c r="F20" s="110"/>
      <c r="G20" s="110"/>
      <c r="H20" s="41"/>
      <c r="I20" s="47"/>
    </row>
    <row r="21" spans="2:17" x14ac:dyDescent="0.25">
      <c r="B21" s="115"/>
      <c r="C21" s="45">
        <v>2</v>
      </c>
      <c r="D21" s="45">
        <v>4</v>
      </c>
      <c r="E21" s="38"/>
      <c r="F21" s="38"/>
      <c r="G21" s="38"/>
      <c r="H21" s="42"/>
      <c r="I21" s="48"/>
    </row>
    <row r="22" spans="2:17" x14ac:dyDescent="0.25">
      <c r="B22" s="115"/>
      <c r="C22" s="44">
        <v>2</v>
      </c>
      <c r="D22" s="44">
        <v>5</v>
      </c>
      <c r="E22" s="37"/>
      <c r="F22" s="37"/>
      <c r="G22" s="37"/>
      <c r="H22" s="41"/>
      <c r="I22" s="47"/>
    </row>
    <row r="23" spans="2:17" x14ac:dyDescent="0.25">
      <c r="B23" s="115"/>
      <c r="C23" s="45">
        <v>2</v>
      </c>
      <c r="D23" s="45">
        <v>6</v>
      </c>
      <c r="E23" s="38"/>
      <c r="F23" s="38"/>
      <c r="G23" s="38"/>
      <c r="H23" s="42"/>
      <c r="I23" s="48"/>
    </row>
    <row r="24" spans="2:17" x14ac:dyDescent="0.25">
      <c r="B24" s="115"/>
      <c r="C24" s="44">
        <v>3</v>
      </c>
      <c r="D24" s="44">
        <v>4</v>
      </c>
      <c r="E24" s="37"/>
      <c r="F24" s="37"/>
      <c r="G24" s="37"/>
      <c r="H24" s="41"/>
      <c r="I24" s="47"/>
    </row>
    <row r="25" spans="2:17" x14ac:dyDescent="0.25">
      <c r="B25" s="115"/>
      <c r="C25" s="45">
        <v>3</v>
      </c>
      <c r="D25" s="45">
        <v>5</v>
      </c>
      <c r="E25" s="38"/>
      <c r="F25" s="38"/>
      <c r="G25" s="38"/>
      <c r="H25" s="42"/>
      <c r="I25" s="48"/>
    </row>
    <row r="26" spans="2:17" x14ac:dyDescent="0.25">
      <c r="B26" s="115"/>
      <c r="C26" s="44">
        <v>3</v>
      </c>
      <c r="D26" s="44">
        <v>6</v>
      </c>
      <c r="E26" s="37"/>
      <c r="F26" s="37"/>
      <c r="G26" s="37"/>
      <c r="H26" s="41"/>
      <c r="I26" s="47"/>
    </row>
    <row r="27" spans="2:17" x14ac:dyDescent="0.25">
      <c r="B27" s="115"/>
      <c r="C27" s="45">
        <v>4</v>
      </c>
      <c r="D27" s="45">
        <v>5</v>
      </c>
      <c r="E27" s="38"/>
      <c r="F27" s="38"/>
      <c r="G27" s="38"/>
      <c r="H27" s="42"/>
      <c r="I27" s="48"/>
    </row>
    <row r="28" spans="2:17" x14ac:dyDescent="0.25">
      <c r="B28" s="115"/>
      <c r="C28" s="44">
        <v>4</v>
      </c>
      <c r="D28" s="44">
        <v>6</v>
      </c>
      <c r="E28" s="37"/>
      <c r="F28" s="37"/>
      <c r="G28" s="37"/>
      <c r="H28" s="41"/>
      <c r="I28" s="47"/>
    </row>
    <row r="29" spans="2:17" x14ac:dyDescent="0.25">
      <c r="B29" s="115"/>
      <c r="C29" s="45">
        <v>5</v>
      </c>
      <c r="D29" s="45">
        <v>6</v>
      </c>
      <c r="E29" s="38"/>
      <c r="F29" s="38"/>
      <c r="G29" s="38"/>
      <c r="H29" s="42"/>
      <c r="I29" s="48"/>
    </row>
  </sheetData>
  <mergeCells count="4">
    <mergeCell ref="O2:Q2"/>
    <mergeCell ref="B3:B8"/>
    <mergeCell ref="B9:B14"/>
    <mergeCell ref="B15:B2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0"/>
  <sheetViews>
    <sheetView tabSelected="1" zoomScaleNormal="100" workbookViewId="0">
      <selection activeCell="F35" sqref="F35"/>
    </sheetView>
  </sheetViews>
  <sheetFormatPr defaultRowHeight="15" x14ac:dyDescent="0.25"/>
  <cols>
    <col min="1" max="1" width="13.140625" bestFit="1" customWidth="1"/>
    <col min="2" max="2" width="13.28515625" customWidth="1"/>
    <col min="3" max="3" width="11.7109375" customWidth="1"/>
    <col min="4" max="10" width="11.28515625" customWidth="1"/>
    <col min="11" max="12" width="11.28515625" style="10" customWidth="1"/>
    <col min="13" max="16" width="11.28515625" customWidth="1"/>
    <col min="17" max="17" width="9.5703125" style="93" bestFit="1" customWidth="1"/>
    <col min="18" max="18" width="9.140625" style="93" bestFit="1" customWidth="1"/>
    <col min="19" max="19" width="8.7109375" style="93" customWidth="1"/>
    <col min="20" max="20" width="11.140625" style="93" customWidth="1"/>
  </cols>
  <sheetData>
    <row r="2" spans="1:20" s="7" customFormat="1" ht="15" customHeight="1" x14ac:dyDescent="0.25">
      <c r="B2" s="54" t="s">
        <v>65</v>
      </c>
      <c r="C2" s="54" t="s">
        <v>66</v>
      </c>
      <c r="D2" s="54" t="s">
        <v>1</v>
      </c>
      <c r="E2" s="55" t="s">
        <v>67</v>
      </c>
      <c r="F2" s="56"/>
      <c r="G2" s="55" t="s">
        <v>68</v>
      </c>
      <c r="H2" s="56"/>
      <c r="I2" s="54" t="s">
        <v>69</v>
      </c>
      <c r="J2" s="54"/>
      <c r="K2" s="54"/>
      <c r="L2" s="54"/>
      <c r="M2" s="54"/>
      <c r="N2" s="54"/>
      <c r="O2" s="54"/>
      <c r="P2" s="54"/>
      <c r="Q2" s="54" t="s">
        <v>70</v>
      </c>
      <c r="R2" s="54"/>
      <c r="S2" s="54"/>
      <c r="T2" s="54"/>
    </row>
    <row r="3" spans="1:20" s="7" customFormat="1" ht="45" x14ac:dyDescent="0.25">
      <c r="B3" s="54"/>
      <c r="C3" s="54"/>
      <c r="D3" s="54"/>
      <c r="E3" s="57"/>
      <c r="F3" s="58"/>
      <c r="G3" s="57"/>
      <c r="H3" s="58"/>
      <c r="I3" s="54" t="s">
        <v>71</v>
      </c>
      <c r="J3" s="54"/>
      <c r="K3" s="59" t="s">
        <v>72</v>
      </c>
      <c r="L3" s="59"/>
      <c r="M3" s="54" t="s">
        <v>73</v>
      </c>
      <c r="N3" s="54"/>
      <c r="O3" s="54" t="s">
        <v>74</v>
      </c>
      <c r="P3" s="54"/>
      <c r="Q3" s="60" t="s">
        <v>75</v>
      </c>
      <c r="R3" s="60" t="s">
        <v>76</v>
      </c>
      <c r="S3" s="60" t="s">
        <v>77</v>
      </c>
      <c r="T3" s="60" t="s">
        <v>78</v>
      </c>
    </row>
    <row r="4" spans="1:20" x14ac:dyDescent="0.25">
      <c r="A4" s="7"/>
      <c r="B4" s="61" t="s">
        <v>10</v>
      </c>
      <c r="C4" s="61" t="s">
        <v>79</v>
      </c>
      <c r="D4" s="61" t="s">
        <v>13</v>
      </c>
      <c r="E4" s="62">
        <f>10^3 *-2.9791</f>
        <v>-2979.1</v>
      </c>
      <c r="F4" s="62">
        <f>10^3 *0.00606</f>
        <v>6.0600000000000005</v>
      </c>
      <c r="G4" s="62">
        <f>10^6 *0.000273</f>
        <v>273</v>
      </c>
      <c r="H4" s="62">
        <f>10^6 *0.00000075</f>
        <v>0.75</v>
      </c>
      <c r="I4" s="63">
        <v>260</v>
      </c>
      <c r="J4" s="63">
        <v>1.19</v>
      </c>
      <c r="K4" s="63">
        <f>2*I4*SQRT(2*LN(2))</f>
        <v>612.25321170804682</v>
      </c>
      <c r="L4" s="63">
        <f>J4*2*SQRT(2*LN(2))</f>
        <v>2.8022358535868297</v>
      </c>
      <c r="M4" s="63">
        <v>2870</v>
      </c>
      <c r="N4" s="63">
        <v>1.1200000000000001</v>
      </c>
      <c r="O4" s="63">
        <v>3079.2</v>
      </c>
      <c r="P4" s="63">
        <v>12.9</v>
      </c>
      <c r="Q4" s="64">
        <f>10^3 *0.003137</f>
        <v>3.137</v>
      </c>
      <c r="R4" s="64">
        <f>10^3 *0.002154</f>
        <v>2.1539999999999999</v>
      </c>
      <c r="S4" s="61">
        <v>34</v>
      </c>
      <c r="T4" s="61">
        <v>380</v>
      </c>
    </row>
    <row r="5" spans="1:20" x14ac:dyDescent="0.25">
      <c r="B5" s="65"/>
      <c r="C5" s="65"/>
      <c r="D5" s="65"/>
      <c r="E5" s="66"/>
      <c r="F5" s="66"/>
      <c r="G5" s="66"/>
      <c r="H5" s="66"/>
      <c r="I5" s="67">
        <v>301</v>
      </c>
      <c r="J5" s="67">
        <v>0.90300000000000002</v>
      </c>
      <c r="K5" s="63">
        <f>2*I5*SQRT(2*LN(2))</f>
        <v>708.80083355431577</v>
      </c>
      <c r="L5" s="67">
        <f t="shared" ref="L5:L7" si="0">J5*2*SQRT(2*LN(2))</f>
        <v>2.1264025006629472</v>
      </c>
      <c r="M5" s="67">
        <v>3970</v>
      </c>
      <c r="N5" s="67">
        <v>0.83499999999999996</v>
      </c>
      <c r="O5" s="67">
        <v>5104.5</v>
      </c>
      <c r="P5" s="67">
        <v>13.7</v>
      </c>
      <c r="Q5" s="68"/>
      <c r="R5" s="68"/>
      <c r="S5" s="65"/>
      <c r="T5" s="65"/>
    </row>
    <row r="6" spans="1:20" x14ac:dyDescent="0.25">
      <c r="A6" s="7"/>
      <c r="B6" s="65"/>
      <c r="C6" s="65"/>
      <c r="D6" s="65"/>
      <c r="E6" s="66"/>
      <c r="F6" s="66"/>
      <c r="G6" s="66"/>
      <c r="H6" s="66"/>
      <c r="I6" s="67">
        <v>275</v>
      </c>
      <c r="J6" s="67">
        <v>1.19</v>
      </c>
      <c r="K6" s="67">
        <f>2*I6*SQRT(2*LN(2))</f>
        <v>647.57551238351107</v>
      </c>
      <c r="L6" s="67">
        <f t="shared" si="0"/>
        <v>2.8022358535868297</v>
      </c>
      <c r="M6" s="67">
        <v>6810</v>
      </c>
      <c r="N6" s="67">
        <v>1.1499999999999999</v>
      </c>
      <c r="O6" s="67">
        <v>3067.5</v>
      </c>
      <c r="P6" s="67">
        <v>12.2</v>
      </c>
      <c r="Q6" s="68"/>
      <c r="R6" s="68"/>
      <c r="S6" s="65"/>
      <c r="T6" s="65"/>
    </row>
    <row r="7" spans="1:20" x14ac:dyDescent="0.25">
      <c r="A7" s="7"/>
      <c r="B7" s="65"/>
      <c r="C7" s="65"/>
      <c r="D7" s="65"/>
      <c r="E7" s="66"/>
      <c r="F7" s="66"/>
      <c r="G7" s="66"/>
      <c r="H7" s="66"/>
      <c r="I7" s="67">
        <v>293</v>
      </c>
      <c r="J7" s="67">
        <v>3.23</v>
      </c>
      <c r="K7" s="67">
        <f>2*I7*SQRT(2*LN(2))</f>
        <v>689.96227319406819</v>
      </c>
      <c r="L7" s="67">
        <f t="shared" si="0"/>
        <v>7.6060687454499663</v>
      </c>
      <c r="M7" s="67">
        <v>9350</v>
      </c>
      <c r="N7" s="67">
        <v>3.1</v>
      </c>
      <c r="O7" s="67">
        <v>1258.7</v>
      </c>
      <c r="P7" s="67">
        <v>13</v>
      </c>
      <c r="Q7" s="68"/>
      <c r="R7" s="68"/>
      <c r="S7" s="65"/>
      <c r="T7" s="65"/>
    </row>
    <row r="8" spans="1:20" x14ac:dyDescent="0.25">
      <c r="A8" s="7"/>
      <c r="B8" s="69" t="s">
        <v>49</v>
      </c>
      <c r="C8" s="69" t="s">
        <v>80</v>
      </c>
      <c r="D8" s="69" t="s">
        <v>15</v>
      </c>
      <c r="E8" s="70">
        <f>10^3 *0.121</f>
        <v>121</v>
      </c>
      <c r="F8" s="70">
        <f>10^3 *0.000833</f>
        <v>0.83299999999999996</v>
      </c>
      <c r="G8" s="70">
        <f>10^6 *-0.0000757</f>
        <v>-75.7</v>
      </c>
      <c r="H8" s="70">
        <f>10^6 *0.00000153</f>
        <v>1.53</v>
      </c>
      <c r="I8" s="71" t="s">
        <v>81</v>
      </c>
      <c r="J8" s="72"/>
      <c r="K8" s="73">
        <v>100</v>
      </c>
      <c r="L8" s="73">
        <v>5.84</v>
      </c>
      <c r="M8" s="73">
        <v>33.299999999999997</v>
      </c>
      <c r="N8" s="73">
        <v>1.43</v>
      </c>
      <c r="O8" s="73">
        <v>8.59</v>
      </c>
      <c r="P8" s="73">
        <v>0.505</v>
      </c>
      <c r="Q8" s="74">
        <f>10^3 *0.00035825</f>
        <v>0.35825000000000001</v>
      </c>
      <c r="R8" s="74">
        <f>10^3 *0.0003853</f>
        <v>0.38529999999999998</v>
      </c>
      <c r="S8" s="69">
        <v>1</v>
      </c>
      <c r="T8" s="69">
        <v>380</v>
      </c>
    </row>
    <row r="9" spans="1:20" x14ac:dyDescent="0.25">
      <c r="A9" s="7"/>
      <c r="B9" s="69"/>
      <c r="C9" s="69"/>
      <c r="D9" s="69"/>
      <c r="E9" s="70"/>
      <c r="F9" s="70"/>
      <c r="G9" s="70"/>
      <c r="H9" s="70"/>
      <c r="I9" s="71" t="s">
        <v>81</v>
      </c>
      <c r="J9" s="72"/>
      <c r="K9" s="73">
        <v>29.7</v>
      </c>
      <c r="L9" s="73">
        <v>0.877</v>
      </c>
      <c r="M9" s="73">
        <v>117</v>
      </c>
      <c r="N9" s="73">
        <v>0.24199999999999999</v>
      </c>
      <c r="O9" s="73">
        <v>6.92</v>
      </c>
      <c r="P9" s="73">
        <v>0.188</v>
      </c>
      <c r="Q9" s="74"/>
      <c r="R9" s="74"/>
      <c r="S9" s="69"/>
      <c r="T9" s="69"/>
    </row>
    <row r="10" spans="1:20" x14ac:dyDescent="0.25">
      <c r="A10" s="7"/>
      <c r="B10" s="69"/>
      <c r="C10" s="69"/>
      <c r="D10" s="69"/>
      <c r="E10" s="70"/>
      <c r="F10" s="70"/>
      <c r="G10" s="70"/>
      <c r="H10" s="70"/>
      <c r="I10" s="71" t="s">
        <v>81</v>
      </c>
      <c r="J10" s="72"/>
      <c r="K10" s="73">
        <v>33.200000000000003</v>
      </c>
      <c r="L10" s="73">
        <v>0.876</v>
      </c>
      <c r="M10" s="73">
        <v>196</v>
      </c>
      <c r="N10" s="73">
        <v>0.25700000000000001</v>
      </c>
      <c r="O10" s="73">
        <v>7.69</v>
      </c>
      <c r="P10" s="73">
        <v>0.16200000000000001</v>
      </c>
      <c r="Q10" s="74"/>
      <c r="R10" s="74"/>
      <c r="S10" s="69"/>
      <c r="T10" s="69"/>
    </row>
    <row r="11" spans="1:20" x14ac:dyDescent="0.25">
      <c r="A11" s="7"/>
      <c r="B11" s="69"/>
      <c r="C11" s="69"/>
      <c r="D11" s="69"/>
      <c r="E11" s="70"/>
      <c r="F11" s="70"/>
      <c r="G11" s="70"/>
      <c r="H11" s="70"/>
      <c r="I11" s="71" t="s">
        <v>81</v>
      </c>
      <c r="J11" s="72"/>
      <c r="K11" s="73">
        <v>21.1</v>
      </c>
      <c r="L11" s="73">
        <v>0.124</v>
      </c>
      <c r="M11" s="73">
        <v>248</v>
      </c>
      <c r="N11" s="73">
        <v>3.8100000000000002E-2</v>
      </c>
      <c r="O11" s="73">
        <v>25.7</v>
      </c>
      <c r="P11" s="73">
        <v>0.121</v>
      </c>
      <c r="Q11" s="74"/>
      <c r="R11" s="74"/>
      <c r="S11" s="69"/>
      <c r="T11" s="69"/>
    </row>
    <row r="12" spans="1:20" x14ac:dyDescent="0.25">
      <c r="A12" s="7"/>
      <c r="B12" s="69"/>
      <c r="C12" s="69"/>
      <c r="D12" s="69"/>
      <c r="E12" s="70"/>
      <c r="F12" s="70"/>
      <c r="G12" s="70"/>
      <c r="H12" s="70"/>
      <c r="I12" s="71" t="s">
        <v>81</v>
      </c>
      <c r="J12" s="72"/>
      <c r="K12" s="73">
        <v>25.7</v>
      </c>
      <c r="L12" s="73">
        <v>9.2700000000000005E-2</v>
      </c>
      <c r="M12" s="73">
        <v>325</v>
      </c>
      <c r="N12" s="73">
        <v>3.04E-2</v>
      </c>
      <c r="O12" s="73">
        <v>42.3</v>
      </c>
      <c r="P12" s="73">
        <v>0.11600000000000001</v>
      </c>
      <c r="Q12" s="74"/>
      <c r="R12" s="74"/>
      <c r="S12" s="69"/>
      <c r="T12" s="69"/>
    </row>
    <row r="13" spans="1:20" x14ac:dyDescent="0.25">
      <c r="A13" s="7"/>
      <c r="B13" s="69"/>
      <c r="C13" s="69"/>
      <c r="D13" s="69"/>
      <c r="E13" s="70"/>
      <c r="F13" s="70"/>
      <c r="G13" s="70"/>
      <c r="H13" s="70"/>
      <c r="I13" s="71" t="s">
        <v>81</v>
      </c>
      <c r="J13" s="72"/>
      <c r="K13" s="73">
        <v>11.3</v>
      </c>
      <c r="L13" s="73">
        <v>0.2</v>
      </c>
      <c r="M13" s="73">
        <v>459</v>
      </c>
      <c r="N13" s="73">
        <v>7.8E-2</v>
      </c>
      <c r="O13" s="73">
        <v>4.8</v>
      </c>
      <c r="P13" s="73">
        <v>7.2099999999999997E-2</v>
      </c>
      <c r="Q13" s="74"/>
      <c r="R13" s="74"/>
      <c r="S13" s="69"/>
      <c r="T13" s="69"/>
    </row>
    <row r="14" spans="1:20" x14ac:dyDescent="0.25">
      <c r="A14" s="7"/>
      <c r="B14" s="75" t="s">
        <v>22</v>
      </c>
      <c r="C14" s="75" t="s">
        <v>82</v>
      </c>
      <c r="D14" s="75" t="s">
        <v>15</v>
      </c>
      <c r="E14" s="76">
        <f>10^3 *-0.0821</f>
        <v>-82.100000000000009</v>
      </c>
      <c r="F14" s="76">
        <f>10^3 *0.000126</f>
        <v>0.126</v>
      </c>
      <c r="G14" s="76">
        <f>10^6 *-0.0000071</f>
        <v>-7.1</v>
      </c>
      <c r="H14" s="76">
        <f>10^6 *0.000000344</f>
        <v>0.34400000000000003</v>
      </c>
      <c r="I14" s="77" t="s">
        <v>81</v>
      </c>
      <c r="J14" s="78"/>
      <c r="K14" s="67">
        <v>16.8</v>
      </c>
      <c r="L14" s="67">
        <v>1.38</v>
      </c>
      <c r="M14" s="67">
        <v>194</v>
      </c>
      <c r="N14" s="67">
        <v>0.41599999999999998</v>
      </c>
      <c r="O14" s="67">
        <v>0.33400000000000002</v>
      </c>
      <c r="P14" s="67">
        <v>2.3900000000000001E-2</v>
      </c>
      <c r="Q14" s="79">
        <f>10^3 *0.003106</f>
        <v>3.1059999999999999</v>
      </c>
      <c r="R14" s="79">
        <f>10^3 *0.002491</f>
        <v>2.4910000000000001</v>
      </c>
      <c r="S14" s="75">
        <v>1</v>
      </c>
      <c r="T14" s="75">
        <v>380</v>
      </c>
    </row>
    <row r="15" spans="1:20" x14ac:dyDescent="0.25">
      <c r="A15" s="7"/>
      <c r="B15" s="80"/>
      <c r="C15" s="80"/>
      <c r="D15" s="80"/>
      <c r="E15" s="81"/>
      <c r="F15" s="81"/>
      <c r="G15" s="81"/>
      <c r="H15" s="81"/>
      <c r="I15" s="77" t="s">
        <v>81</v>
      </c>
      <c r="J15" s="78"/>
      <c r="K15" s="67">
        <v>18.899999999999999</v>
      </c>
      <c r="L15" s="67">
        <v>0.65600000000000003</v>
      </c>
      <c r="M15" s="67">
        <v>223</v>
      </c>
      <c r="N15" s="67">
        <v>0.159</v>
      </c>
      <c r="O15" s="67">
        <v>1.1299999999999999</v>
      </c>
      <c r="P15" s="67">
        <v>3.8800000000000001E-2</v>
      </c>
      <c r="Q15" s="82"/>
      <c r="R15" s="82"/>
      <c r="S15" s="80"/>
      <c r="T15" s="80"/>
    </row>
    <row r="16" spans="1:20" x14ac:dyDescent="0.25">
      <c r="B16" s="80"/>
      <c r="C16" s="80"/>
      <c r="D16" s="80"/>
      <c r="E16" s="81"/>
      <c r="F16" s="81"/>
      <c r="G16" s="81"/>
      <c r="H16" s="81"/>
      <c r="I16" s="77" t="s">
        <v>81</v>
      </c>
      <c r="J16" s="78"/>
      <c r="K16" s="67">
        <v>23.6</v>
      </c>
      <c r="L16" s="67">
        <v>0.93600000000000005</v>
      </c>
      <c r="M16" s="67">
        <v>253</v>
      </c>
      <c r="N16" s="67">
        <v>0.21099999999999999</v>
      </c>
      <c r="O16" s="67">
        <v>1.28</v>
      </c>
      <c r="P16" s="67">
        <v>5.0299999999999997E-2</v>
      </c>
      <c r="Q16" s="82"/>
      <c r="R16" s="82"/>
      <c r="S16" s="80"/>
      <c r="T16" s="80"/>
    </row>
    <row r="17" spans="2:20" x14ac:dyDescent="0.25">
      <c r="B17" s="80"/>
      <c r="C17" s="80"/>
      <c r="D17" s="80"/>
      <c r="E17" s="81"/>
      <c r="F17" s="81"/>
      <c r="G17" s="81"/>
      <c r="H17" s="81"/>
      <c r="I17" s="77" t="s">
        <v>81</v>
      </c>
      <c r="J17" s="78"/>
      <c r="K17" s="67">
        <v>16.2</v>
      </c>
      <c r="L17" s="67">
        <v>8.8400000000000006E-2</v>
      </c>
      <c r="M17" s="67">
        <v>280</v>
      </c>
      <c r="N17" s="67">
        <v>2.3400000000000001E-2</v>
      </c>
      <c r="O17" s="67">
        <v>5.91</v>
      </c>
      <c r="P17" s="67">
        <v>3.1699999999999999E-2</v>
      </c>
      <c r="Q17" s="82"/>
      <c r="R17" s="82"/>
      <c r="S17" s="80"/>
      <c r="T17" s="80"/>
    </row>
    <row r="18" spans="2:20" x14ac:dyDescent="0.25">
      <c r="B18" s="80"/>
      <c r="C18" s="80"/>
      <c r="D18" s="80"/>
      <c r="E18" s="81"/>
      <c r="F18" s="81"/>
      <c r="G18" s="81"/>
      <c r="H18" s="81"/>
      <c r="I18" s="77" t="s">
        <v>81</v>
      </c>
      <c r="J18" s="78"/>
      <c r="K18" s="67">
        <v>17.899999999999999</v>
      </c>
      <c r="L18" s="67">
        <v>6.0499999999999998E-2</v>
      </c>
      <c r="M18" s="67">
        <v>314</v>
      </c>
      <c r="N18" s="67">
        <v>1.89E-2</v>
      </c>
      <c r="O18" s="67">
        <v>7.67</v>
      </c>
      <c r="P18" s="67">
        <v>2.0400000000000001E-2</v>
      </c>
      <c r="Q18" s="82"/>
      <c r="R18" s="82"/>
      <c r="S18" s="80"/>
      <c r="T18" s="80"/>
    </row>
    <row r="19" spans="2:20" x14ac:dyDescent="0.25">
      <c r="B19" s="61"/>
      <c r="C19" s="61"/>
      <c r="D19" s="61"/>
      <c r="E19" s="62"/>
      <c r="F19" s="62"/>
      <c r="G19" s="62"/>
      <c r="H19" s="62"/>
      <c r="I19" s="77" t="s">
        <v>81</v>
      </c>
      <c r="J19" s="78"/>
      <c r="K19" s="67">
        <v>11.9</v>
      </c>
      <c r="L19" s="67">
        <v>0.21199999999999999</v>
      </c>
      <c r="M19" s="67">
        <v>378</v>
      </c>
      <c r="N19" s="67">
        <v>7.17E-2</v>
      </c>
      <c r="O19" s="67">
        <v>1.06</v>
      </c>
      <c r="P19" s="67">
        <v>1.3899999999999999E-2</v>
      </c>
      <c r="Q19" s="64"/>
      <c r="R19" s="64"/>
      <c r="S19" s="61"/>
      <c r="T19" s="61"/>
    </row>
    <row r="20" spans="2:20" x14ac:dyDescent="0.25">
      <c r="B20" s="83" t="s">
        <v>17</v>
      </c>
      <c r="C20" s="83" t="s">
        <v>83</v>
      </c>
      <c r="D20" s="83" t="s">
        <v>15</v>
      </c>
      <c r="E20" s="84">
        <f>10^3 *-1.23</f>
        <v>-1230</v>
      </c>
      <c r="F20" s="84">
        <f>10^3 *0.000576</f>
        <v>0.57600000000000007</v>
      </c>
      <c r="G20" s="84">
        <f>10^6 *-0.0000911</f>
        <v>-91.100000000000009</v>
      </c>
      <c r="H20" s="84">
        <f>10^6 *0.00000194</f>
        <v>1.9400000000000002</v>
      </c>
      <c r="I20" s="71" t="s">
        <v>81</v>
      </c>
      <c r="J20" s="72"/>
      <c r="K20" s="73">
        <v>38.1</v>
      </c>
      <c r="L20" s="73">
        <v>0.25700000000000001</v>
      </c>
      <c r="M20" s="73">
        <v>138</v>
      </c>
      <c r="N20" s="73">
        <v>9.8000000000000004E-2</v>
      </c>
      <c r="O20" s="73">
        <v>29</v>
      </c>
      <c r="P20" s="73">
        <v>0.28699999999999998</v>
      </c>
      <c r="Q20" s="85">
        <f>10^3 *0.003114</f>
        <v>3.1139999999999999</v>
      </c>
      <c r="R20" s="85">
        <f>10^3 *0.002233</f>
        <v>2.2330000000000001</v>
      </c>
      <c r="S20" s="83">
        <v>1</v>
      </c>
      <c r="T20" s="83">
        <v>380</v>
      </c>
    </row>
    <row r="21" spans="2:20" x14ac:dyDescent="0.25">
      <c r="B21" s="86"/>
      <c r="C21" s="86"/>
      <c r="D21" s="86"/>
      <c r="E21" s="87"/>
      <c r="F21" s="87"/>
      <c r="G21" s="87"/>
      <c r="H21" s="87"/>
      <c r="I21" s="71" t="s">
        <v>81</v>
      </c>
      <c r="J21" s="72"/>
      <c r="K21" s="73">
        <v>24.9</v>
      </c>
      <c r="L21" s="73">
        <v>0.253</v>
      </c>
      <c r="M21" s="73">
        <v>169</v>
      </c>
      <c r="N21" s="73">
        <v>8.6599999999999996E-2</v>
      </c>
      <c r="O21" s="73">
        <v>41.7</v>
      </c>
      <c r="P21" s="73">
        <v>0.89400000000000002</v>
      </c>
      <c r="Q21" s="88"/>
      <c r="R21" s="88"/>
      <c r="S21" s="86"/>
      <c r="T21" s="86"/>
    </row>
    <row r="22" spans="2:20" x14ac:dyDescent="0.25">
      <c r="B22" s="86"/>
      <c r="C22" s="86"/>
      <c r="D22" s="86"/>
      <c r="E22" s="87"/>
      <c r="F22" s="87"/>
      <c r="G22" s="87"/>
      <c r="H22" s="87"/>
      <c r="I22" s="71" t="s">
        <v>81</v>
      </c>
      <c r="J22" s="72"/>
      <c r="K22" s="73">
        <v>21.5</v>
      </c>
      <c r="L22" s="73">
        <v>0.49299999999999999</v>
      </c>
      <c r="M22" s="73">
        <v>184</v>
      </c>
      <c r="N22" s="73">
        <v>7.3499999999999996E-2</v>
      </c>
      <c r="O22" s="73">
        <v>27.8</v>
      </c>
      <c r="P22" s="73">
        <v>1.25</v>
      </c>
      <c r="Q22" s="88"/>
      <c r="R22" s="88"/>
      <c r="S22" s="86"/>
      <c r="T22" s="86"/>
    </row>
    <row r="23" spans="2:20" x14ac:dyDescent="0.25">
      <c r="B23" s="86"/>
      <c r="C23" s="86"/>
      <c r="D23" s="86"/>
      <c r="E23" s="87"/>
      <c r="F23" s="87"/>
      <c r="G23" s="87"/>
      <c r="H23" s="87"/>
      <c r="I23" s="71" t="s">
        <v>81</v>
      </c>
      <c r="J23" s="72"/>
      <c r="K23" s="73">
        <v>26</v>
      </c>
      <c r="L23" s="73">
        <v>0.48899999999999999</v>
      </c>
      <c r="M23" s="73">
        <v>202</v>
      </c>
      <c r="N23" s="73">
        <v>0.12</v>
      </c>
      <c r="O23" s="73">
        <v>26.7</v>
      </c>
      <c r="P23" s="73">
        <v>0.89800000000000002</v>
      </c>
      <c r="Q23" s="88"/>
      <c r="R23" s="88"/>
      <c r="S23" s="86"/>
      <c r="T23" s="86"/>
    </row>
    <row r="24" spans="2:20" x14ac:dyDescent="0.25">
      <c r="B24" s="86"/>
      <c r="C24" s="86"/>
      <c r="D24" s="86"/>
      <c r="E24" s="87"/>
      <c r="F24" s="87"/>
      <c r="G24" s="87"/>
      <c r="H24" s="87"/>
      <c r="I24" s="71" t="s">
        <v>81</v>
      </c>
      <c r="J24" s="72"/>
      <c r="K24" s="73">
        <v>28.5</v>
      </c>
      <c r="L24" s="73">
        <v>0.219</v>
      </c>
      <c r="M24" s="73">
        <v>227</v>
      </c>
      <c r="N24" s="73">
        <v>8.3400000000000002E-2</v>
      </c>
      <c r="O24" s="73">
        <v>23</v>
      </c>
      <c r="P24" s="73">
        <v>0.30599999999999999</v>
      </c>
      <c r="Q24" s="88"/>
      <c r="R24" s="88"/>
      <c r="S24" s="86"/>
      <c r="T24" s="86"/>
    </row>
    <row r="25" spans="2:20" x14ac:dyDescent="0.25">
      <c r="B25" s="89"/>
      <c r="C25" s="89"/>
      <c r="D25" s="89"/>
      <c r="E25" s="90"/>
      <c r="F25" s="90"/>
      <c r="G25" s="90"/>
      <c r="H25" s="90"/>
      <c r="I25" s="71" t="s">
        <v>81</v>
      </c>
      <c r="J25" s="72"/>
      <c r="K25" s="73">
        <v>5.77</v>
      </c>
      <c r="L25" s="73">
        <v>1.46</v>
      </c>
      <c r="M25" s="73">
        <v>315</v>
      </c>
      <c r="N25" s="73">
        <v>0.49199999999999999</v>
      </c>
      <c r="O25" s="73">
        <v>0.15</v>
      </c>
      <c r="P25" s="73">
        <v>2.8000000000000001E-2</v>
      </c>
      <c r="Q25" s="91"/>
      <c r="R25" s="91"/>
      <c r="S25" s="89"/>
      <c r="T25" s="89"/>
    </row>
    <row r="26" spans="2:20" x14ac:dyDescent="0.25">
      <c r="B26" s="75" t="s">
        <v>50</v>
      </c>
      <c r="C26" s="75" t="s">
        <v>84</v>
      </c>
      <c r="D26" s="75" t="s">
        <v>15</v>
      </c>
      <c r="E26" s="76">
        <f>10^3 *-0.151</f>
        <v>-151</v>
      </c>
      <c r="F26" s="76">
        <f>10^3 *0.000609</f>
        <v>0.60899999999999999</v>
      </c>
      <c r="G26" s="76">
        <f>10^6 *-0.000135</f>
        <v>-135</v>
      </c>
      <c r="H26" s="76">
        <f>10^6 *0.00000108</f>
        <v>1.08</v>
      </c>
      <c r="I26" s="77" t="s">
        <v>81</v>
      </c>
      <c r="J26" s="78"/>
      <c r="K26" s="67">
        <v>17.399999999999999</v>
      </c>
      <c r="L26" s="67">
        <v>0.60499999999999998</v>
      </c>
      <c r="M26" s="67">
        <v>404</v>
      </c>
      <c r="N26" s="67">
        <v>0.191</v>
      </c>
      <c r="O26" s="67">
        <v>4.6900000000000004</v>
      </c>
      <c r="P26" s="67">
        <v>0.127</v>
      </c>
      <c r="Q26" s="79">
        <f>10^3 *0.0000976</f>
        <v>9.7600000000000006E-2</v>
      </c>
      <c r="R26" s="79">
        <f>10^3 *0.001736</f>
        <v>1.736</v>
      </c>
      <c r="S26" s="75">
        <v>2</v>
      </c>
      <c r="T26" s="75">
        <v>380</v>
      </c>
    </row>
    <row r="27" spans="2:20" x14ac:dyDescent="0.25">
      <c r="B27" s="80"/>
      <c r="C27" s="80"/>
      <c r="D27" s="80"/>
      <c r="E27" s="81"/>
      <c r="F27" s="81"/>
      <c r="G27" s="81"/>
      <c r="H27" s="81"/>
      <c r="I27" s="77" t="s">
        <v>81</v>
      </c>
      <c r="J27" s="78"/>
      <c r="K27" s="67">
        <v>16.899999999999999</v>
      </c>
      <c r="L27" s="67">
        <v>0.51200000000000001</v>
      </c>
      <c r="M27" s="67">
        <v>439</v>
      </c>
      <c r="N27" s="67">
        <v>0.13900000000000001</v>
      </c>
      <c r="O27" s="67">
        <v>-6.48</v>
      </c>
      <c r="P27" s="67">
        <v>0.17799999999999999</v>
      </c>
      <c r="Q27" s="82"/>
      <c r="R27" s="82"/>
      <c r="S27" s="80"/>
      <c r="T27" s="80"/>
    </row>
    <row r="28" spans="2:20" x14ac:dyDescent="0.25">
      <c r="B28" s="80"/>
      <c r="C28" s="80"/>
      <c r="D28" s="80"/>
      <c r="E28" s="81"/>
      <c r="F28" s="81"/>
      <c r="G28" s="81"/>
      <c r="H28" s="81"/>
      <c r="I28" s="77" t="s">
        <v>81</v>
      </c>
      <c r="J28" s="78"/>
      <c r="K28" s="67">
        <v>32.5</v>
      </c>
      <c r="L28" s="67">
        <v>0.65700000000000003</v>
      </c>
      <c r="M28" s="67">
        <v>477</v>
      </c>
      <c r="N28" s="67">
        <v>0.15</v>
      </c>
      <c r="O28" s="67">
        <v>19.600000000000001</v>
      </c>
      <c r="P28" s="67">
        <v>0.433</v>
      </c>
      <c r="Q28" s="82"/>
      <c r="R28" s="82"/>
      <c r="S28" s="80"/>
      <c r="T28" s="80"/>
    </row>
    <row r="29" spans="2:20" x14ac:dyDescent="0.25">
      <c r="B29" s="80"/>
      <c r="C29" s="80"/>
      <c r="D29" s="80"/>
      <c r="E29" s="81"/>
      <c r="F29" s="81"/>
      <c r="G29" s="81"/>
      <c r="H29" s="81"/>
      <c r="I29" s="77" t="s">
        <v>81</v>
      </c>
      <c r="J29" s="78"/>
      <c r="K29" s="67">
        <v>40</v>
      </c>
      <c r="L29" s="67">
        <v>1.24</v>
      </c>
      <c r="M29" s="67">
        <v>5.23</v>
      </c>
      <c r="N29" s="67">
        <v>0.25700000000000001</v>
      </c>
      <c r="O29" s="67">
        <v>21</v>
      </c>
      <c r="P29" s="67">
        <v>0.76800000000000002</v>
      </c>
      <c r="Q29" s="82"/>
      <c r="R29" s="82"/>
      <c r="S29" s="80"/>
      <c r="T29" s="80"/>
    </row>
    <row r="30" spans="2:20" x14ac:dyDescent="0.25">
      <c r="B30" s="80"/>
      <c r="C30" s="80"/>
      <c r="D30" s="80"/>
      <c r="E30" s="81"/>
      <c r="F30" s="81"/>
      <c r="G30" s="81"/>
      <c r="H30" s="81"/>
      <c r="I30" s="77" t="s">
        <v>81</v>
      </c>
      <c r="J30" s="78"/>
      <c r="K30" s="67">
        <v>26.9</v>
      </c>
      <c r="L30" s="67">
        <v>0.38500000000000001</v>
      </c>
      <c r="M30" s="67">
        <v>556</v>
      </c>
      <c r="N30" s="67">
        <v>0.107</v>
      </c>
      <c r="O30" s="67">
        <v>23.7</v>
      </c>
      <c r="P30" s="67">
        <v>0.45600000000000002</v>
      </c>
      <c r="Q30" s="82"/>
      <c r="R30" s="82"/>
      <c r="S30" s="80"/>
      <c r="T30" s="80"/>
    </row>
    <row r="31" spans="2:20" x14ac:dyDescent="0.25">
      <c r="B31" s="61"/>
      <c r="C31" s="61"/>
      <c r="D31" s="61"/>
      <c r="E31" s="62"/>
      <c r="F31" s="62"/>
      <c r="G31" s="62"/>
      <c r="H31" s="62"/>
      <c r="I31" s="77" t="s">
        <v>81</v>
      </c>
      <c r="J31" s="78"/>
      <c r="K31" s="67">
        <v>30.1</v>
      </c>
      <c r="L31" s="67">
        <v>0.41399999999999998</v>
      </c>
      <c r="M31" s="67">
        <v>623</v>
      </c>
      <c r="N31" s="67">
        <v>0.13</v>
      </c>
      <c r="O31" s="67">
        <v>15.4</v>
      </c>
      <c r="P31" s="67">
        <v>0.16500000000000001</v>
      </c>
      <c r="Q31" s="64"/>
      <c r="R31" s="64"/>
      <c r="S31" s="61"/>
      <c r="T31" s="61"/>
    </row>
    <row r="33" spans="7:12" x14ac:dyDescent="0.25">
      <c r="G33" s="92"/>
      <c r="H33" s="92"/>
    </row>
    <row r="34" spans="7:12" x14ac:dyDescent="0.25">
      <c r="G34" s="92"/>
      <c r="H34" s="92"/>
      <c r="K34"/>
      <c r="L34"/>
    </row>
    <row r="35" spans="7:12" x14ac:dyDescent="0.25">
      <c r="G35" s="92"/>
      <c r="H35" s="92"/>
      <c r="K35"/>
      <c r="L35"/>
    </row>
    <row r="36" spans="7:12" x14ac:dyDescent="0.25">
      <c r="G36" s="92"/>
      <c r="H36" s="92"/>
      <c r="K36"/>
      <c r="L36"/>
    </row>
    <row r="37" spans="7:12" x14ac:dyDescent="0.25">
      <c r="G37" s="92"/>
      <c r="H37" s="92"/>
      <c r="K37"/>
      <c r="L37"/>
    </row>
    <row r="38" spans="7:12" x14ac:dyDescent="0.25">
      <c r="G38" s="92"/>
      <c r="H38" s="92"/>
      <c r="K38"/>
      <c r="L38"/>
    </row>
    <row r="39" spans="7:12" x14ac:dyDescent="0.25">
      <c r="G39" s="92"/>
      <c r="H39" s="92"/>
      <c r="K39"/>
      <c r="L39"/>
    </row>
    <row r="40" spans="7:12" x14ac:dyDescent="0.25">
      <c r="G40" s="92"/>
      <c r="H40" s="92"/>
      <c r="K40"/>
      <c r="L40"/>
    </row>
    <row r="41" spans="7:12" x14ac:dyDescent="0.25">
      <c r="G41" s="92"/>
      <c r="H41" s="92"/>
      <c r="K41"/>
      <c r="L41"/>
    </row>
    <row r="42" spans="7:12" x14ac:dyDescent="0.25">
      <c r="G42" s="92"/>
      <c r="H42" s="92"/>
      <c r="K42"/>
      <c r="L42"/>
    </row>
    <row r="43" spans="7:12" x14ac:dyDescent="0.25">
      <c r="G43" s="92"/>
      <c r="H43" s="92"/>
      <c r="K43"/>
      <c r="L43"/>
    </row>
    <row r="44" spans="7:12" x14ac:dyDescent="0.25">
      <c r="G44" s="92"/>
      <c r="H44" s="92"/>
      <c r="K44"/>
      <c r="L44"/>
    </row>
    <row r="45" spans="7:12" x14ac:dyDescent="0.25">
      <c r="G45" s="92"/>
      <c r="H45" s="92"/>
      <c r="K45"/>
      <c r="L45"/>
    </row>
    <row r="46" spans="7:12" x14ac:dyDescent="0.25">
      <c r="G46" s="92"/>
      <c r="H46" s="92"/>
      <c r="K46"/>
      <c r="L46"/>
    </row>
    <row r="47" spans="7:12" x14ac:dyDescent="0.25">
      <c r="G47" s="92"/>
      <c r="H47" s="92"/>
      <c r="K47"/>
      <c r="L47"/>
    </row>
    <row r="48" spans="7:12" x14ac:dyDescent="0.25">
      <c r="G48" s="92"/>
      <c r="H48" s="92"/>
      <c r="K48"/>
      <c r="L48"/>
    </row>
    <row r="49" spans="2:20" x14ac:dyDescent="0.25">
      <c r="G49" s="92"/>
      <c r="H49" s="92"/>
      <c r="K49"/>
      <c r="L49"/>
    </row>
    <row r="50" spans="2:20" x14ac:dyDescent="0.25">
      <c r="B50" s="4"/>
      <c r="C50" s="5"/>
      <c r="D50" s="4"/>
      <c r="E50" s="5"/>
      <c r="F50" s="5"/>
      <c r="G50" s="92"/>
      <c r="H50" s="92"/>
      <c r="I50" s="5"/>
      <c r="J50" s="5"/>
      <c r="K50" s="4"/>
      <c r="L50" s="5"/>
      <c r="M50" s="5"/>
      <c r="N50" s="5"/>
      <c r="O50" s="4"/>
      <c r="P50" s="5"/>
      <c r="Q50" s="94"/>
      <c r="R50" s="95"/>
      <c r="S50" s="94"/>
      <c r="T50" s="95"/>
    </row>
    <row r="51" spans="2:20" x14ac:dyDescent="0.25">
      <c r="G51" s="92"/>
      <c r="H51" s="92"/>
    </row>
    <row r="52" spans="2:20" x14ac:dyDescent="0.25">
      <c r="G52" s="92"/>
      <c r="H52" s="92"/>
    </row>
    <row r="53" spans="2:20" x14ac:dyDescent="0.25">
      <c r="G53" s="92"/>
      <c r="H53" s="92"/>
    </row>
    <row r="54" spans="2:20" x14ac:dyDescent="0.25">
      <c r="G54" s="92"/>
      <c r="H54" s="92"/>
    </row>
    <row r="55" spans="2:20" x14ac:dyDescent="0.25">
      <c r="G55" s="92"/>
      <c r="H55" s="92"/>
    </row>
    <row r="56" spans="2:20" x14ac:dyDescent="0.25">
      <c r="G56" s="92"/>
      <c r="H56" s="92"/>
    </row>
    <row r="57" spans="2:20" x14ac:dyDescent="0.25">
      <c r="G57" s="92"/>
      <c r="H57" s="92"/>
    </row>
    <row r="58" spans="2:20" x14ac:dyDescent="0.25">
      <c r="G58" s="92"/>
      <c r="H58" s="92"/>
    </row>
    <row r="59" spans="2:20" x14ac:dyDescent="0.25">
      <c r="G59" s="92"/>
      <c r="H59" s="92"/>
    </row>
    <row r="60" spans="2:20" x14ac:dyDescent="0.25">
      <c r="G60" s="92"/>
      <c r="H60" s="92"/>
    </row>
  </sheetData>
  <mergeCells count="90">
    <mergeCell ref="Q26:Q31"/>
    <mergeCell ref="R26:R31"/>
    <mergeCell ref="S26:S31"/>
    <mergeCell ref="T26:T31"/>
    <mergeCell ref="I27:J27"/>
    <mergeCell ref="I28:J28"/>
    <mergeCell ref="I29:J29"/>
    <mergeCell ref="I30:J30"/>
    <mergeCell ref="I31:J31"/>
    <mergeCell ref="I25:J25"/>
    <mergeCell ref="B26:B31"/>
    <mergeCell ref="C26:C31"/>
    <mergeCell ref="D26:D31"/>
    <mergeCell ref="E26:E31"/>
    <mergeCell ref="F26:F31"/>
    <mergeCell ref="G26:G31"/>
    <mergeCell ref="H26:H31"/>
    <mergeCell ref="I26:J26"/>
    <mergeCell ref="H20:H25"/>
    <mergeCell ref="I20:J20"/>
    <mergeCell ref="Q20:Q25"/>
    <mergeCell ref="R20:R25"/>
    <mergeCell ref="S20:S25"/>
    <mergeCell ref="T20:T25"/>
    <mergeCell ref="I21:J21"/>
    <mergeCell ref="I22:J22"/>
    <mergeCell ref="I23:J23"/>
    <mergeCell ref="I24:J24"/>
    <mergeCell ref="B20:B25"/>
    <mergeCell ref="C20:C25"/>
    <mergeCell ref="D20:D25"/>
    <mergeCell ref="E20:E25"/>
    <mergeCell ref="F20:F25"/>
    <mergeCell ref="G20:G25"/>
    <mergeCell ref="Q14:Q19"/>
    <mergeCell ref="R14:R19"/>
    <mergeCell ref="S14:S19"/>
    <mergeCell ref="T14:T19"/>
    <mergeCell ref="I15:J15"/>
    <mergeCell ref="I16:J16"/>
    <mergeCell ref="I17:J17"/>
    <mergeCell ref="I18:J18"/>
    <mergeCell ref="I19:J19"/>
    <mergeCell ref="I13:J13"/>
    <mergeCell ref="B14:B19"/>
    <mergeCell ref="C14:C19"/>
    <mergeCell ref="D14:D19"/>
    <mergeCell ref="E14:E19"/>
    <mergeCell ref="F14:F19"/>
    <mergeCell ref="G14:G19"/>
    <mergeCell ref="H14:H19"/>
    <mergeCell ref="I14:J14"/>
    <mergeCell ref="H8:H13"/>
    <mergeCell ref="I8:J8"/>
    <mergeCell ref="Q8:Q13"/>
    <mergeCell ref="R8:R13"/>
    <mergeCell ref="S8:S13"/>
    <mergeCell ref="T8:T13"/>
    <mergeCell ref="I9:J9"/>
    <mergeCell ref="I10:J10"/>
    <mergeCell ref="I11:J11"/>
    <mergeCell ref="I12:J12"/>
    <mergeCell ref="B8:B13"/>
    <mergeCell ref="C8:C13"/>
    <mergeCell ref="D8:D13"/>
    <mergeCell ref="E8:E13"/>
    <mergeCell ref="F8:F13"/>
    <mergeCell ref="G8:G13"/>
    <mergeCell ref="G4:G7"/>
    <mergeCell ref="H4:H7"/>
    <mergeCell ref="Q4:Q7"/>
    <mergeCell ref="R4:R7"/>
    <mergeCell ref="S4:S7"/>
    <mergeCell ref="T4:T7"/>
    <mergeCell ref="Q2:T2"/>
    <mergeCell ref="I3:J3"/>
    <mergeCell ref="K3:L3"/>
    <mergeCell ref="M3:N3"/>
    <mergeCell ref="O3:P3"/>
    <mergeCell ref="B4:B7"/>
    <mergeCell ref="C4:C7"/>
    <mergeCell ref="D4:D7"/>
    <mergeCell ref="E4:E7"/>
    <mergeCell ref="F4:F7"/>
    <mergeCell ref="B2:B3"/>
    <mergeCell ref="C2:C3"/>
    <mergeCell ref="D2:D3"/>
    <mergeCell ref="E2:F3"/>
    <mergeCell ref="G2:H3"/>
    <mergeCell ref="I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Uncertainties</vt:lpstr>
      <vt:lpstr>Calculations</vt:lpstr>
      <vt:lpstr>Printable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Homewood</dc:creator>
  <cp:lastModifiedBy>Frankie Homewood</cp:lastModifiedBy>
  <cp:lastPrinted>2019-03-11T16:08:01Z</cp:lastPrinted>
  <dcterms:created xsi:type="dcterms:W3CDTF">2019-03-11T16:07:20Z</dcterms:created>
  <dcterms:modified xsi:type="dcterms:W3CDTF">2019-03-24T20:15:48Z</dcterms:modified>
</cp:coreProperties>
</file>