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jathar\Desktop\parcap-github\python-academy\"/>
    </mc:Choice>
  </mc:AlternateContent>
  <bookViews>
    <workbookView xWindow="-90" yWindow="-90" windowWidth="21780" windowHeight="13980"/>
  </bookViews>
  <sheets>
    <sheet name="Financials" sheetId="1" r:id="rId1"/>
    <sheet name="Analytical Framework" sheetId="2" r:id="rId2"/>
    <sheet name="Bloomberg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07" i="1" l="1"/>
  <c r="H307" i="1"/>
  <c r="G307" i="1"/>
  <c r="F307" i="1"/>
  <c r="E307" i="1"/>
  <c r="E306" i="1"/>
  <c r="F308" i="1"/>
  <c r="G308" i="1" s="1"/>
  <c r="F303" i="1"/>
  <c r="F306" i="1" s="1"/>
  <c r="G303" i="1" s="1"/>
  <c r="G306" i="1" s="1"/>
  <c r="H303" i="1" s="1"/>
  <c r="H306" i="1" s="1"/>
  <c r="I303" i="1" s="1"/>
  <c r="I306" i="1" s="1"/>
  <c r="E303" i="1"/>
  <c r="G300" i="1"/>
  <c r="H300" i="1" s="1"/>
  <c r="F300" i="1"/>
  <c r="D283" i="1"/>
  <c r="D306" i="1"/>
  <c r="D298" i="1"/>
  <c r="E295" i="1" s="1"/>
  <c r="D290" i="1"/>
  <c r="E287" i="1" s="1"/>
  <c r="E290" i="1" s="1"/>
  <c r="F287" i="1" s="1"/>
  <c r="F290" i="1" s="1"/>
  <c r="G287" i="1" s="1"/>
  <c r="G290" i="1" s="1"/>
  <c r="H287" i="1" s="1"/>
  <c r="H290" i="1" s="1"/>
  <c r="I287" i="1" s="1"/>
  <c r="I290" i="1" s="1"/>
  <c r="H308" i="1" l="1"/>
  <c r="E298" i="1"/>
  <c r="F295" i="1" s="1"/>
  <c r="I300" i="1"/>
  <c r="E291" i="1"/>
  <c r="F291" i="1"/>
  <c r="G291" i="1"/>
  <c r="H291" i="1"/>
  <c r="I291" i="1"/>
  <c r="I308" i="1" l="1"/>
  <c r="F298" i="1"/>
  <c r="G295" i="1" s="1"/>
  <c r="E299" i="1"/>
  <c r="G298" i="1" l="1"/>
  <c r="H295" i="1" s="1"/>
  <c r="G299" i="1"/>
  <c r="F299" i="1"/>
  <c r="H298" i="1" l="1"/>
  <c r="I295" i="1" s="1"/>
  <c r="H299" i="1"/>
  <c r="I298" i="1" l="1"/>
  <c r="I299" i="1"/>
  <c r="E147" i="1" l="1"/>
  <c r="F147" i="1" s="1"/>
  <c r="G147" i="1" s="1"/>
  <c r="H147" i="1" s="1"/>
  <c r="I147" i="1" s="1"/>
  <c r="E178" i="1" l="1"/>
  <c r="F178" i="1" s="1"/>
  <c r="G178" i="1" s="1"/>
  <c r="H178" i="1" s="1"/>
  <c r="I178" i="1" s="1"/>
  <c r="E176" i="1"/>
  <c r="F176" i="1" s="1"/>
  <c r="G176" i="1" s="1"/>
  <c r="H176" i="1" s="1"/>
  <c r="I176" i="1" s="1"/>
  <c r="E174" i="1"/>
  <c r="F174" i="1" s="1"/>
  <c r="G174" i="1" s="1"/>
  <c r="H174" i="1" s="1"/>
  <c r="I174" i="1" s="1"/>
  <c r="E173" i="1"/>
  <c r="F173" i="1" s="1"/>
  <c r="G173" i="1" s="1"/>
  <c r="E170" i="1"/>
  <c r="F170" i="1" s="1"/>
  <c r="G170" i="1" s="1"/>
  <c r="H170" i="1" s="1"/>
  <c r="I170" i="1" s="1"/>
  <c r="E168" i="1"/>
  <c r="F168" i="1" s="1"/>
  <c r="G168" i="1" s="1"/>
  <c r="H168" i="1" s="1"/>
  <c r="I168" i="1" s="1"/>
  <c r="E164" i="1"/>
  <c r="E163" i="1"/>
  <c r="F163" i="1" s="1"/>
  <c r="G163" i="1" s="1"/>
  <c r="E152" i="1"/>
  <c r="F152" i="1" s="1"/>
  <c r="G152" i="1" s="1"/>
  <c r="H152" i="1" s="1"/>
  <c r="I152" i="1" s="1"/>
  <c r="E156" i="1"/>
  <c r="F156" i="1" s="1"/>
  <c r="G156" i="1" s="1"/>
  <c r="H156" i="1" s="1"/>
  <c r="I156" i="1" s="1"/>
  <c r="E154" i="1"/>
  <c r="F154" i="1" s="1"/>
  <c r="G154" i="1" s="1"/>
  <c r="H154" i="1" s="1"/>
  <c r="I154" i="1" s="1"/>
  <c r="E150" i="1"/>
  <c r="F150" i="1" s="1"/>
  <c r="G150" i="1" s="1"/>
  <c r="H150" i="1" s="1"/>
  <c r="I150" i="1" s="1"/>
  <c r="F164" i="1" l="1"/>
  <c r="H173" i="1"/>
  <c r="H163" i="1"/>
  <c r="G164" i="1" l="1"/>
  <c r="I173" i="1"/>
  <c r="I163" i="1"/>
  <c r="H164" i="1" l="1"/>
  <c r="I164" i="1" l="1"/>
  <c r="D273" i="1"/>
  <c r="C273" i="1"/>
  <c r="D271" i="1"/>
  <c r="C271" i="1"/>
  <c r="D267" i="1"/>
  <c r="C267" i="1"/>
  <c r="D265" i="1"/>
  <c r="C265" i="1"/>
  <c r="D266" i="1" s="1"/>
  <c r="D263" i="1"/>
  <c r="C263" i="1"/>
  <c r="D177" i="1"/>
  <c r="D179" i="1" s="1"/>
  <c r="C177" i="1"/>
  <c r="C179" i="1" s="1"/>
  <c r="D167" i="1"/>
  <c r="D171" i="1" s="1"/>
  <c r="C167" i="1"/>
  <c r="C171" i="1" s="1"/>
  <c r="E185" i="1"/>
  <c r="D153" i="1"/>
  <c r="C153" i="1"/>
  <c r="E188" i="1"/>
  <c r="C159" i="1"/>
  <c r="C157" i="1" s="1"/>
  <c r="E187" i="1"/>
  <c r="D159" i="1"/>
  <c r="E186" i="1"/>
  <c r="D272" i="1" l="1"/>
  <c r="D275" i="1"/>
  <c r="D157" i="1"/>
  <c r="E159" i="1"/>
  <c r="C275" i="1"/>
  <c r="D264" i="1"/>
  <c r="C269" i="1"/>
  <c r="D269" i="1"/>
  <c r="D276" i="1" s="1"/>
  <c r="D180" i="1"/>
  <c r="C180" i="1"/>
  <c r="D146" i="1"/>
  <c r="C146" i="1"/>
  <c r="D145" i="1"/>
  <c r="C145" i="1"/>
  <c r="C276" i="1" l="1"/>
  <c r="D277" i="1"/>
  <c r="F159" i="1"/>
  <c r="C161" i="1"/>
  <c r="C181" i="1" s="1"/>
  <c r="D161" i="1"/>
  <c r="D181" i="1" s="1"/>
  <c r="I256" i="1"/>
  <c r="H256" i="1"/>
  <c r="G256" i="1"/>
  <c r="F256" i="1"/>
  <c r="E256" i="1"/>
  <c r="I208" i="1"/>
  <c r="I207" i="1"/>
  <c r="I206" i="1"/>
  <c r="I244" i="1"/>
  <c r="H244" i="1"/>
  <c r="G244" i="1"/>
  <c r="F244" i="1"/>
  <c r="E244" i="1"/>
  <c r="I243" i="1"/>
  <c r="H243" i="1"/>
  <c r="G243" i="1"/>
  <c r="F243" i="1"/>
  <c r="E243" i="1"/>
  <c r="I242" i="1"/>
  <c r="H242" i="1"/>
  <c r="G242" i="1"/>
  <c r="F242" i="1"/>
  <c r="E242" i="1"/>
  <c r="I241" i="1"/>
  <c r="H241" i="1"/>
  <c r="G241" i="1"/>
  <c r="F241" i="1"/>
  <c r="E241" i="1"/>
  <c r="I210" i="1"/>
  <c r="H210" i="1"/>
  <c r="G210" i="1"/>
  <c r="F210" i="1"/>
  <c r="E221" i="1"/>
  <c r="G159" i="1" l="1"/>
  <c r="H159" i="1" s="1"/>
  <c r="I159" i="1" s="1"/>
  <c r="G212" i="1"/>
  <c r="E210" i="1"/>
  <c r="E158" i="1" s="1"/>
  <c r="F158" i="1" l="1"/>
  <c r="E157" i="1"/>
  <c r="H212" i="1"/>
  <c r="E211" i="1"/>
  <c r="I209" i="1"/>
  <c r="G209" i="1"/>
  <c r="H209" i="1"/>
  <c r="I211" i="1"/>
  <c r="F209" i="1"/>
  <c r="H211" i="1"/>
  <c r="E209" i="1"/>
  <c r="G211" i="1"/>
  <c r="F211" i="1"/>
  <c r="I212" i="1"/>
  <c r="E212" i="1"/>
  <c r="E155" i="1" s="1"/>
  <c r="F212" i="1"/>
  <c r="F155" i="1" l="1"/>
  <c r="E153" i="1"/>
  <c r="G158" i="1"/>
  <c r="F157" i="1"/>
  <c r="F208" i="1"/>
  <c r="G206" i="1"/>
  <c r="E206" i="1"/>
  <c r="E208" i="1"/>
  <c r="H206" i="1"/>
  <c r="G208" i="1"/>
  <c r="F206" i="1"/>
  <c r="H208" i="1"/>
  <c r="G204" i="1"/>
  <c r="H205" i="1"/>
  <c r="E203" i="1"/>
  <c r="I205" i="1"/>
  <c r="G205" i="1"/>
  <c r="E204" i="1"/>
  <c r="F205" i="1"/>
  <c r="G203" i="1"/>
  <c r="E205" i="1"/>
  <c r="I203" i="1"/>
  <c r="H203" i="1"/>
  <c r="F203" i="1"/>
  <c r="E207" i="1"/>
  <c r="F207" i="1"/>
  <c r="G207" i="1"/>
  <c r="H207" i="1"/>
  <c r="H204" i="1"/>
  <c r="I204" i="1"/>
  <c r="F204" i="1"/>
  <c r="D126" i="1"/>
  <c r="E126" i="1" s="1"/>
  <c r="C126" i="1"/>
  <c r="B126" i="1"/>
  <c r="H158" i="1" l="1"/>
  <c r="G157" i="1"/>
  <c r="G155" i="1"/>
  <c r="F153" i="1"/>
  <c r="F126" i="1"/>
  <c r="H155" i="1" l="1"/>
  <c r="G153" i="1"/>
  <c r="I158" i="1"/>
  <c r="I157" i="1" s="1"/>
  <c r="H157" i="1"/>
  <c r="G126" i="1"/>
  <c r="D110" i="1"/>
  <c r="C110" i="1"/>
  <c r="B110" i="1"/>
  <c r="D112" i="1"/>
  <c r="C112" i="1"/>
  <c r="B112" i="1"/>
  <c r="I155" i="1" l="1"/>
  <c r="I153" i="1" s="1"/>
  <c r="H153" i="1"/>
  <c r="H126" i="1"/>
  <c r="D127" i="1"/>
  <c r="C127" i="1"/>
  <c r="B127" i="1"/>
  <c r="D95" i="1"/>
  <c r="C95" i="1"/>
  <c r="B95" i="1"/>
  <c r="D88" i="1"/>
  <c r="C88" i="1"/>
  <c r="B88" i="1"/>
  <c r="I66" i="1"/>
  <c r="H66" i="1"/>
  <c r="G66" i="1"/>
  <c r="F66" i="1"/>
  <c r="E66" i="1"/>
  <c r="D66" i="1"/>
  <c r="C66" i="1"/>
  <c r="B66" i="1"/>
  <c r="I85" i="1"/>
  <c r="H85" i="1"/>
  <c r="G85" i="1"/>
  <c r="F85" i="1"/>
  <c r="E85" i="1"/>
  <c r="D85" i="1"/>
  <c r="C85" i="1"/>
  <c r="B85" i="1"/>
  <c r="I84" i="1"/>
  <c r="H84" i="1"/>
  <c r="G84" i="1"/>
  <c r="F84" i="1"/>
  <c r="E84" i="1"/>
  <c r="D84" i="1"/>
  <c r="C84" i="1"/>
  <c r="B84" i="1"/>
  <c r="E223" i="1" l="1"/>
  <c r="F223" i="1" s="1"/>
  <c r="G223" i="1" s="1"/>
  <c r="H223" i="1" s="1"/>
  <c r="I223" i="1" s="1"/>
  <c r="E222" i="1"/>
  <c r="E224" i="1" s="1"/>
  <c r="F224" i="1" s="1"/>
  <c r="G224" i="1" s="1"/>
  <c r="H224" i="1" s="1"/>
  <c r="I224" i="1" s="1"/>
  <c r="I126" i="1"/>
  <c r="E71" i="1"/>
  <c r="F71" i="1" s="1"/>
  <c r="G71" i="1" s="1"/>
  <c r="H71" i="1" s="1"/>
  <c r="I71" i="1" s="1"/>
  <c r="E70" i="1"/>
  <c r="F70" i="1" l="1"/>
  <c r="E125" i="1"/>
  <c r="E127" i="1" s="1"/>
  <c r="E3" i="1"/>
  <c r="E263" i="1" s="1"/>
  <c r="E98" i="1" s="1"/>
  <c r="E142" i="1" s="1"/>
  <c r="D52" i="1"/>
  <c r="C52" i="1"/>
  <c r="D26" i="1"/>
  <c r="C26" i="1"/>
  <c r="B26" i="1"/>
  <c r="E5" i="1" l="1"/>
  <c r="E109" i="1"/>
  <c r="G70" i="1"/>
  <c r="F125" i="1"/>
  <c r="F127" i="1" s="1"/>
  <c r="F3" i="1"/>
  <c r="F263" i="1" s="1"/>
  <c r="F98" i="1" s="1"/>
  <c r="F142" i="1" s="1"/>
  <c r="E12" i="1"/>
  <c r="D35" i="1"/>
  <c r="C35" i="1"/>
  <c r="B35" i="1"/>
  <c r="B36" i="1" s="1"/>
  <c r="D6" i="1"/>
  <c r="C6" i="1"/>
  <c r="B6" i="1"/>
  <c r="D12" i="1"/>
  <c r="C12" i="1"/>
  <c r="B12" i="1"/>
  <c r="E267" i="1" l="1"/>
  <c r="E100" i="1" s="1"/>
  <c r="E144" i="1" s="1"/>
  <c r="E273" i="1"/>
  <c r="E102" i="1" s="1"/>
  <c r="E166" i="1" s="1"/>
  <c r="E265" i="1"/>
  <c r="E99" i="1" s="1"/>
  <c r="E143" i="1" s="1"/>
  <c r="E271" i="1"/>
  <c r="E101" i="1" s="1"/>
  <c r="E165" i="1" s="1"/>
  <c r="E148" i="1"/>
  <c r="E149" i="1"/>
  <c r="F109" i="1"/>
  <c r="F189" i="1" s="1"/>
  <c r="E7" i="1"/>
  <c r="E275" i="1"/>
  <c r="E269" i="1"/>
  <c r="D268" i="1"/>
  <c r="D274" i="1"/>
  <c r="E8" i="1"/>
  <c r="E9" i="1" s="1"/>
  <c r="H70" i="1"/>
  <c r="G125" i="1"/>
  <c r="G127" i="1" s="1"/>
  <c r="E189" i="1"/>
  <c r="E112" i="1"/>
  <c r="F12" i="1"/>
  <c r="F5" i="1"/>
  <c r="G3" i="1"/>
  <c r="G263" i="1" s="1"/>
  <c r="G98" i="1" s="1"/>
  <c r="G142" i="1" s="1"/>
  <c r="C36" i="1"/>
  <c r="C37" i="1"/>
  <c r="B13" i="1"/>
  <c r="B17" i="1"/>
  <c r="B18" i="1" s="1"/>
  <c r="D36" i="1"/>
  <c r="D37" i="1"/>
  <c r="C13" i="1"/>
  <c r="C17" i="1"/>
  <c r="C14" i="1"/>
  <c r="D13" i="1"/>
  <c r="D17" i="1"/>
  <c r="D14" i="1"/>
  <c r="E17" i="1"/>
  <c r="E14" i="1"/>
  <c r="D7" i="1"/>
  <c r="C7" i="1"/>
  <c r="D4" i="1"/>
  <c r="C4" i="1"/>
  <c r="D8" i="1"/>
  <c r="C8" i="1"/>
  <c r="B8" i="1"/>
  <c r="F149" i="1" l="1"/>
  <c r="E167" i="1"/>
  <c r="F148" i="1"/>
  <c r="F265" i="1"/>
  <c r="F99" i="1" s="1"/>
  <c r="F143" i="1" s="1"/>
  <c r="F271" i="1"/>
  <c r="F101" i="1" s="1"/>
  <c r="F165" i="1" s="1"/>
  <c r="F267" i="1"/>
  <c r="F100" i="1" s="1"/>
  <c r="F144" i="1" s="1"/>
  <c r="F273" i="1"/>
  <c r="F102" i="1" s="1"/>
  <c r="F166" i="1" s="1"/>
  <c r="E276" i="1"/>
  <c r="E277" i="1" s="1"/>
  <c r="F112" i="1"/>
  <c r="G109" i="1"/>
  <c r="G112" i="1" s="1"/>
  <c r="F7" i="1"/>
  <c r="I246" i="1"/>
  <c r="H246" i="1"/>
  <c r="G246" i="1"/>
  <c r="F246" i="1"/>
  <c r="E245" i="1"/>
  <c r="E250" i="1" s="1"/>
  <c r="E254" i="1" s="1"/>
  <c r="G245" i="1"/>
  <c r="I245" i="1"/>
  <c r="F245" i="1"/>
  <c r="H245" i="1"/>
  <c r="G213" i="1"/>
  <c r="H213" i="1"/>
  <c r="F213" i="1"/>
  <c r="I213" i="1"/>
  <c r="E213" i="1"/>
  <c r="E151" i="1" s="1"/>
  <c r="E146" i="1" s="1"/>
  <c r="H214" i="1"/>
  <c r="I214" i="1"/>
  <c r="F214" i="1"/>
  <c r="G214" i="1"/>
  <c r="I70" i="1"/>
  <c r="I125" i="1" s="1"/>
  <c r="I127" i="1" s="1"/>
  <c r="H125" i="1"/>
  <c r="H127" i="1" s="1"/>
  <c r="F17" i="1"/>
  <c r="F14" i="1"/>
  <c r="E19" i="1"/>
  <c r="E18" i="1"/>
  <c r="G12" i="1"/>
  <c r="H3" i="1"/>
  <c r="H263" i="1" s="1"/>
  <c r="H98" i="1" s="1"/>
  <c r="H142" i="1" s="1"/>
  <c r="G5" i="1"/>
  <c r="D21" i="1"/>
  <c r="D22" i="1" s="1"/>
  <c r="E10" i="1"/>
  <c r="E21" i="1"/>
  <c r="F8" i="1"/>
  <c r="C18" i="1"/>
  <c r="C19" i="1"/>
  <c r="B21" i="1"/>
  <c r="B22" i="1" s="1"/>
  <c r="D18" i="1"/>
  <c r="D19" i="1"/>
  <c r="C9" i="1"/>
  <c r="C21" i="1"/>
  <c r="B9" i="1"/>
  <c r="D9" i="1"/>
  <c r="D10" i="1"/>
  <c r="C10" i="1"/>
  <c r="G189" i="1" l="1"/>
  <c r="F167" i="1"/>
  <c r="G148" i="1"/>
  <c r="F151" i="1"/>
  <c r="G149" i="1"/>
  <c r="H149" i="1" s="1"/>
  <c r="G7" i="1"/>
  <c r="G265" i="1"/>
  <c r="G99" i="1" s="1"/>
  <c r="G143" i="1" s="1"/>
  <c r="G271" i="1"/>
  <c r="G101" i="1" s="1"/>
  <c r="G165" i="1" s="1"/>
  <c r="G267" i="1"/>
  <c r="G100" i="1" s="1"/>
  <c r="G144" i="1" s="1"/>
  <c r="G273" i="1"/>
  <c r="G102" i="1" s="1"/>
  <c r="G166" i="1" s="1"/>
  <c r="F250" i="1"/>
  <c r="F254" i="1" s="1"/>
  <c r="F275" i="1"/>
  <c r="H109" i="1"/>
  <c r="H189" i="1" s="1"/>
  <c r="F269" i="1"/>
  <c r="H247" i="1"/>
  <c r="G247" i="1"/>
  <c r="G250" i="1" s="1"/>
  <c r="G254" i="1" s="1"/>
  <c r="I247" i="1"/>
  <c r="E218" i="1"/>
  <c r="E253" i="1" s="1"/>
  <c r="E255" i="1" s="1"/>
  <c r="E257" i="1" s="1"/>
  <c r="E94" i="1" s="1"/>
  <c r="E169" i="1" s="1"/>
  <c r="E220" i="1"/>
  <c r="E226" i="1" s="1"/>
  <c r="E219" i="1"/>
  <c r="E225" i="1" s="1"/>
  <c r="F220" i="1"/>
  <c r="F226" i="1" s="1"/>
  <c r="F219" i="1"/>
  <c r="F225" i="1" s="1"/>
  <c r="F218" i="1"/>
  <c r="F253" i="1" s="1"/>
  <c r="G215" i="1"/>
  <c r="G219" i="1" s="1"/>
  <c r="G225" i="1" s="1"/>
  <c r="H215" i="1"/>
  <c r="I215" i="1"/>
  <c r="F18" i="1"/>
  <c r="F19" i="1"/>
  <c r="I3" i="1"/>
  <c r="I263" i="1" s="1"/>
  <c r="I98" i="1" s="1"/>
  <c r="I142" i="1" s="1"/>
  <c r="H12" i="1"/>
  <c r="H5" i="1"/>
  <c r="G8" i="1"/>
  <c r="B28" i="1"/>
  <c r="B39" i="1" s="1"/>
  <c r="B46" i="1" s="1"/>
  <c r="B59" i="1" s="1"/>
  <c r="C23" i="1"/>
  <c r="G17" i="1"/>
  <c r="G14" i="1"/>
  <c r="F9" i="1"/>
  <c r="F21" i="1"/>
  <c r="F10" i="1"/>
  <c r="D28" i="1"/>
  <c r="D29" i="1" s="1"/>
  <c r="E23" i="1"/>
  <c r="E22" i="1"/>
  <c r="D23" i="1"/>
  <c r="C22" i="1"/>
  <c r="C28" i="1"/>
  <c r="F255" i="1" l="1"/>
  <c r="F257" i="1" s="1"/>
  <c r="F94" i="1" s="1"/>
  <c r="G151" i="1"/>
  <c r="F276" i="1"/>
  <c r="F277" i="1" s="1"/>
  <c r="F169" i="1"/>
  <c r="H112" i="1"/>
  <c r="F171" i="1"/>
  <c r="E171" i="1"/>
  <c r="F146" i="1"/>
  <c r="G167" i="1"/>
  <c r="H151" i="1"/>
  <c r="H7" i="1"/>
  <c r="H265" i="1"/>
  <c r="H99" i="1" s="1"/>
  <c r="H143" i="1" s="1"/>
  <c r="H271" i="1"/>
  <c r="H101" i="1" s="1"/>
  <c r="H165" i="1" s="1"/>
  <c r="H273" i="1"/>
  <c r="H102" i="1" s="1"/>
  <c r="H166" i="1" s="1"/>
  <c r="H267" i="1"/>
  <c r="H100" i="1" s="1"/>
  <c r="H144" i="1" s="1"/>
  <c r="H148" i="1"/>
  <c r="G146" i="1"/>
  <c r="G275" i="1"/>
  <c r="I109" i="1"/>
  <c r="I149" i="1" s="1"/>
  <c r="G269" i="1"/>
  <c r="H248" i="1"/>
  <c r="H250" i="1" s="1"/>
  <c r="H254" i="1" s="1"/>
  <c r="I248" i="1"/>
  <c r="E227" i="1"/>
  <c r="E25" i="1"/>
  <c r="F227" i="1"/>
  <c r="F25" i="1"/>
  <c r="F88" i="1" s="1"/>
  <c r="G220" i="1"/>
  <c r="G226" i="1" s="1"/>
  <c r="G218" i="1"/>
  <c r="G253" i="1" s="1"/>
  <c r="G255" i="1" s="1"/>
  <c r="G257" i="1" s="1"/>
  <c r="G94" i="1" s="1"/>
  <c r="G169" i="1" s="1"/>
  <c r="I216" i="1"/>
  <c r="H216" i="1"/>
  <c r="H218" i="1" s="1"/>
  <c r="H253" i="1" s="1"/>
  <c r="D39" i="1"/>
  <c r="D46" i="1" s="1"/>
  <c r="D59" i="1" s="1"/>
  <c r="G9" i="1"/>
  <c r="G21" i="1"/>
  <c r="G10" i="1"/>
  <c r="F22" i="1"/>
  <c r="F23" i="1"/>
  <c r="B29" i="1"/>
  <c r="I5" i="1"/>
  <c r="I12" i="1"/>
  <c r="H8" i="1"/>
  <c r="H14" i="1"/>
  <c r="H17" i="1"/>
  <c r="G19" i="1"/>
  <c r="G18" i="1"/>
  <c r="B54" i="1"/>
  <c r="B47" i="1"/>
  <c r="B75" i="1"/>
  <c r="B51" i="1"/>
  <c r="B73" i="1"/>
  <c r="C29" i="1"/>
  <c r="C30" i="1"/>
  <c r="C39" i="1"/>
  <c r="B40" i="1"/>
  <c r="B44" i="1"/>
  <c r="D30" i="1"/>
  <c r="G276" i="1" l="1"/>
  <c r="G277" i="1" s="1"/>
  <c r="H167" i="1"/>
  <c r="I273" i="1"/>
  <c r="I102" i="1" s="1"/>
  <c r="I166" i="1" s="1"/>
  <c r="I267" i="1"/>
  <c r="I100" i="1" s="1"/>
  <c r="I144" i="1" s="1"/>
  <c r="I7" i="1"/>
  <c r="I265" i="1"/>
  <c r="I99" i="1" s="1"/>
  <c r="I143" i="1" s="1"/>
  <c r="I271" i="1"/>
  <c r="I101" i="1" s="1"/>
  <c r="I165" i="1" s="1"/>
  <c r="I189" i="1"/>
  <c r="I249" i="1" s="1"/>
  <c r="I250" i="1" s="1"/>
  <c r="I254" i="1" s="1"/>
  <c r="I112" i="1"/>
  <c r="I148" i="1"/>
  <c r="H146" i="1"/>
  <c r="G171" i="1"/>
  <c r="H269" i="1"/>
  <c r="H275" i="1"/>
  <c r="H255" i="1"/>
  <c r="H257" i="1" s="1"/>
  <c r="H94" i="1" s="1"/>
  <c r="H169" i="1" s="1"/>
  <c r="F28" i="1"/>
  <c r="F39" i="1" s="1"/>
  <c r="H227" i="1"/>
  <c r="H25" i="1"/>
  <c r="H88" i="1" s="1"/>
  <c r="G227" i="1"/>
  <c r="G25" i="1"/>
  <c r="G88" i="1" s="1"/>
  <c r="E88" i="1"/>
  <c r="E28" i="1"/>
  <c r="H220" i="1"/>
  <c r="H226" i="1" s="1"/>
  <c r="H219" i="1"/>
  <c r="H225" i="1" s="1"/>
  <c r="D75" i="1"/>
  <c r="B68" i="1"/>
  <c r="B87" i="1"/>
  <c r="B105" i="1" s="1"/>
  <c r="B131" i="1" s="1"/>
  <c r="B134" i="1" s="1"/>
  <c r="D51" i="1"/>
  <c r="D44" i="1"/>
  <c r="D73" i="1"/>
  <c r="D54" i="1"/>
  <c r="D55" i="1" s="1"/>
  <c r="D47" i="1"/>
  <c r="D40" i="1"/>
  <c r="I14" i="1"/>
  <c r="I17" i="1"/>
  <c r="I8" i="1"/>
  <c r="G23" i="1"/>
  <c r="G22" i="1"/>
  <c r="H9" i="1"/>
  <c r="H21" i="1"/>
  <c r="H10" i="1"/>
  <c r="H19" i="1"/>
  <c r="H18" i="1"/>
  <c r="C41" i="1"/>
  <c r="C40" i="1"/>
  <c r="C44" i="1"/>
  <c r="C46" i="1"/>
  <c r="C59" i="1" s="1"/>
  <c r="D41" i="1"/>
  <c r="B55" i="1"/>
  <c r="B80" i="1"/>
  <c r="B78" i="1"/>
  <c r="I217" i="1" l="1"/>
  <c r="I220" i="1" s="1"/>
  <c r="I226" i="1" s="1"/>
  <c r="H171" i="1"/>
  <c r="I269" i="1"/>
  <c r="I151" i="1"/>
  <c r="I146" i="1" s="1"/>
  <c r="I167" i="1"/>
  <c r="I275" i="1"/>
  <c r="F29" i="1"/>
  <c r="F30" i="1"/>
  <c r="H276" i="1"/>
  <c r="H277" i="1" s="1"/>
  <c r="I219" i="1"/>
  <c r="I225" i="1" s="1"/>
  <c r="I218" i="1"/>
  <c r="I25" i="1" s="1"/>
  <c r="I88" i="1" s="1"/>
  <c r="G28" i="1"/>
  <c r="G30" i="1" s="1"/>
  <c r="E30" i="1"/>
  <c r="E39" i="1"/>
  <c r="F41" i="1" s="1"/>
  <c r="E29" i="1"/>
  <c r="D80" i="1"/>
  <c r="D68" i="1"/>
  <c r="D87" i="1"/>
  <c r="D105" i="1" s="1"/>
  <c r="D131" i="1" s="1"/>
  <c r="D134" i="1" s="1"/>
  <c r="E133" i="1" s="1"/>
  <c r="D78" i="1"/>
  <c r="H23" i="1"/>
  <c r="H28" i="1"/>
  <c r="H22" i="1"/>
  <c r="I21" i="1"/>
  <c r="I9" i="1"/>
  <c r="I10" i="1"/>
  <c r="F43" i="1"/>
  <c r="F46" i="1" s="1"/>
  <c r="F58" i="1" s="1"/>
  <c r="F59" i="1" s="1"/>
  <c r="F40" i="1"/>
  <c r="I19" i="1"/>
  <c r="I18" i="1"/>
  <c r="C54" i="1"/>
  <c r="C75" i="1"/>
  <c r="C73" i="1"/>
  <c r="C51" i="1"/>
  <c r="C48" i="1"/>
  <c r="C47" i="1"/>
  <c r="D48" i="1"/>
  <c r="I227" i="1" l="1"/>
  <c r="I253" i="1"/>
  <c r="I255" i="1" s="1"/>
  <c r="I257" i="1" s="1"/>
  <c r="I94" i="1" s="1"/>
  <c r="I169" i="1" s="1"/>
  <c r="I171" i="1" s="1"/>
  <c r="G29" i="1"/>
  <c r="G39" i="1"/>
  <c r="I276" i="1"/>
  <c r="I277" i="1" s="1"/>
  <c r="E40" i="1"/>
  <c r="E43" i="1"/>
  <c r="E46" i="1" s="1"/>
  <c r="E41" i="1"/>
  <c r="C68" i="1"/>
  <c r="C87" i="1"/>
  <c r="C105" i="1" s="1"/>
  <c r="C131" i="1" s="1"/>
  <c r="C134" i="1" s="1"/>
  <c r="I23" i="1"/>
  <c r="I28" i="1"/>
  <c r="I22" i="1"/>
  <c r="H30" i="1"/>
  <c r="H29" i="1"/>
  <c r="H39" i="1"/>
  <c r="F73" i="1"/>
  <c r="F75" i="1"/>
  <c r="F50" i="1"/>
  <c r="F47" i="1"/>
  <c r="G41" i="1"/>
  <c r="G40" i="1"/>
  <c r="G43" i="1"/>
  <c r="G46" i="1" s="1"/>
  <c r="G58" i="1" s="1"/>
  <c r="G59" i="1" s="1"/>
  <c r="C76" i="1"/>
  <c r="D76" i="1"/>
  <c r="C74" i="1"/>
  <c r="D74" i="1"/>
  <c r="C56" i="1"/>
  <c r="C80" i="1"/>
  <c r="C55" i="1"/>
  <c r="C78" i="1"/>
  <c r="D56" i="1"/>
  <c r="E50" i="1" l="1"/>
  <c r="E58" i="1"/>
  <c r="E59" i="1" s="1"/>
  <c r="E73" i="1"/>
  <c r="E74" i="1" s="1"/>
  <c r="E47" i="1"/>
  <c r="E75" i="1"/>
  <c r="E76" i="1" s="1"/>
  <c r="E48" i="1"/>
  <c r="F74" i="1"/>
  <c r="F48" i="1"/>
  <c r="F52" i="1"/>
  <c r="F95" i="1"/>
  <c r="G73" i="1"/>
  <c r="G74" i="1" s="1"/>
  <c r="G75" i="1"/>
  <c r="G76" i="1" s="1"/>
  <c r="G47" i="1"/>
  <c r="G50" i="1"/>
  <c r="G48" i="1"/>
  <c r="I30" i="1"/>
  <c r="I29" i="1"/>
  <c r="I39" i="1"/>
  <c r="H41" i="1"/>
  <c r="H40" i="1"/>
  <c r="H43" i="1"/>
  <c r="H46" i="1" s="1"/>
  <c r="H58" i="1" s="1"/>
  <c r="H59" i="1" s="1"/>
  <c r="F54" i="1"/>
  <c r="C81" i="1"/>
  <c r="D81" i="1"/>
  <c r="C79" i="1"/>
  <c r="D79" i="1"/>
  <c r="E95" i="1" l="1"/>
  <c r="E54" i="1"/>
  <c r="E52" i="1"/>
  <c r="F76" i="1"/>
  <c r="G52" i="1"/>
  <c r="G95" i="1"/>
  <c r="F68" i="1"/>
  <c r="F87" i="1"/>
  <c r="F105" i="1" s="1"/>
  <c r="F131" i="1" s="1"/>
  <c r="H73" i="1"/>
  <c r="H74" i="1" s="1"/>
  <c r="H75" i="1"/>
  <c r="H76" i="1" s="1"/>
  <c r="H47" i="1"/>
  <c r="H50" i="1"/>
  <c r="H54" i="1" s="1"/>
  <c r="H48" i="1"/>
  <c r="G54" i="1"/>
  <c r="G56" i="1" s="1"/>
  <c r="F78" i="1"/>
  <c r="F80" i="1"/>
  <c r="F55" i="1"/>
  <c r="I41" i="1"/>
  <c r="I40" i="1"/>
  <c r="I43" i="1"/>
  <c r="I46" i="1" s="1"/>
  <c r="I58" i="1" s="1"/>
  <c r="I59" i="1" s="1"/>
  <c r="E78" i="1" l="1"/>
  <c r="E79" i="1" s="1"/>
  <c r="E68" i="1"/>
  <c r="E87" i="1"/>
  <c r="E80" i="1"/>
  <c r="E81" i="1" s="1"/>
  <c r="E55" i="1"/>
  <c r="E56" i="1"/>
  <c r="F56" i="1"/>
  <c r="H68" i="1"/>
  <c r="H87" i="1"/>
  <c r="H52" i="1"/>
  <c r="H95" i="1"/>
  <c r="G68" i="1"/>
  <c r="G87" i="1"/>
  <c r="G105" i="1" s="1"/>
  <c r="G131" i="1" s="1"/>
  <c r="I75" i="1"/>
  <c r="I76" i="1" s="1"/>
  <c r="I73" i="1"/>
  <c r="I74" i="1" s="1"/>
  <c r="I50" i="1"/>
  <c r="I54" i="1" s="1"/>
  <c r="I47" i="1"/>
  <c r="I48" i="1"/>
  <c r="G78" i="1"/>
  <c r="G79" i="1" s="1"/>
  <c r="G80" i="1"/>
  <c r="G81" i="1" s="1"/>
  <c r="G55" i="1"/>
  <c r="H80" i="1"/>
  <c r="H78" i="1"/>
  <c r="H56" i="1"/>
  <c r="H55" i="1"/>
  <c r="E105" i="1" l="1"/>
  <c r="E131" i="1" s="1"/>
  <c r="E134" i="1" s="1"/>
  <c r="F133" i="1" s="1"/>
  <c r="F134" i="1" s="1"/>
  <c r="G133" i="1" s="1"/>
  <c r="G134" i="1" s="1"/>
  <c r="H133" i="1" s="1"/>
  <c r="E175" i="1"/>
  <c r="F79" i="1"/>
  <c r="F81" i="1"/>
  <c r="I68" i="1"/>
  <c r="I87" i="1"/>
  <c r="H105" i="1"/>
  <c r="H131" i="1" s="1"/>
  <c r="I52" i="1"/>
  <c r="I95" i="1"/>
  <c r="I56" i="1"/>
  <c r="I80" i="1"/>
  <c r="I81" i="1" s="1"/>
  <c r="I78" i="1"/>
  <c r="I79" i="1" s="1"/>
  <c r="I55" i="1"/>
  <c r="H79" i="1"/>
  <c r="H81" i="1"/>
  <c r="E141" i="1" l="1"/>
  <c r="F175" i="1"/>
  <c r="E177" i="1"/>
  <c r="E179" i="1" s="1"/>
  <c r="E180" i="1" s="1"/>
  <c r="F141" i="1"/>
  <c r="E145" i="1"/>
  <c r="E161" i="1" s="1"/>
  <c r="E181" i="1" s="1"/>
  <c r="H134" i="1"/>
  <c r="I133" i="1" s="1"/>
  <c r="I105" i="1"/>
  <c r="I131" i="1" s="1"/>
  <c r="G175" i="1" l="1"/>
  <c r="F177" i="1"/>
  <c r="F179" i="1" s="1"/>
  <c r="F180" i="1" s="1"/>
  <c r="G141" i="1"/>
  <c r="F145" i="1"/>
  <c r="F161" i="1" s="1"/>
  <c r="F181" i="1" s="1"/>
  <c r="I134" i="1"/>
  <c r="H175" i="1" l="1"/>
  <c r="G177" i="1"/>
  <c r="G179" i="1" s="1"/>
  <c r="G180" i="1" s="1"/>
  <c r="H141" i="1"/>
  <c r="G145" i="1"/>
  <c r="G161" i="1" s="1"/>
  <c r="G181" i="1" l="1"/>
  <c r="I175" i="1"/>
  <c r="I177" i="1" s="1"/>
  <c r="I179" i="1" s="1"/>
  <c r="I180" i="1" s="1"/>
  <c r="H177" i="1"/>
  <c r="H179" i="1" s="1"/>
  <c r="H180" i="1" s="1"/>
  <c r="I141" i="1"/>
  <c r="I145" i="1" s="1"/>
  <c r="I161" i="1" s="1"/>
  <c r="H145" i="1"/>
  <c r="H161" i="1" s="1"/>
  <c r="H181" i="1" s="1"/>
  <c r="I181" i="1" l="1"/>
</calcChain>
</file>

<file path=xl/comments1.xml><?xml version="1.0" encoding="utf-8"?>
<comments xmlns="http://schemas.openxmlformats.org/spreadsheetml/2006/main">
  <authors>
    <author>Nick Jathar</author>
    <author>Nikhil Jathar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Nick Jathar:</t>
        </r>
        <r>
          <rPr>
            <sz val="9"/>
            <color indexed="81"/>
            <rFont val="Tahoma"/>
            <family val="2"/>
          </rPr>
          <t xml:space="preserve">
Adjusted down of D&amp;A per "Brand Marketing Support" note (pg 56)</t>
        </r>
      </text>
    </comment>
    <comment ref="A15" authorId="1" shapeId="0">
      <text>
        <r>
          <rPr>
            <b/>
            <sz val="9"/>
            <color indexed="81"/>
            <rFont val="Tahoma"/>
            <family val="2"/>
          </rPr>
          <t>Nikhil Jathar:</t>
        </r>
        <r>
          <rPr>
            <sz val="9"/>
            <color indexed="81"/>
            <rFont val="Tahoma"/>
            <family val="2"/>
          </rPr>
          <t xml:space="preserve">
Transaction and integration expenses (related to RB Food acquisition)</t>
        </r>
      </text>
    </comment>
    <comment ref="A39" authorId="1" shapeId="0">
      <text>
        <r>
          <rPr>
            <b/>
            <sz val="9"/>
            <color indexed="81"/>
            <rFont val="Tahoma"/>
            <family val="2"/>
          </rPr>
          <t>Nikhil Jathar:</t>
        </r>
        <r>
          <rPr>
            <sz val="9"/>
            <color indexed="81"/>
            <rFont val="Tahoma"/>
            <family val="2"/>
          </rPr>
          <t xml:space="preserve">
Income from consolidated operations before income taxes</t>
        </r>
      </text>
    </comment>
    <comment ref="A62" authorId="1" shapeId="0">
      <text>
        <r>
          <rPr>
            <b/>
            <sz val="9"/>
            <color indexed="81"/>
            <rFont val="Tahoma"/>
            <family val="2"/>
          </rPr>
          <t>Nikhil Jathar:</t>
        </r>
        <r>
          <rPr>
            <sz val="9"/>
            <color indexed="81"/>
            <rFont val="Tahoma"/>
            <family val="2"/>
          </rPr>
          <t xml:space="preserve">
including curtailment of gains of $18.0 and $76.7 for 2018 and 2017 respectively</t>
        </r>
      </text>
    </comment>
    <comment ref="A90" authorId="1" shapeId="0">
      <text>
        <r>
          <rPr>
            <b/>
            <sz val="9"/>
            <color indexed="81"/>
            <rFont val="Tahoma"/>
            <family val="2"/>
          </rPr>
          <t>Nikhil Jathar:</t>
        </r>
        <r>
          <rPr>
            <sz val="9"/>
            <color indexed="81"/>
            <rFont val="Tahoma"/>
            <family val="2"/>
          </rPr>
          <t xml:space="preserve">
related to enactment of the US Tax Act</t>
        </r>
      </text>
    </comment>
    <comment ref="A92" authorId="1" shapeId="0">
      <text>
        <r>
          <rPr>
            <b/>
            <sz val="9"/>
            <color indexed="81"/>
            <rFont val="Tahoma"/>
            <family val="2"/>
          </rPr>
          <t>Nikhil Jathar:</t>
        </r>
        <r>
          <rPr>
            <sz val="9"/>
            <color indexed="81"/>
            <rFont val="Tahoma"/>
            <family val="2"/>
          </rPr>
          <t xml:space="preserve">
associated with acquisition of RB Foods</t>
        </r>
      </text>
    </comment>
    <comment ref="A97" authorId="1" shapeId="0">
      <text>
        <r>
          <rPr>
            <b/>
            <sz val="9"/>
            <color indexed="81"/>
            <rFont val="Tahoma"/>
            <family val="2"/>
          </rPr>
          <t>Nikhil Jathar:</t>
        </r>
        <r>
          <rPr>
            <sz val="9"/>
            <color indexed="81"/>
            <rFont val="Tahoma"/>
            <family val="2"/>
          </rPr>
          <t xml:space="preserve">
net of effect of businesses acquired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Nick Jathar:</t>
        </r>
        <r>
          <rPr>
            <sz val="9"/>
            <color indexed="81"/>
            <rFont val="Tahoma"/>
            <family val="2"/>
          </rPr>
          <t xml:space="preserve">
less allowances of $5.6 and $6.4 for 2019 and 2018 respectively</t>
        </r>
      </text>
    </comment>
    <comment ref="A173" authorId="0" shapeId="0">
      <text>
        <r>
          <rPr>
            <b/>
            <sz val="9"/>
            <color indexed="81"/>
            <rFont val="Tahoma"/>
            <family val="2"/>
          </rPr>
          <t>Nick Jathar:</t>
        </r>
        <r>
          <rPr>
            <sz val="9"/>
            <color indexed="81"/>
            <rFont val="Tahoma"/>
            <family val="2"/>
          </rPr>
          <t xml:space="preserve">
authorized 320.0; 9.3 and 9.6 shares issued and outstanding as of 2019 and 2018 respectively</t>
        </r>
      </text>
    </comment>
    <comment ref="A174" authorId="0" shapeId="0">
      <text>
        <r>
          <rPr>
            <b/>
            <sz val="9"/>
            <color indexed="81"/>
            <rFont val="Tahoma"/>
            <family val="2"/>
          </rPr>
          <t>Nick Jathar:</t>
        </r>
        <r>
          <rPr>
            <sz val="9"/>
            <color indexed="81"/>
            <rFont val="Tahoma"/>
            <family val="2"/>
          </rPr>
          <t xml:space="preserve">
authorized 320.0; 123.6 and 233.6 shares issued and outstanding as of 2019 and 2018 respectively</t>
        </r>
      </text>
    </comment>
  </commentList>
</comments>
</file>

<file path=xl/sharedStrings.xml><?xml version="1.0" encoding="utf-8"?>
<sst xmlns="http://schemas.openxmlformats.org/spreadsheetml/2006/main" count="304" uniqueCount="228">
  <si>
    <t>SG&amp;A</t>
  </si>
  <si>
    <t>Operating expenses</t>
  </si>
  <si>
    <t>EBIT</t>
  </si>
  <si>
    <t>Basic shares</t>
  </si>
  <si>
    <t>Diluted shares</t>
  </si>
  <si>
    <t>RB Foods acquisition</t>
  </si>
  <si>
    <t>Special charges</t>
  </si>
  <si>
    <t>Interest expense</t>
  </si>
  <si>
    <t>Other debt costs</t>
  </si>
  <si>
    <t>Other income, net</t>
  </si>
  <si>
    <t>Income tax expense (benefit)</t>
  </si>
  <si>
    <t>Income from unconsolidated operations</t>
  </si>
  <si>
    <t>EBITDA</t>
  </si>
  <si>
    <t>EBT</t>
  </si>
  <si>
    <t>Net interest expense</t>
  </si>
  <si>
    <t>COGS</t>
  </si>
  <si>
    <t>COGS (% growth)</t>
  </si>
  <si>
    <t>Operating expenses (% growth)</t>
  </si>
  <si>
    <t>D&amp;A</t>
  </si>
  <si>
    <t>EBITDA (% growth)</t>
  </si>
  <si>
    <t>EBIT (% growth)</t>
  </si>
  <si>
    <t>Gross profit</t>
  </si>
  <si>
    <t>Gross profit (% growth)</t>
  </si>
  <si>
    <t>Sales (% growth)</t>
  </si>
  <si>
    <t>COGS (% of sales)</t>
  </si>
  <si>
    <t>Gross profit (% of sales)</t>
  </si>
  <si>
    <t>Operating expenses (% of sales)</t>
  </si>
  <si>
    <t>EBITDA (% of sales)</t>
  </si>
  <si>
    <t>D&amp;A (% of sales)</t>
  </si>
  <si>
    <t>EBIT (% of sales)</t>
  </si>
  <si>
    <t>Net interest expenses (% of sales)</t>
  </si>
  <si>
    <t>EBT (% of sales)</t>
  </si>
  <si>
    <t>EBT (% growth)</t>
  </si>
  <si>
    <r>
      <t>Net sales [</t>
    </r>
    <r>
      <rPr>
        <b/>
        <sz val="11"/>
        <color rgb="FFC00000"/>
        <rFont val="Calibri"/>
        <family val="2"/>
        <scheme val="minor"/>
      </rPr>
      <t>Sales</t>
    </r>
    <r>
      <rPr>
        <sz val="11"/>
        <color theme="1"/>
        <rFont val="Calibri"/>
        <family val="2"/>
        <scheme val="minor"/>
      </rPr>
      <t>]</t>
    </r>
  </si>
  <si>
    <r>
      <t>Net income from consolidated operations [</t>
    </r>
    <r>
      <rPr>
        <b/>
        <sz val="11"/>
        <color rgb="FFC00000"/>
        <rFont val="Calibri"/>
        <family val="2"/>
        <scheme val="minor"/>
      </rPr>
      <t>NI adjusted</t>
    </r>
    <r>
      <rPr>
        <sz val="11"/>
        <color theme="1"/>
        <rFont val="Calibri"/>
        <family val="2"/>
        <scheme val="minor"/>
      </rPr>
      <t>]</t>
    </r>
  </si>
  <si>
    <t>NI adjusted (% of sales)</t>
  </si>
  <si>
    <t>NI adjusted (% growth)</t>
  </si>
  <si>
    <t>Tax rate (% of EBT)</t>
  </si>
  <si>
    <r>
      <t>Net income [</t>
    </r>
    <r>
      <rPr>
        <b/>
        <sz val="11"/>
        <color rgb="FFC00000"/>
        <rFont val="Calibri"/>
        <family val="2"/>
        <scheme val="minor"/>
      </rPr>
      <t>NI reported</t>
    </r>
    <r>
      <rPr>
        <sz val="11"/>
        <color theme="1"/>
        <rFont val="Calibri"/>
        <family val="2"/>
        <scheme val="minor"/>
      </rPr>
      <t>]</t>
    </r>
  </si>
  <si>
    <t>NI reported (% growth)</t>
  </si>
  <si>
    <t>Income from unconsolidated operations (% of NI adjusted)</t>
  </si>
  <si>
    <t>Income from unconsolidated operations (% growth)</t>
  </si>
  <si>
    <t>Basic EPS (NI reported)</t>
  </si>
  <si>
    <t>Diluted EPS (NI reported)</t>
  </si>
  <si>
    <t>Basic EPS (NI adjusted)</t>
  </si>
  <si>
    <t>Diluted EPS (NI adjusted)</t>
  </si>
  <si>
    <t>Basic EPS (NI adjusted) (% growth)</t>
  </si>
  <si>
    <t>Diluted EPS (NI adjusted) (% growth)</t>
  </si>
  <si>
    <t>Basic EPS (NI reported) (% growth)</t>
  </si>
  <si>
    <t>Diluted EPS (NI reported) (% growth)</t>
  </si>
  <si>
    <t>SG&amp;A (% of sales)</t>
  </si>
  <si>
    <t>SG&amp;A (% growth)</t>
  </si>
  <si>
    <t>Net interest expenses (% growth)</t>
  </si>
  <si>
    <t>NI reported (% of sales)</t>
  </si>
  <si>
    <t>Actual</t>
  </si>
  <si>
    <t>INCOME STATEMENT</t>
  </si>
  <si>
    <t>CASH FLOW STATEMENT</t>
  </si>
  <si>
    <t>NI attributable to non-controlling interest</t>
  </si>
  <si>
    <t>NI attributable to non-controlling interest (% of NI adjusted)</t>
  </si>
  <si>
    <t>Other comprehensive income (loss)</t>
  </si>
  <si>
    <t>Unrealized components of pension and othe postretirement plans</t>
  </si>
  <si>
    <t>Currency translation adjustments</t>
  </si>
  <si>
    <t>Changes in derivative financial instruments</t>
  </si>
  <si>
    <t>Deferred taxes</t>
  </si>
  <si>
    <t>Total other comprehensive income (loss)</t>
  </si>
  <si>
    <t>Comprehensive income (loss)</t>
  </si>
  <si>
    <t>Cash flow from operating activities</t>
  </si>
  <si>
    <t>Depreciation</t>
  </si>
  <si>
    <t>Stock-based compensation</t>
  </si>
  <si>
    <t>Noncash nonrecurring income tax benefit</t>
  </si>
  <si>
    <t>Special charges and transaction and integration expenses</t>
  </si>
  <si>
    <t>Amortization of inventory fair value adjustment</t>
  </si>
  <si>
    <t>Deferred income tax expense</t>
  </si>
  <si>
    <t>(Gain) loss on sale of assets</t>
  </si>
  <si>
    <t>Settlement of forward-starting interest rate swaps</t>
  </si>
  <si>
    <t>Changes in operating assets and liabilities</t>
  </si>
  <si>
    <t>Trade accounts receivable</t>
  </si>
  <si>
    <t>Inventories</t>
  </si>
  <si>
    <t>Trade accounts payable</t>
  </si>
  <si>
    <t>Other assets and liabilities</t>
  </si>
  <si>
    <t>Net cash provided by operating activities</t>
  </si>
  <si>
    <t>Acquisition of businesses (net of cash acquired)</t>
  </si>
  <si>
    <t>Other investing activities</t>
  </si>
  <si>
    <t>Net cash provided by investing activities</t>
  </si>
  <si>
    <t>Cash flow from financing activities</t>
  </si>
  <si>
    <t>Cash flow from investing activities</t>
  </si>
  <si>
    <t>Short-term borrowings, net</t>
  </si>
  <si>
    <t>Long-term debt borrowings, net</t>
  </si>
  <si>
    <t>Payment of debt issuance costs</t>
  </si>
  <si>
    <t>Long-term debt repayments</t>
  </si>
  <si>
    <t>Proceeds from exercised stock options</t>
  </si>
  <si>
    <t>Taxes withheld and paid on employee stock awards</t>
  </si>
  <si>
    <t>Payment of contingent consideration</t>
  </si>
  <si>
    <t>Purchase of minority interest</t>
  </si>
  <si>
    <t>Issuance of common stock non-voting (net of issuance costs of $0.9)</t>
  </si>
  <si>
    <t>Common stock acquired by purchase</t>
  </si>
  <si>
    <t>Dividends paid</t>
  </si>
  <si>
    <t>Net cash (used in) provided by financing activities</t>
  </si>
  <si>
    <t>Effect of exchange rate changes on cash and cash equivalents</t>
  </si>
  <si>
    <t>Increase (decrease) in cash and cash equivalents</t>
  </si>
  <si>
    <t>Cash and cash equivalents at beginning of year</t>
  </si>
  <si>
    <t>Cash and cash equivalents at end of year</t>
  </si>
  <si>
    <r>
      <t>Capital expenditure [</t>
    </r>
    <r>
      <rPr>
        <b/>
        <sz val="11"/>
        <color rgb="FFC00000"/>
        <rFont val="Calibri"/>
        <family val="2"/>
        <scheme val="minor"/>
      </rPr>
      <t>CAPEX</t>
    </r>
    <r>
      <rPr>
        <sz val="11"/>
        <color theme="1"/>
        <rFont val="Calibri"/>
        <family val="2"/>
        <scheme val="minor"/>
      </rPr>
      <t>] (including expenditures for capitalized software)</t>
    </r>
  </si>
  <si>
    <t>CAPEX % of Sales</t>
  </si>
  <si>
    <t>Dividends $ / share</t>
  </si>
  <si>
    <t>Dividends received from unconsolidated affiliates</t>
  </si>
  <si>
    <t>Est</t>
  </si>
  <si>
    <t>DEPRECIATION SCHEDULE</t>
  </si>
  <si>
    <t>Capital expenditures, beginning of year</t>
  </si>
  <si>
    <t>Useful life</t>
  </si>
  <si>
    <t>Capital expenditures, years</t>
  </si>
  <si>
    <t>Book (GAAP) depreciation</t>
  </si>
  <si>
    <t>2020 CAPEX</t>
  </si>
  <si>
    <t>2021 CAPEX</t>
  </si>
  <si>
    <t>2022 CAPEX</t>
  </si>
  <si>
    <t>2023 CAPEX</t>
  </si>
  <si>
    <t>2024 CAPEX</t>
  </si>
  <si>
    <t>PP&amp;E, buildings (including capital lease), beginning of year</t>
  </si>
  <si>
    <t>PP&amp;E, machinery, beginning of year</t>
  </si>
  <si>
    <t>PP&amp;E, buildings</t>
  </si>
  <si>
    <t>PP&amp;E, machinery</t>
  </si>
  <si>
    <t>Other long-term assets, capitalized software, net</t>
  </si>
  <si>
    <t>Other long-term assets, capitalized software</t>
  </si>
  <si>
    <t>Definite-lived intangible assets, net</t>
  </si>
  <si>
    <t>Definite-lived intangible assets, years</t>
  </si>
  <si>
    <t>Definite-lived intangible assets</t>
  </si>
  <si>
    <t>PP&amp;E, buildings, years, min</t>
  </si>
  <si>
    <t>PP&amp;E, buildings, years, max</t>
  </si>
  <si>
    <t>PP&amp;E, machinery, years, min</t>
  </si>
  <si>
    <t>PP&amp;E, machinery, years, max</t>
  </si>
  <si>
    <t>Other long-term assets, capitalized software, years, min</t>
  </si>
  <si>
    <t>Other long-term assets, capitalized software, years, max</t>
  </si>
  <si>
    <t>Total projected book (GAAP) depreciation, min</t>
  </si>
  <si>
    <t>PP&amp;E, buildings, max</t>
  </si>
  <si>
    <t>PP&amp;E, buildings, min</t>
  </si>
  <si>
    <t>PP&amp;E, machinery, max</t>
  </si>
  <si>
    <t>PP&amp;E, machinery, min</t>
  </si>
  <si>
    <t>Other long-term assets, capitalized software, max</t>
  </si>
  <si>
    <t>Other long-term assets, capitalized software, min</t>
  </si>
  <si>
    <t>Total projected book (GAAP) depreciation, max</t>
  </si>
  <si>
    <t>Total projected book (GAAP) depreciation, difference, min</t>
  </si>
  <si>
    <t>Total projected book (GAAP) depreciation, difference, max</t>
  </si>
  <si>
    <t>Total projected book (GAAP) depreciation, between</t>
  </si>
  <si>
    <t>PP&amp;E, buildings, between</t>
  </si>
  <si>
    <t>PP&amp;E, machinery, between</t>
  </si>
  <si>
    <t>Other long-term assets, capitalized software, between</t>
  </si>
  <si>
    <t>PP&amp;E, buildings, years, between</t>
  </si>
  <si>
    <t>PP&amp;E, machinery, years, between</t>
  </si>
  <si>
    <t>Other long-term assets, capitalized software, years, between</t>
  </si>
  <si>
    <t>Total projected book (GAAP) depreciation, trend based estimate, low</t>
  </si>
  <si>
    <t>Total projected book (GAAP) depreciation, trend based estimate, high</t>
  </si>
  <si>
    <t>Depreciation trend, low</t>
  </si>
  <si>
    <t>Depreciation trend, high</t>
  </si>
  <si>
    <t>Total projected book (GAAP) depreciation, range results</t>
  </si>
  <si>
    <t>MACRS depreciation</t>
  </si>
  <si>
    <t>Accelerated depreciation (%)</t>
  </si>
  <si>
    <t>Accelerated depreciation</t>
  </si>
  <si>
    <t>Total projected accelerated depreciation</t>
  </si>
  <si>
    <t>Deferred tax liability</t>
  </si>
  <si>
    <t>GAAP depreciation</t>
  </si>
  <si>
    <t>Accelerated minus GAAP</t>
  </si>
  <si>
    <t>Tax rate</t>
  </si>
  <si>
    <t>Projected deferred tax liability</t>
  </si>
  <si>
    <t>BALANCE SHEET</t>
  </si>
  <si>
    <t>ASSETS</t>
  </si>
  <si>
    <r>
      <t>Cash and cash equivalents [</t>
    </r>
    <r>
      <rPr>
        <b/>
        <sz val="11"/>
        <color rgb="FFC00000"/>
        <rFont val="Calibri"/>
        <family val="2"/>
        <scheme val="minor"/>
      </rPr>
      <t>Cash</t>
    </r>
    <r>
      <rPr>
        <sz val="11"/>
        <color theme="1"/>
        <rFont val="Calibri"/>
        <family val="2"/>
        <scheme val="minor"/>
      </rPr>
      <t>]</t>
    </r>
  </si>
  <si>
    <r>
      <t>Trade accounts receivable [</t>
    </r>
    <r>
      <rPr>
        <b/>
        <sz val="11"/>
        <color rgb="FFC00000"/>
        <rFont val="Calibri"/>
        <family val="2"/>
        <scheme val="minor"/>
      </rPr>
      <t>Receivables</t>
    </r>
    <r>
      <rPr>
        <sz val="11"/>
        <color theme="1"/>
        <rFont val="Calibri"/>
        <family val="2"/>
        <scheme val="minor"/>
      </rPr>
      <t>]</t>
    </r>
  </si>
  <si>
    <t>Prepaid expenses and other current assets</t>
  </si>
  <si>
    <t>Total current assets</t>
  </si>
  <si>
    <r>
      <t>Property, plant, and equipment, net [</t>
    </r>
    <r>
      <rPr>
        <sz val="11"/>
        <color rgb="FFC00000"/>
        <rFont val="Calibri"/>
        <family val="2"/>
        <scheme val="minor"/>
      </rPr>
      <t>PP&amp;E</t>
    </r>
    <r>
      <rPr>
        <sz val="11"/>
        <color theme="1"/>
        <rFont val="Calibri"/>
        <family val="2"/>
        <scheme val="minor"/>
      </rPr>
      <t>]</t>
    </r>
  </si>
  <si>
    <t>Land and improvements</t>
  </si>
  <si>
    <t>Buildings (including capital leases)</t>
  </si>
  <si>
    <t>Machinery, equipment and other</t>
  </si>
  <si>
    <t>Construction-in-progress</t>
  </si>
  <si>
    <t>Accumulated depreciation</t>
  </si>
  <si>
    <t>Goodwill</t>
  </si>
  <si>
    <r>
      <t>Intangible assets, net [</t>
    </r>
    <r>
      <rPr>
        <b/>
        <sz val="11"/>
        <color rgb="FFC00000"/>
        <rFont val="Calibri"/>
        <family val="2"/>
        <scheme val="minor"/>
      </rPr>
      <t>Intangibles</t>
    </r>
    <r>
      <rPr>
        <sz val="11"/>
        <color theme="1"/>
        <rFont val="Calibri"/>
        <family val="2"/>
        <scheme val="minor"/>
      </rPr>
      <t>]</t>
    </r>
  </si>
  <si>
    <t>Other long-term assets</t>
  </si>
  <si>
    <t>Total assets</t>
  </si>
  <si>
    <t>Capitalized software, net</t>
  </si>
  <si>
    <t>Definite-lived intangible assets, accumulated amortization</t>
  </si>
  <si>
    <t>Brand names and trademarks</t>
  </si>
  <si>
    <t>LIABILITIES</t>
  </si>
  <si>
    <t>Short-term borrowings</t>
  </si>
  <si>
    <t>Current portion of long-term debt</t>
  </si>
  <si>
    <r>
      <t>Trade accounts payable [</t>
    </r>
    <r>
      <rPr>
        <b/>
        <sz val="11"/>
        <color rgb="FFC00000"/>
        <rFont val="Calibri"/>
        <family val="2"/>
        <scheme val="minor"/>
      </rPr>
      <t>Payables</t>
    </r>
    <r>
      <rPr>
        <sz val="11"/>
        <color theme="1"/>
        <rFont val="Calibri"/>
        <family val="2"/>
        <scheme val="minor"/>
      </rPr>
      <t>]</t>
    </r>
  </si>
  <si>
    <t>Other accrued liabilities</t>
  </si>
  <si>
    <t>Total current liabilities</t>
  </si>
  <si>
    <t>Long-term debt</t>
  </si>
  <si>
    <t>Other long-term liabilities</t>
  </si>
  <si>
    <t>Total liabilities</t>
  </si>
  <si>
    <t>SHAREHOLDERS EQUITY</t>
  </si>
  <si>
    <t>Common stock, no par value</t>
  </si>
  <si>
    <t>Common stock, non-voting, no par value</t>
  </si>
  <si>
    <t>Retained earnings</t>
  </si>
  <si>
    <t>Accumulated other comprehensive loss</t>
  </si>
  <si>
    <t>Total McCormick shareholder's equity</t>
  </si>
  <si>
    <t>Non-controlling interests</t>
  </si>
  <si>
    <t>Total shareholder's equity</t>
  </si>
  <si>
    <t>Total liabilities and shareholder's equity</t>
  </si>
  <si>
    <t>OPERATING WORKING CAPITAL SCHEDULE</t>
  </si>
  <si>
    <t>Current assets</t>
  </si>
  <si>
    <t>Receivables</t>
  </si>
  <si>
    <t>Days receivables</t>
  </si>
  <si>
    <t>Inventory turnover</t>
  </si>
  <si>
    <t>Prepaid expenses</t>
  </si>
  <si>
    <t>Days prepaid</t>
  </si>
  <si>
    <t>Current liabilities</t>
  </si>
  <si>
    <t>Payables</t>
  </si>
  <si>
    <t>Days payables</t>
  </si>
  <si>
    <t>Accrued liabilities</t>
  </si>
  <si>
    <t>Days accrued liabilities</t>
  </si>
  <si>
    <t>Total operating working capital</t>
  </si>
  <si>
    <t>Change in total operating working capital</t>
  </si>
  <si>
    <t>BALANCE SHEET ERROR CHECK</t>
  </si>
  <si>
    <t>DEBT SCEHDULE</t>
  </si>
  <si>
    <t>Cash</t>
  </si>
  <si>
    <t>Ending balance</t>
  </si>
  <si>
    <t>Long-term debt, including capital leases</t>
  </si>
  <si>
    <t>Beginning balance</t>
  </si>
  <si>
    <t>Mandatory issuances / (retirements)</t>
  </si>
  <si>
    <t>Non-mandatory issurnaces / (retirements)</t>
  </si>
  <si>
    <t>Current portfolio of long-term debt, interest expense</t>
  </si>
  <si>
    <t>Short-term borrowings, interest expense</t>
  </si>
  <si>
    <t>Short-term borrowings, interest rate</t>
  </si>
  <si>
    <t>Current portfolio of long-term debt, interest rate</t>
  </si>
  <si>
    <t>Long-term debt, interest expense</t>
  </si>
  <si>
    <t>Lng-term debt, 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</si>
</sst>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#,##0.0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3" fontId="0" fillId="0" borderId="0" xfId="0" applyNumberFormat="1"/>
    <xf numFmtId="0" fontId="2" fillId="0" borderId="1" xfId="0" applyFont="1" applyBorder="1"/>
    <xf numFmtId="164" fontId="0" fillId="0" borderId="0" xfId="1" applyNumberFormat="1" applyFont="1"/>
    <xf numFmtId="3" fontId="0" fillId="0" borderId="1" xfId="0" applyNumberFormat="1" applyBorder="1"/>
    <xf numFmtId="0" fontId="0" fillId="0" borderId="1" xfId="0" applyBorder="1"/>
    <xf numFmtId="0" fontId="0" fillId="0" borderId="0" xfId="0" applyFill="1" applyBorder="1"/>
    <xf numFmtId="2" fontId="0" fillId="0" borderId="0" xfId="0" applyNumberForma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164" fontId="0" fillId="0" borderId="1" xfId="1" applyNumberFormat="1" applyFont="1" applyBorder="1"/>
    <xf numFmtId="165" fontId="3" fillId="0" borderId="0" xfId="0" applyNumberFormat="1" applyFont="1"/>
    <xf numFmtId="165" fontId="0" fillId="0" borderId="0" xfId="0" applyNumberFormat="1"/>
    <xf numFmtId="165" fontId="3" fillId="0" borderId="1" xfId="0" applyNumberFormat="1" applyFont="1" applyBorder="1"/>
    <xf numFmtId="164" fontId="1" fillId="0" borderId="0" xfId="1" applyNumberFormat="1" applyFont="1"/>
    <xf numFmtId="164" fontId="3" fillId="0" borderId="0" xfId="1" applyNumberFormat="1" applyFont="1"/>
    <xf numFmtId="165" fontId="0" fillId="0" borderId="0" xfId="0" applyNumberFormat="1" applyFont="1"/>
    <xf numFmtId="165" fontId="3" fillId="0" borderId="2" xfId="0" applyNumberFormat="1" applyFont="1" applyBorder="1"/>
    <xf numFmtId="0" fontId="0" fillId="0" borderId="0" xfId="0" applyFont="1" applyAlignment="1">
      <alignment horizontal="left" indent="1"/>
    </xf>
    <xf numFmtId="0" fontId="7" fillId="2" borderId="2" xfId="0" applyFont="1" applyFill="1" applyBorder="1"/>
    <xf numFmtId="0" fontId="7" fillId="2" borderId="2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164" fontId="8" fillId="0" borderId="0" xfId="1" applyNumberFormat="1" applyFont="1"/>
    <xf numFmtId="165" fontId="8" fillId="0" borderId="0" xfId="0" applyNumberFormat="1" applyFont="1"/>
    <xf numFmtId="165" fontId="9" fillId="0" borderId="0" xfId="0" applyNumberFormat="1" applyFont="1"/>
    <xf numFmtId="4" fontId="8" fillId="0" borderId="0" xfId="0" applyNumberFormat="1" applyFont="1"/>
    <xf numFmtId="4" fontId="9" fillId="0" borderId="0" xfId="0" applyNumberFormat="1" applyFont="1"/>
    <xf numFmtId="0" fontId="8" fillId="0" borderId="0" xfId="0" applyFont="1"/>
    <xf numFmtId="3" fontId="3" fillId="0" borderId="0" xfId="0" applyNumberFormat="1" applyFont="1"/>
    <xf numFmtId="166" fontId="0" fillId="0" borderId="0" xfId="0" applyNumberFormat="1"/>
    <xf numFmtId="3" fontId="10" fillId="0" borderId="0" xfId="0" applyNumberFormat="1" applyFont="1"/>
    <xf numFmtId="0" fontId="0" fillId="0" borderId="0" xfId="0" applyAlignment="1">
      <alignment horizontal="right"/>
    </xf>
    <xf numFmtId="166" fontId="2" fillId="0" borderId="0" xfId="0" applyNumberFormat="1" applyFont="1"/>
    <xf numFmtId="10" fontId="0" fillId="0" borderId="0" xfId="0" applyNumberFormat="1"/>
    <xf numFmtId="10" fontId="3" fillId="0" borderId="0" xfId="0" applyNumberFormat="1" applyFont="1"/>
    <xf numFmtId="0" fontId="3" fillId="0" borderId="0" xfId="0" applyFont="1"/>
    <xf numFmtId="164" fontId="0" fillId="0" borderId="0" xfId="0" applyNumberFormat="1"/>
    <xf numFmtId="0" fontId="0" fillId="0" borderId="0" xfId="0" applyFont="1"/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/>
    </xf>
    <xf numFmtId="0" fontId="12" fillId="0" borderId="0" xfId="0" applyFont="1" applyAlignment="1">
      <alignment horizontal="left" indent="1"/>
    </xf>
    <xf numFmtId="165" fontId="2" fillId="0" borderId="0" xfId="0" applyNumberFormat="1" applyFont="1"/>
    <xf numFmtId="0" fontId="6" fillId="0" borderId="0" xfId="0" applyFont="1" applyAlignment="1">
      <alignment horizontal="left" indent="1"/>
    </xf>
    <xf numFmtId="164" fontId="3" fillId="0" borderId="0" xfId="0" applyNumberFormat="1" applyFont="1"/>
    <xf numFmtId="164" fontId="9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95250</xdr:rowOff>
    </xdr:from>
    <xdr:to>
      <xdr:col>20</xdr:col>
      <xdr:colOff>39796</xdr:colOff>
      <xdr:row>38</xdr:row>
      <xdr:rowOff>153426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777"/>
        <a:stretch/>
      </xdr:blipFill>
      <xdr:spPr>
        <a:xfrm>
          <a:off x="76200" y="95250"/>
          <a:ext cx="12155596" cy="72971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08"/>
  <sheetViews>
    <sheetView showGridLines="0" tabSelected="1" topLeftCell="A163" zoomScale="120" zoomScaleNormal="120" workbookViewId="0">
      <pane ySplit="6480" topLeftCell="A285" activePane="bottomLeft"/>
      <selection activeCell="E148" sqref="E148"/>
      <selection pane="bottomLeft" activeCell="E309" sqref="E309"/>
    </sheetView>
  </sheetViews>
  <sheetFormatPr defaultRowHeight="15" x14ac:dyDescent="0.25"/>
  <cols>
    <col min="1" max="1" width="62.140625" bestFit="1" customWidth="1"/>
    <col min="2" max="9" width="10.42578125" customWidth="1"/>
  </cols>
  <sheetData>
    <row r="1" spans="1:9" x14ac:dyDescent="0.25">
      <c r="B1" s="2">
        <v>2017</v>
      </c>
      <c r="C1" s="2">
        <v>2018</v>
      </c>
      <c r="D1" s="2">
        <v>2019</v>
      </c>
      <c r="E1" s="2">
        <v>2020</v>
      </c>
      <c r="F1" s="2">
        <v>2021</v>
      </c>
      <c r="G1" s="2">
        <v>2022</v>
      </c>
      <c r="H1" s="2">
        <v>2023</v>
      </c>
      <c r="I1" s="2">
        <v>2024</v>
      </c>
    </row>
    <row r="2" spans="1:9" ht="15.75" thickBot="1" x14ac:dyDescent="0.3">
      <c r="A2" s="19" t="s">
        <v>55</v>
      </c>
      <c r="B2" s="20" t="s">
        <v>54</v>
      </c>
      <c r="C2" s="20" t="s">
        <v>54</v>
      </c>
      <c r="D2" s="20" t="s">
        <v>54</v>
      </c>
      <c r="E2" s="20" t="s">
        <v>106</v>
      </c>
      <c r="F2" s="20" t="s">
        <v>106</v>
      </c>
      <c r="G2" s="20" t="s">
        <v>106</v>
      </c>
      <c r="H2" s="20" t="s">
        <v>106</v>
      </c>
      <c r="I2" s="20" t="s">
        <v>106</v>
      </c>
    </row>
    <row r="3" spans="1:9" x14ac:dyDescent="0.25">
      <c r="A3" t="s">
        <v>33</v>
      </c>
      <c r="B3" s="11">
        <v>4730.3</v>
      </c>
      <c r="C3" s="11">
        <v>5302.8</v>
      </c>
      <c r="D3" s="11">
        <v>5347.4</v>
      </c>
      <c r="E3" s="16">
        <f>D3*(1+E4)</f>
        <v>5694.9809999999998</v>
      </c>
      <c r="F3" s="16">
        <f>E3*(1+F4)</f>
        <v>6065.1547649999993</v>
      </c>
      <c r="G3" s="16">
        <f>F3*(1+G4)</f>
        <v>6459.389824724999</v>
      </c>
      <c r="H3" s="16">
        <f>G3*(1+H4)</f>
        <v>6879.2501633321235</v>
      </c>
      <c r="I3" s="16">
        <f>H3*(1+I4)</f>
        <v>7326.4014239487115</v>
      </c>
    </row>
    <row r="4" spans="1:9" x14ac:dyDescent="0.25">
      <c r="A4" s="18" t="s">
        <v>23</v>
      </c>
      <c r="B4" s="1"/>
      <c r="C4" s="3">
        <f>C3/B3-1</f>
        <v>0.1210282645920977</v>
      </c>
      <c r="D4" s="3">
        <f>D3/C3-1</f>
        <v>8.4106509768422377E-3</v>
      </c>
      <c r="E4" s="15">
        <v>6.5000000000000002E-2</v>
      </c>
      <c r="F4" s="15">
        <v>6.5000000000000002E-2</v>
      </c>
      <c r="G4" s="15">
        <v>6.5000000000000002E-2</v>
      </c>
      <c r="H4" s="15">
        <v>6.5000000000000002E-2</v>
      </c>
      <c r="I4" s="15">
        <v>6.5000000000000002E-2</v>
      </c>
    </row>
    <row r="5" spans="1:9" x14ac:dyDescent="0.25">
      <c r="A5" t="s">
        <v>15</v>
      </c>
      <c r="B5" s="11">
        <v>2936.3</v>
      </c>
      <c r="C5" s="11">
        <v>3209.5</v>
      </c>
      <c r="D5" s="11">
        <v>3202.1</v>
      </c>
      <c r="E5" s="16">
        <f>E$3*E6</f>
        <v>3473.9384099999997</v>
      </c>
      <c r="F5" s="16">
        <f t="shared" ref="F5:I5" si="0">F$3*F6</f>
        <v>3699.7444066499993</v>
      </c>
      <c r="G5" s="16">
        <f t="shared" si="0"/>
        <v>3940.2277930822493</v>
      </c>
      <c r="H5" s="16">
        <f t="shared" si="0"/>
        <v>4196.342599632595</v>
      </c>
      <c r="I5" s="16">
        <f t="shared" si="0"/>
        <v>4469.1048686087142</v>
      </c>
    </row>
    <row r="6" spans="1:9" x14ac:dyDescent="0.25">
      <c r="A6" s="8" t="s">
        <v>24</v>
      </c>
      <c r="B6" s="14">
        <f>B5/B$3</f>
        <v>0.62074287043105092</v>
      </c>
      <c r="C6" s="14">
        <f>C5/C$3</f>
        <v>0.60524628498151922</v>
      </c>
      <c r="D6" s="14">
        <f>D5/D$3</f>
        <v>0.59881437708045038</v>
      </c>
      <c r="E6" s="15">
        <v>0.61</v>
      </c>
      <c r="F6" s="15">
        <v>0.61</v>
      </c>
      <c r="G6" s="15">
        <v>0.61</v>
      </c>
      <c r="H6" s="15">
        <v>0.61</v>
      </c>
      <c r="I6" s="15">
        <v>0.61</v>
      </c>
    </row>
    <row r="7" spans="1:9" x14ac:dyDescent="0.25">
      <c r="A7" s="9" t="s">
        <v>16</v>
      </c>
      <c r="B7" s="4"/>
      <c r="C7" s="10">
        <f t="shared" ref="C7:I7" si="1">C5/B5-1</f>
        <v>9.3042264073834424E-2</v>
      </c>
      <c r="D7" s="10">
        <f t="shared" si="1"/>
        <v>-2.3056550864620773E-3</v>
      </c>
      <c r="E7" s="10">
        <f t="shared" si="1"/>
        <v>8.4893791574279343E-2</v>
      </c>
      <c r="F7" s="10">
        <f t="shared" si="1"/>
        <v>6.4999999999999947E-2</v>
      </c>
      <c r="G7" s="10">
        <f t="shared" si="1"/>
        <v>6.4999999999999947E-2</v>
      </c>
      <c r="H7" s="10">
        <f t="shared" si="1"/>
        <v>6.4999999999999947E-2</v>
      </c>
      <c r="I7" s="10">
        <f t="shared" si="1"/>
        <v>6.5000000000000169E-2</v>
      </c>
    </row>
    <row r="8" spans="1:9" x14ac:dyDescent="0.25">
      <c r="A8" t="s">
        <v>21</v>
      </c>
      <c r="B8" s="12">
        <f>B3-B5</f>
        <v>1794</v>
      </c>
      <c r="C8" s="12">
        <f>C3-C5</f>
        <v>2093.3000000000002</v>
      </c>
      <c r="D8" s="12">
        <f>D3-D5</f>
        <v>2145.2999999999997</v>
      </c>
      <c r="E8" s="12">
        <f t="shared" ref="E8:I8" si="2">E3-E5</f>
        <v>2221.04259</v>
      </c>
      <c r="F8" s="12">
        <f t="shared" si="2"/>
        <v>2365.41035835</v>
      </c>
      <c r="G8" s="12">
        <f t="shared" si="2"/>
        <v>2519.1620316427498</v>
      </c>
      <c r="H8" s="12">
        <f t="shared" si="2"/>
        <v>2682.9075636995285</v>
      </c>
      <c r="I8" s="12">
        <f t="shared" si="2"/>
        <v>2857.2965553399972</v>
      </c>
    </row>
    <row r="9" spans="1:9" x14ac:dyDescent="0.25">
      <c r="A9" t="s">
        <v>25</v>
      </c>
      <c r="B9" s="3">
        <f>B8/B$3</f>
        <v>0.37925712956894908</v>
      </c>
      <c r="C9" s="3">
        <f t="shared" ref="C9:D9" si="3">C8/C$3</f>
        <v>0.39475371501848083</v>
      </c>
      <c r="D9" s="3">
        <f t="shared" si="3"/>
        <v>0.40118562291954968</v>
      </c>
      <c r="E9" s="3">
        <f t="shared" ref="E9:I9" si="4">E8/E$3</f>
        <v>0.39</v>
      </c>
      <c r="F9" s="3">
        <f t="shared" si="4"/>
        <v>0.39000000000000007</v>
      </c>
      <c r="G9" s="3">
        <f t="shared" si="4"/>
        <v>0.39</v>
      </c>
      <c r="H9" s="3">
        <f t="shared" si="4"/>
        <v>0.39000000000000007</v>
      </c>
      <c r="I9" s="3">
        <f t="shared" si="4"/>
        <v>0.38999999999999996</v>
      </c>
    </row>
    <row r="10" spans="1:9" x14ac:dyDescent="0.25">
      <c r="A10" t="s">
        <v>22</v>
      </c>
      <c r="B10" s="3"/>
      <c r="C10" s="3">
        <f>C8/B8-1</f>
        <v>0.16683389074693422</v>
      </c>
      <c r="D10" s="3">
        <f>D8/C8-1</f>
        <v>2.4841159891080933E-2</v>
      </c>
      <c r="E10" s="3">
        <f t="shared" ref="E10:I10" si="5">E8/D8-1</f>
        <v>3.5306292826178254E-2</v>
      </c>
      <c r="F10" s="3">
        <f t="shared" si="5"/>
        <v>6.4999999999999947E-2</v>
      </c>
      <c r="G10" s="3">
        <f t="shared" si="5"/>
        <v>6.4999999999999947E-2</v>
      </c>
      <c r="H10" s="3">
        <f t="shared" si="5"/>
        <v>6.4999999999999947E-2</v>
      </c>
      <c r="I10" s="3">
        <f t="shared" si="5"/>
        <v>6.4999999999999725E-2</v>
      </c>
    </row>
    <row r="11" spans="1:9" x14ac:dyDescent="0.25"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t="s">
        <v>0</v>
      </c>
      <c r="B12" s="11">
        <f>1031.2-125.2</f>
        <v>906</v>
      </c>
      <c r="C12" s="11">
        <f>1163.4-150.7</f>
        <v>1012.7</v>
      </c>
      <c r="D12" s="11">
        <f>1166.8-158.8</f>
        <v>1008</v>
      </c>
      <c r="E12" s="16">
        <f>E$3*E13</f>
        <v>1082.04639</v>
      </c>
      <c r="F12" s="16">
        <f t="shared" ref="F12" si="6">F$3*F13</f>
        <v>1152.3794053499998</v>
      </c>
      <c r="G12" s="16">
        <f t="shared" ref="G12" si="7">G$3*G13</f>
        <v>1227.2840666977497</v>
      </c>
      <c r="H12" s="16">
        <f t="shared" ref="H12" si="8">H$3*H13</f>
        <v>1307.0575310331035</v>
      </c>
      <c r="I12" s="16">
        <f t="shared" ref="I12" si="9">I$3*I13</f>
        <v>1392.0162705502553</v>
      </c>
    </row>
    <row r="13" spans="1:9" x14ac:dyDescent="0.25">
      <c r="A13" t="s">
        <v>50</v>
      </c>
      <c r="B13" s="3">
        <f>B12/B$3</f>
        <v>0.19153119252478701</v>
      </c>
      <c r="C13" s="3">
        <f t="shared" ref="C13:D13" si="10">C12/C$3</f>
        <v>0.19097457946745117</v>
      </c>
      <c r="D13" s="3">
        <f t="shared" si="10"/>
        <v>0.18850282380222166</v>
      </c>
      <c r="E13" s="15">
        <v>0.19</v>
      </c>
      <c r="F13" s="15">
        <v>0.19</v>
      </c>
      <c r="G13" s="15">
        <v>0.19</v>
      </c>
      <c r="H13" s="15">
        <v>0.19</v>
      </c>
      <c r="I13" s="15">
        <v>0.19</v>
      </c>
    </row>
    <row r="14" spans="1:9" x14ac:dyDescent="0.25">
      <c r="A14" t="s">
        <v>51</v>
      </c>
      <c r="B14" s="3"/>
      <c r="C14" s="3">
        <f>C12/B12-1</f>
        <v>0.11777041942604871</v>
      </c>
      <c r="D14" s="3">
        <f>D12/C12-1</f>
        <v>-4.6410585563345652E-3</v>
      </c>
      <c r="E14" s="3">
        <f t="shared" ref="E14:I14" si="11">E12/D12-1</f>
        <v>7.3458720238095188E-2</v>
      </c>
      <c r="F14" s="3">
        <f t="shared" si="11"/>
        <v>6.4999999999999947E-2</v>
      </c>
      <c r="G14" s="3">
        <f t="shared" si="11"/>
        <v>6.4999999999999947E-2</v>
      </c>
      <c r="H14" s="3">
        <f t="shared" si="11"/>
        <v>6.4999999999999947E-2</v>
      </c>
      <c r="I14" s="3">
        <f t="shared" si="11"/>
        <v>6.4999999999999947E-2</v>
      </c>
    </row>
    <row r="15" spans="1:9" x14ac:dyDescent="0.25">
      <c r="A15" t="s">
        <v>5</v>
      </c>
      <c r="B15" s="11">
        <v>40.799999999999997</v>
      </c>
      <c r="C15" s="11">
        <v>22.5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</row>
    <row r="16" spans="1:9" ht="15.75" thickBot="1" x14ac:dyDescent="0.3">
      <c r="A16" s="5" t="s">
        <v>6</v>
      </c>
      <c r="B16" s="13">
        <v>22.2</v>
      </c>
      <c r="C16" s="13">
        <v>16.3</v>
      </c>
      <c r="D16" s="13">
        <v>20.8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</row>
    <row r="17" spans="1:9" x14ac:dyDescent="0.25">
      <c r="A17" s="6" t="s">
        <v>1</v>
      </c>
      <c r="B17" s="12">
        <f>B12+B15+B16</f>
        <v>969</v>
      </c>
      <c r="C17" s="12">
        <f>C12+C15+C16</f>
        <v>1051.5</v>
      </c>
      <c r="D17" s="12">
        <f>D12+D15+D16</f>
        <v>1028.8</v>
      </c>
      <c r="E17" s="12">
        <f t="shared" ref="E17:I17" si="12">E12+E15+E16</f>
        <v>1082.04639</v>
      </c>
      <c r="F17" s="12">
        <f t="shared" si="12"/>
        <v>1152.3794053499998</v>
      </c>
      <c r="G17" s="12">
        <f t="shared" si="12"/>
        <v>1227.2840666977497</v>
      </c>
      <c r="H17" s="12">
        <f t="shared" si="12"/>
        <v>1307.0575310331035</v>
      </c>
      <c r="I17" s="12">
        <f t="shared" si="12"/>
        <v>1392.0162705502553</v>
      </c>
    </row>
    <row r="18" spans="1:9" x14ac:dyDescent="0.25">
      <c r="A18" s="6" t="s">
        <v>26</v>
      </c>
      <c r="B18" s="3">
        <f>B17/B$3</f>
        <v>0.20484958670697417</v>
      </c>
      <c r="C18" s="3">
        <f t="shared" ref="C18" si="13">C17/C$3</f>
        <v>0.19829146865806743</v>
      </c>
      <c r="D18" s="3">
        <f t="shared" ref="D18" si="14">D17/D$3</f>
        <v>0.19239256461083892</v>
      </c>
      <c r="E18" s="3">
        <f t="shared" ref="E18:I18" si="15">E17/E$3</f>
        <v>0.19</v>
      </c>
      <c r="F18" s="3">
        <f t="shared" si="15"/>
        <v>0.19</v>
      </c>
      <c r="G18" s="3">
        <f t="shared" si="15"/>
        <v>0.18999999999999997</v>
      </c>
      <c r="H18" s="3">
        <f t="shared" si="15"/>
        <v>0.19</v>
      </c>
      <c r="I18" s="3">
        <f t="shared" si="15"/>
        <v>0.19</v>
      </c>
    </row>
    <row r="19" spans="1:9" x14ac:dyDescent="0.25">
      <c r="A19" s="6" t="s">
        <v>17</v>
      </c>
      <c r="B19" s="3"/>
      <c r="C19" s="3">
        <f>C17/B17-1</f>
        <v>8.5139318885449011E-2</v>
      </c>
      <c r="D19" s="3">
        <f>D17/C17-1</f>
        <v>-2.1588207322872144E-2</v>
      </c>
      <c r="E19" s="3">
        <f t="shared" ref="E19:I19" si="16">E17/D17-1</f>
        <v>5.1755822317262945E-2</v>
      </c>
      <c r="F19" s="3">
        <f t="shared" si="16"/>
        <v>6.4999999999999947E-2</v>
      </c>
      <c r="G19" s="3">
        <f t="shared" si="16"/>
        <v>6.4999999999999947E-2</v>
      </c>
      <c r="H19" s="3">
        <f t="shared" si="16"/>
        <v>6.4999999999999947E-2</v>
      </c>
      <c r="I19" s="3">
        <f t="shared" si="16"/>
        <v>6.4999999999999947E-2</v>
      </c>
    </row>
    <row r="20" spans="1:9" x14ac:dyDescent="0.25"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t="s">
        <v>12</v>
      </c>
      <c r="B21" s="12">
        <f>B8-B17</f>
        <v>825</v>
      </c>
      <c r="C21" s="12">
        <f>C8-C17</f>
        <v>1041.8000000000002</v>
      </c>
      <c r="D21" s="12">
        <f>D8-D17</f>
        <v>1116.4999999999998</v>
      </c>
      <c r="E21" s="12">
        <f t="shared" ref="E21:I21" si="17">E8-E17</f>
        <v>1138.9962</v>
      </c>
      <c r="F21" s="12">
        <f t="shared" si="17"/>
        <v>1213.0309530000002</v>
      </c>
      <c r="G21" s="12">
        <f t="shared" si="17"/>
        <v>1291.877964945</v>
      </c>
      <c r="H21" s="12">
        <f t="shared" si="17"/>
        <v>1375.850032666425</v>
      </c>
      <c r="I21" s="12">
        <f t="shared" si="17"/>
        <v>1465.2802847897419</v>
      </c>
    </row>
    <row r="22" spans="1:9" x14ac:dyDescent="0.25">
      <c r="A22" t="s">
        <v>27</v>
      </c>
      <c r="B22" s="3">
        <f>B21/B$3</f>
        <v>0.17440754286197493</v>
      </c>
      <c r="C22" s="3">
        <f t="shared" ref="C22:D22" si="18">C21/C$3</f>
        <v>0.1964622463604134</v>
      </c>
      <c r="D22" s="3">
        <f t="shared" si="18"/>
        <v>0.20879305830871075</v>
      </c>
      <c r="E22" s="3">
        <f t="shared" ref="E22:I22" si="19">E21/E$3</f>
        <v>0.2</v>
      </c>
      <c r="F22" s="3">
        <f t="shared" si="19"/>
        <v>0.20000000000000004</v>
      </c>
      <c r="G22" s="3">
        <f t="shared" si="19"/>
        <v>0.20000000000000004</v>
      </c>
      <c r="H22" s="3">
        <f t="shared" si="19"/>
        <v>0.20000000000000004</v>
      </c>
      <c r="I22" s="3">
        <f t="shared" si="19"/>
        <v>0.19999999999999996</v>
      </c>
    </row>
    <row r="23" spans="1:9" x14ac:dyDescent="0.25">
      <c r="A23" t="s">
        <v>19</v>
      </c>
      <c r="B23" s="3"/>
      <c r="C23" s="3">
        <f>C21/B21-1</f>
        <v>0.26278787878787901</v>
      </c>
      <c r="D23" s="3">
        <f>D21/C21-1</f>
        <v>7.1702822038778535E-2</v>
      </c>
      <c r="E23" s="3">
        <f t="shared" ref="E23:I23" si="20">E21/D21-1</f>
        <v>2.0148858038513406E-2</v>
      </c>
      <c r="F23" s="3">
        <f t="shared" si="20"/>
        <v>6.5000000000000169E-2</v>
      </c>
      <c r="G23" s="3">
        <f t="shared" si="20"/>
        <v>6.4999999999999947E-2</v>
      </c>
      <c r="H23" s="3">
        <f t="shared" si="20"/>
        <v>6.4999999999999947E-2</v>
      </c>
      <c r="I23" s="3">
        <f t="shared" si="20"/>
        <v>6.4999999999999503E-2</v>
      </c>
    </row>
    <row r="24" spans="1:9" x14ac:dyDescent="0.25"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t="s">
        <v>18</v>
      </c>
      <c r="B25" s="11">
        <v>125.2</v>
      </c>
      <c r="C25" s="11">
        <v>150.69999999999999</v>
      </c>
      <c r="D25" s="11">
        <v>158.80000000000001</v>
      </c>
      <c r="E25" s="24">
        <f>E218</f>
        <v>154.63875694321553</v>
      </c>
      <c r="F25" s="24">
        <f t="shared" ref="F25:I25" si="21">F218</f>
        <v>164.34300456721553</v>
      </c>
      <c r="G25" s="24">
        <f t="shared" si="21"/>
        <v>174.67802828677551</v>
      </c>
      <c r="H25" s="24">
        <f t="shared" si="21"/>
        <v>185.68482854810691</v>
      </c>
      <c r="I25" s="24">
        <f t="shared" si="21"/>
        <v>197.40707082642484</v>
      </c>
    </row>
    <row r="26" spans="1:9" x14ac:dyDescent="0.25">
      <c r="A26" t="s">
        <v>28</v>
      </c>
      <c r="B26" s="3">
        <f>B25/B$3</f>
        <v>2.6467665898568801E-2</v>
      </c>
      <c r="C26" s="3">
        <f t="shared" ref="C26:D26" si="22">C25/C$3</f>
        <v>2.8418948480048275E-2</v>
      </c>
      <c r="D26" s="3">
        <f t="shared" si="22"/>
        <v>2.9696675019635715E-2</v>
      </c>
      <c r="E26" s="3"/>
      <c r="F26" s="3"/>
      <c r="G26" s="3"/>
      <c r="H26" s="3"/>
      <c r="I26" s="3"/>
    </row>
    <row r="27" spans="1:9" x14ac:dyDescent="0.25">
      <c r="B27" s="11"/>
      <c r="C27" s="11"/>
      <c r="D27" s="11"/>
      <c r="E27" s="11"/>
      <c r="F27" s="11"/>
      <c r="G27" s="11"/>
      <c r="H27" s="11"/>
      <c r="I27" s="11"/>
    </row>
    <row r="28" spans="1:9" x14ac:dyDescent="0.25">
      <c r="A28" t="s">
        <v>2</v>
      </c>
      <c r="B28" s="12">
        <f>B21-B25</f>
        <v>699.8</v>
      </c>
      <c r="C28" s="12">
        <f t="shared" ref="C28:D28" si="23">C21-C25</f>
        <v>891.10000000000014</v>
      </c>
      <c r="D28" s="12">
        <f t="shared" si="23"/>
        <v>957.69999999999982</v>
      </c>
      <c r="E28" s="12">
        <f t="shared" ref="E28:I28" si="24">E21-E25</f>
        <v>984.35744305678452</v>
      </c>
      <c r="F28" s="12">
        <f t="shared" si="24"/>
        <v>1048.6879484327847</v>
      </c>
      <c r="G28" s="12">
        <f t="shared" si="24"/>
        <v>1117.1999366582245</v>
      </c>
      <c r="H28" s="12">
        <f t="shared" si="24"/>
        <v>1190.1652041183181</v>
      </c>
      <c r="I28" s="12">
        <f t="shared" si="24"/>
        <v>1267.8732139633171</v>
      </c>
    </row>
    <row r="29" spans="1:9" x14ac:dyDescent="0.25">
      <c r="A29" t="s">
        <v>29</v>
      </c>
      <c r="B29" s="3">
        <f>B28/B$3</f>
        <v>0.1479398769634061</v>
      </c>
      <c r="C29" s="3">
        <f t="shared" ref="C29:D29" si="25">C28/C$3</f>
        <v>0.16804329788036512</v>
      </c>
      <c r="D29" s="3">
        <f t="shared" si="25"/>
        <v>0.17909638328907504</v>
      </c>
      <c r="E29" s="3">
        <f t="shared" ref="E29:I29" si="26">E28/E$3</f>
        <v>0.17284648413344741</v>
      </c>
      <c r="F29" s="3">
        <f t="shared" si="26"/>
        <v>0.1729037409703732</v>
      </c>
      <c r="G29" s="3">
        <f t="shared" si="26"/>
        <v>0.17295750325856638</v>
      </c>
      <c r="H29" s="3">
        <f t="shared" si="26"/>
        <v>0.17300798428034403</v>
      </c>
      <c r="I29" s="3">
        <f t="shared" si="26"/>
        <v>0.17305538430079243</v>
      </c>
    </row>
    <row r="30" spans="1:9" x14ac:dyDescent="0.25">
      <c r="A30" t="s">
        <v>20</v>
      </c>
      <c r="B30" s="3"/>
      <c r="C30" s="3">
        <f>C28/B28-1</f>
        <v>0.27336381823378142</v>
      </c>
      <c r="D30" s="3">
        <f>D28/C28-1</f>
        <v>7.4739086522275455E-2</v>
      </c>
      <c r="E30" s="3">
        <f t="shared" ref="E30:I30" si="27">E28/D28-1</f>
        <v>2.7834857530317114E-2</v>
      </c>
      <c r="F30" s="3">
        <f t="shared" si="27"/>
        <v>6.5352790116800286E-2</v>
      </c>
      <c r="G30" s="3">
        <f t="shared" si="27"/>
        <v>6.5331148629893088E-2</v>
      </c>
      <c r="H30" s="3">
        <f t="shared" si="27"/>
        <v>6.5310841028462407E-2</v>
      </c>
      <c r="I30" s="3">
        <f t="shared" si="27"/>
        <v>6.5291784347338178E-2</v>
      </c>
    </row>
    <row r="31" spans="1:9" x14ac:dyDescent="0.25"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t="s">
        <v>7</v>
      </c>
      <c r="B32" s="11">
        <v>95.7</v>
      </c>
      <c r="C32" s="11">
        <v>174.6</v>
      </c>
      <c r="D32" s="11">
        <v>165.2</v>
      </c>
      <c r="E32" s="11"/>
      <c r="F32" s="11"/>
      <c r="G32" s="11"/>
      <c r="H32" s="11"/>
      <c r="I32" s="11"/>
    </row>
    <row r="33" spans="1:9" x14ac:dyDescent="0.25">
      <c r="A33" t="s">
        <v>8</v>
      </c>
      <c r="B33" s="11">
        <v>15.4</v>
      </c>
      <c r="C33" s="11">
        <v>0</v>
      </c>
      <c r="D33" s="11">
        <v>0</v>
      </c>
      <c r="E33" s="11"/>
      <c r="F33" s="11"/>
      <c r="G33" s="11"/>
      <c r="H33" s="11"/>
      <c r="I33" s="11"/>
    </row>
    <row r="34" spans="1:9" x14ac:dyDescent="0.25">
      <c r="A34" s="5" t="s">
        <v>9</v>
      </c>
      <c r="B34" s="13">
        <v>6.1</v>
      </c>
      <c r="C34" s="13">
        <v>24.8</v>
      </c>
      <c r="D34" s="13">
        <v>26.7</v>
      </c>
      <c r="E34" s="13"/>
      <c r="F34" s="13"/>
      <c r="G34" s="13"/>
      <c r="H34" s="13"/>
      <c r="I34" s="13"/>
    </row>
    <row r="35" spans="1:9" x14ac:dyDescent="0.25">
      <c r="A35" s="6" t="s">
        <v>14</v>
      </c>
      <c r="B35" s="12">
        <f>B32+B33-B34</f>
        <v>105.00000000000001</v>
      </c>
      <c r="C35" s="12">
        <f>C32+C33-C34</f>
        <v>149.79999999999998</v>
      </c>
      <c r="D35" s="12">
        <f>D32+D33-D34</f>
        <v>138.5</v>
      </c>
      <c r="E35" s="12"/>
      <c r="F35" s="12"/>
      <c r="G35" s="12"/>
      <c r="H35" s="12"/>
      <c r="I35" s="12"/>
    </row>
    <row r="36" spans="1:9" x14ac:dyDescent="0.25">
      <c r="A36" s="6" t="s">
        <v>30</v>
      </c>
      <c r="B36" s="3">
        <f>B35/B$3</f>
        <v>2.2197323636978631E-2</v>
      </c>
      <c r="C36" s="3">
        <f>C35/C$3</f>
        <v>2.8249226823564906E-2</v>
      </c>
      <c r="D36" s="3">
        <f>D35/D$3</f>
        <v>2.5900437595840972E-2</v>
      </c>
      <c r="E36" s="3"/>
      <c r="F36" s="3"/>
      <c r="G36" s="3"/>
      <c r="H36" s="3"/>
      <c r="I36" s="3"/>
    </row>
    <row r="37" spans="1:9" x14ac:dyDescent="0.25">
      <c r="A37" s="6" t="s">
        <v>52</v>
      </c>
      <c r="B37" s="3"/>
      <c r="C37" s="3">
        <f>C35/B35-1</f>
        <v>0.42666666666666631</v>
      </c>
      <c r="D37" s="3">
        <f>D35/C35-1</f>
        <v>-7.5433911882509919E-2</v>
      </c>
      <c r="E37" s="3"/>
      <c r="F37" s="3"/>
      <c r="G37" s="3"/>
      <c r="H37" s="3"/>
      <c r="I37" s="3"/>
    </row>
    <row r="38" spans="1:9" x14ac:dyDescent="0.25"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t="s">
        <v>13</v>
      </c>
      <c r="B39" s="12">
        <f>B28-B35</f>
        <v>594.79999999999995</v>
      </c>
      <c r="C39" s="12">
        <f>C28-C35</f>
        <v>741.30000000000018</v>
      </c>
      <c r="D39" s="12">
        <f>D28-D35</f>
        <v>819.19999999999982</v>
      </c>
      <c r="E39" s="12">
        <f t="shared" ref="E39:I39" si="28">E28-E35</f>
        <v>984.35744305678452</v>
      </c>
      <c r="F39" s="12">
        <f t="shared" si="28"/>
        <v>1048.6879484327847</v>
      </c>
      <c r="G39" s="12">
        <f t="shared" si="28"/>
        <v>1117.1999366582245</v>
      </c>
      <c r="H39" s="12">
        <f t="shared" si="28"/>
        <v>1190.1652041183181</v>
      </c>
      <c r="I39" s="12">
        <f t="shared" si="28"/>
        <v>1267.8732139633171</v>
      </c>
    </row>
    <row r="40" spans="1:9" x14ac:dyDescent="0.25">
      <c r="A40" t="s">
        <v>31</v>
      </c>
      <c r="B40" s="3">
        <f>B39/B$3</f>
        <v>0.12574255332642748</v>
      </c>
      <c r="C40" s="3">
        <f t="shared" ref="C40:D40" si="29">C39/C$3</f>
        <v>0.13979407105680022</v>
      </c>
      <c r="D40" s="3">
        <f t="shared" si="29"/>
        <v>0.15319594569323408</v>
      </c>
      <c r="E40" s="3">
        <f t="shared" ref="E40:I40" si="30">E39/E$3</f>
        <v>0.17284648413344741</v>
      </c>
      <c r="F40" s="3">
        <f t="shared" si="30"/>
        <v>0.1729037409703732</v>
      </c>
      <c r="G40" s="3">
        <f t="shared" si="30"/>
        <v>0.17295750325856638</v>
      </c>
      <c r="H40" s="3">
        <f t="shared" si="30"/>
        <v>0.17300798428034403</v>
      </c>
      <c r="I40" s="3">
        <f t="shared" si="30"/>
        <v>0.17305538430079243</v>
      </c>
    </row>
    <row r="41" spans="1:9" x14ac:dyDescent="0.25">
      <c r="A41" t="s">
        <v>32</v>
      </c>
      <c r="B41" s="3"/>
      <c r="C41" s="3">
        <f>C39/B39-1</f>
        <v>0.24630127774041743</v>
      </c>
      <c r="D41" s="3">
        <f>D39/C39-1</f>
        <v>0.10508566032645295</v>
      </c>
      <c r="E41" s="3">
        <f t="shared" ref="E41:I41" si="31">E39/D39-1</f>
        <v>0.20160820685642666</v>
      </c>
      <c r="F41" s="3">
        <f t="shared" si="31"/>
        <v>6.5352790116800286E-2</v>
      </c>
      <c r="G41" s="3">
        <f t="shared" si="31"/>
        <v>6.5331148629893088E-2</v>
      </c>
      <c r="H41" s="3">
        <f t="shared" si="31"/>
        <v>6.5310841028462407E-2</v>
      </c>
      <c r="I41" s="3">
        <f t="shared" si="31"/>
        <v>6.5291784347338178E-2</v>
      </c>
    </row>
    <row r="43" spans="1:9" x14ac:dyDescent="0.25">
      <c r="A43" t="s">
        <v>10</v>
      </c>
      <c r="B43" s="11">
        <v>151.30000000000001</v>
      </c>
      <c r="C43" s="11">
        <v>-157.30000000000001</v>
      </c>
      <c r="D43" s="11">
        <v>157.4</v>
      </c>
      <c r="E43" s="12">
        <f>E39*E44</f>
        <v>246.08936076419613</v>
      </c>
      <c r="F43" s="12">
        <f t="shared" ref="F43:I43" si="32">F39*F44</f>
        <v>262.17198710819616</v>
      </c>
      <c r="G43" s="12">
        <f t="shared" si="32"/>
        <v>279.29998416455612</v>
      </c>
      <c r="H43" s="12">
        <f t="shared" si="32"/>
        <v>297.54130102957953</v>
      </c>
      <c r="I43" s="12">
        <f t="shared" si="32"/>
        <v>316.96830349082927</v>
      </c>
    </row>
    <row r="44" spans="1:9" x14ac:dyDescent="0.25">
      <c r="A44" t="s">
        <v>37</v>
      </c>
      <c r="B44" s="3">
        <f>B43/B$39</f>
        <v>0.25437121721587092</v>
      </c>
      <c r="C44" s="3">
        <f>C43/C$39</f>
        <v>-0.21219479293133681</v>
      </c>
      <c r="D44" s="3">
        <f>D43/D$39</f>
        <v>0.19213867187500006</v>
      </c>
      <c r="E44" s="15">
        <v>0.25</v>
      </c>
      <c r="F44" s="15">
        <v>0.25</v>
      </c>
      <c r="G44" s="15">
        <v>0.25</v>
      </c>
      <c r="H44" s="15">
        <v>0.25</v>
      </c>
      <c r="I44" s="15">
        <v>0.25</v>
      </c>
    </row>
    <row r="46" spans="1:9" x14ac:dyDescent="0.25">
      <c r="A46" t="s">
        <v>34</v>
      </c>
      <c r="B46" s="12">
        <f>B39-B43</f>
        <v>443.49999999999994</v>
      </c>
      <c r="C46" s="12">
        <f>C39-C43</f>
        <v>898.60000000000014</v>
      </c>
      <c r="D46" s="12">
        <f>D39-D43</f>
        <v>661.79999999999984</v>
      </c>
      <c r="E46" s="12">
        <f t="shared" ref="E46:I46" si="33">E39-E43</f>
        <v>738.26808229258836</v>
      </c>
      <c r="F46" s="12">
        <f t="shared" si="33"/>
        <v>786.51596132458849</v>
      </c>
      <c r="G46" s="12">
        <f t="shared" si="33"/>
        <v>837.89995249366837</v>
      </c>
      <c r="H46" s="12">
        <f t="shared" si="33"/>
        <v>892.62390308873864</v>
      </c>
      <c r="I46" s="12">
        <f t="shared" si="33"/>
        <v>950.90491047248781</v>
      </c>
    </row>
    <row r="47" spans="1:9" x14ac:dyDescent="0.25">
      <c r="A47" t="s">
        <v>35</v>
      </c>
      <c r="B47" s="3">
        <f>B46/B$3</f>
        <v>9.3757266980952561E-2</v>
      </c>
      <c r="C47" s="3">
        <f t="shared" ref="C47:D47" si="34">C46/C$3</f>
        <v>0.1694576450177265</v>
      </c>
      <c r="D47" s="3">
        <f t="shared" si="34"/>
        <v>0.12376108015110145</v>
      </c>
      <c r="E47" s="3">
        <f t="shared" ref="E47:I47" si="35">E46/E$3</f>
        <v>0.12963486310008557</v>
      </c>
      <c r="F47" s="3">
        <f t="shared" si="35"/>
        <v>0.1296778057277799</v>
      </c>
      <c r="G47" s="3">
        <f t="shared" si="35"/>
        <v>0.12971812744392477</v>
      </c>
      <c r="H47" s="3">
        <f t="shared" si="35"/>
        <v>0.12975598821025802</v>
      </c>
      <c r="I47" s="3">
        <f t="shared" si="35"/>
        <v>0.12979153822559431</v>
      </c>
    </row>
    <row r="48" spans="1:9" x14ac:dyDescent="0.25">
      <c r="A48" t="s">
        <v>36</v>
      </c>
      <c r="B48" s="3"/>
      <c r="C48" s="3">
        <f>C46/B46-1</f>
        <v>1.0261555806087941</v>
      </c>
      <c r="D48" s="3">
        <f>D46/C46-1</f>
        <v>-0.26352103271756089</v>
      </c>
      <c r="E48" s="3">
        <f t="shared" ref="E48:I48" si="36">E46/D46-1</f>
        <v>0.11554560636534994</v>
      </c>
      <c r="F48" s="3">
        <f t="shared" si="36"/>
        <v>6.5352790116800286E-2</v>
      </c>
      <c r="G48" s="3">
        <f t="shared" si="36"/>
        <v>6.5331148629893088E-2</v>
      </c>
      <c r="H48" s="3">
        <f t="shared" si="36"/>
        <v>6.531084102846263E-2</v>
      </c>
      <c r="I48" s="3">
        <f t="shared" si="36"/>
        <v>6.5291784347338178E-2</v>
      </c>
    </row>
    <row r="50" spans="1:9" x14ac:dyDescent="0.25">
      <c r="A50" t="s">
        <v>11</v>
      </c>
      <c r="B50" s="11">
        <v>33.9</v>
      </c>
      <c r="C50" s="11">
        <v>34.799999999999997</v>
      </c>
      <c r="D50" s="11">
        <v>40.9</v>
      </c>
      <c r="E50" s="12">
        <f>E46*E51</f>
        <v>51.678765760481191</v>
      </c>
      <c r="F50" s="12">
        <f t="shared" ref="F50:I50" si="37">F46*F51</f>
        <v>55.056117292721197</v>
      </c>
      <c r="G50" s="12">
        <f t="shared" si="37"/>
        <v>58.652996674556789</v>
      </c>
      <c r="H50" s="12">
        <f t="shared" si="37"/>
        <v>62.483673216211713</v>
      </c>
      <c r="I50" s="12">
        <f t="shared" si="37"/>
        <v>66.563343733074149</v>
      </c>
    </row>
    <row r="51" spans="1:9" x14ac:dyDescent="0.25">
      <c r="A51" t="s">
        <v>40</v>
      </c>
      <c r="B51" s="3">
        <f>B50/B$46</f>
        <v>7.6437429537767762E-2</v>
      </c>
      <c r="C51" s="3">
        <f>C50/C$46</f>
        <v>3.8726908524371238E-2</v>
      </c>
      <c r="D51" s="3">
        <f>D50/D$46</f>
        <v>6.1801148383197356E-2</v>
      </c>
      <c r="E51" s="15">
        <v>7.0000000000000007E-2</v>
      </c>
      <c r="F51" s="15">
        <v>7.0000000000000007E-2</v>
      </c>
      <c r="G51" s="15">
        <v>7.0000000000000007E-2</v>
      </c>
      <c r="H51" s="15">
        <v>7.0000000000000007E-2</v>
      </c>
      <c r="I51" s="15">
        <v>7.0000000000000007E-2</v>
      </c>
    </row>
    <row r="52" spans="1:9" x14ac:dyDescent="0.25">
      <c r="A52" t="s">
        <v>41</v>
      </c>
      <c r="B52" s="3"/>
      <c r="C52" s="3">
        <f>C50/B50-1</f>
        <v>2.6548672566371723E-2</v>
      </c>
      <c r="D52" s="3">
        <f>D50/C50-1</f>
        <v>0.17528735632183912</v>
      </c>
      <c r="E52" s="3">
        <f t="shared" ref="E52:I52" si="38">E50/D50-1</f>
        <v>0.26353950514623947</v>
      </c>
      <c r="F52" s="3">
        <f t="shared" si="38"/>
        <v>6.5352790116800064E-2</v>
      </c>
      <c r="G52" s="3">
        <f t="shared" si="38"/>
        <v>6.5331148629893088E-2</v>
      </c>
      <c r="H52" s="3">
        <f t="shared" si="38"/>
        <v>6.531084102846263E-2</v>
      </c>
      <c r="I52" s="3">
        <f t="shared" si="38"/>
        <v>6.5291784347337956E-2</v>
      </c>
    </row>
    <row r="53" spans="1:9" x14ac:dyDescent="0.25">
      <c r="B53" s="11"/>
      <c r="C53" s="11"/>
      <c r="D53" s="11"/>
      <c r="E53" s="11"/>
      <c r="F53" s="11"/>
      <c r="G53" s="11"/>
      <c r="H53" s="11"/>
      <c r="I53" s="11"/>
    </row>
    <row r="54" spans="1:9" x14ac:dyDescent="0.25">
      <c r="A54" t="s">
        <v>38</v>
      </c>
      <c r="B54" s="12">
        <f>B46+B50</f>
        <v>477.39999999999992</v>
      </c>
      <c r="C54" s="12">
        <f>C46+C50</f>
        <v>933.40000000000009</v>
      </c>
      <c r="D54" s="12">
        <f>D46+D50</f>
        <v>702.69999999999982</v>
      </c>
      <c r="E54" s="12">
        <f t="shared" ref="E54:I54" si="39">E46+E50</f>
        <v>789.94684805306952</v>
      </c>
      <c r="F54" s="12">
        <f t="shared" si="39"/>
        <v>841.57207861730967</v>
      </c>
      <c r="G54" s="12">
        <f t="shared" si="39"/>
        <v>896.55294916822515</v>
      </c>
      <c r="H54" s="12">
        <f t="shared" si="39"/>
        <v>955.10757630495038</v>
      </c>
      <c r="I54" s="12">
        <f t="shared" si="39"/>
        <v>1017.4682542055619</v>
      </c>
    </row>
    <row r="55" spans="1:9" x14ac:dyDescent="0.25">
      <c r="A55" t="s">
        <v>53</v>
      </c>
      <c r="B55" s="3">
        <f>B54/B$3</f>
        <v>0.10092383146946281</v>
      </c>
      <c r="C55" s="3">
        <f t="shared" ref="C55:D55" si="40">C54/C$3</f>
        <v>0.17602021573508336</v>
      </c>
      <c r="D55" s="3">
        <f t="shared" si="40"/>
        <v>0.13140965702958446</v>
      </c>
      <c r="E55" s="3">
        <f t="shared" ref="E55:I55" si="41">E54/E$3</f>
        <v>0.13870930351709154</v>
      </c>
      <c r="F55" s="3">
        <f t="shared" si="41"/>
        <v>0.1387552521287245</v>
      </c>
      <c r="G55" s="3">
        <f t="shared" si="41"/>
        <v>0.13879839636499952</v>
      </c>
      <c r="H55" s="3">
        <f t="shared" si="41"/>
        <v>0.13883890738497609</v>
      </c>
      <c r="I55" s="3">
        <f t="shared" si="41"/>
        <v>0.13887694590138591</v>
      </c>
    </row>
    <row r="56" spans="1:9" x14ac:dyDescent="0.25">
      <c r="A56" t="s">
        <v>39</v>
      </c>
      <c r="B56" s="3"/>
      <c r="C56" s="3">
        <f>C54/B54-1</f>
        <v>0.9551738583996654</v>
      </c>
      <c r="D56" s="3">
        <f>D54/C54-1</f>
        <v>-0.24716091707735188</v>
      </c>
      <c r="E56" s="3">
        <f t="shared" ref="E56:I56" si="42">E54/D54-1</f>
        <v>0.12415945361188241</v>
      </c>
      <c r="F56" s="3">
        <f t="shared" si="42"/>
        <v>6.5352790116800286E-2</v>
      </c>
      <c r="G56" s="3">
        <f t="shared" si="42"/>
        <v>6.5331148629893088E-2</v>
      </c>
      <c r="H56" s="3">
        <f t="shared" si="42"/>
        <v>6.531084102846263E-2</v>
      </c>
      <c r="I56" s="3">
        <f t="shared" si="42"/>
        <v>6.5291784347338178E-2</v>
      </c>
    </row>
    <row r="58" spans="1:9" x14ac:dyDescent="0.25">
      <c r="A58" t="s">
        <v>57</v>
      </c>
      <c r="B58" s="11">
        <v>1.6</v>
      </c>
      <c r="C58" s="11">
        <v>3.3</v>
      </c>
      <c r="D58" s="11">
        <v>1.9</v>
      </c>
      <c r="E58" s="12">
        <f>E46*AVERAGE($B$59:$D$59)</f>
        <v>2.4980539724806459</v>
      </c>
      <c r="F58" s="12">
        <f>F46*AVERAGE($B$59:$D$59)</f>
        <v>2.6613087694446125</v>
      </c>
      <c r="G58" s="12">
        <f>G46*AVERAGE($B$59:$D$59)</f>
        <v>2.8351751282112363</v>
      </c>
      <c r="H58" s="12">
        <f>H46*AVERAGE($B$59:$D$59)</f>
        <v>3.0203428002976911</v>
      </c>
      <c r="I58" s="12">
        <f>I46*AVERAGE($B$59:$D$59)</f>
        <v>3.2175463710697634</v>
      </c>
    </row>
    <row r="59" spans="1:9" x14ac:dyDescent="0.25">
      <c r="A59" t="s">
        <v>58</v>
      </c>
      <c r="B59" s="3">
        <f t="shared" ref="B59:I59" si="43">B58/B46</f>
        <v>3.6076662908680955E-3</v>
      </c>
      <c r="C59" s="3">
        <f t="shared" si="43"/>
        <v>3.6723792566214102E-3</v>
      </c>
      <c r="D59" s="3">
        <f t="shared" si="43"/>
        <v>2.8709579933514661E-3</v>
      </c>
      <c r="E59" s="3">
        <f t="shared" si="43"/>
        <v>3.3836678469469903E-3</v>
      </c>
      <c r="F59" s="3">
        <f t="shared" si="43"/>
        <v>3.3836678469469899E-3</v>
      </c>
      <c r="G59" s="3">
        <f t="shared" si="43"/>
        <v>3.3836678469469903E-3</v>
      </c>
      <c r="H59" s="3">
        <f t="shared" si="43"/>
        <v>3.3836678469469903E-3</v>
      </c>
      <c r="I59" s="3">
        <f t="shared" si="43"/>
        <v>3.3836678469469903E-3</v>
      </c>
    </row>
    <row r="61" spans="1:9" x14ac:dyDescent="0.25">
      <c r="A61" t="s">
        <v>59</v>
      </c>
    </row>
    <row r="62" spans="1:9" x14ac:dyDescent="0.25">
      <c r="A62" t="s">
        <v>60</v>
      </c>
      <c r="B62" s="11">
        <v>103.2</v>
      </c>
      <c r="C62" s="11">
        <v>72.599999999999994</v>
      </c>
      <c r="D62" s="11">
        <v>-149.80000000000001</v>
      </c>
      <c r="E62" s="11"/>
      <c r="F62" s="11"/>
      <c r="G62" s="11"/>
      <c r="H62" s="11"/>
      <c r="I62" s="11"/>
    </row>
    <row r="63" spans="1:9" x14ac:dyDescent="0.25">
      <c r="A63" t="s">
        <v>61</v>
      </c>
      <c r="B63" s="11">
        <v>174.6</v>
      </c>
      <c r="C63" s="11">
        <v>-119.8</v>
      </c>
      <c r="D63" s="11">
        <v>-25.5</v>
      </c>
      <c r="E63" s="11"/>
      <c r="F63" s="11"/>
      <c r="G63" s="11"/>
      <c r="H63" s="11"/>
      <c r="I63" s="11"/>
    </row>
    <row r="64" spans="1:9" x14ac:dyDescent="0.25">
      <c r="A64" t="s">
        <v>62</v>
      </c>
      <c r="B64" s="11">
        <v>-12.5</v>
      </c>
      <c r="C64" s="11">
        <v>2.2999999999999998</v>
      </c>
      <c r="D64" s="11">
        <v>1.1000000000000001</v>
      </c>
      <c r="E64" s="11"/>
      <c r="F64" s="11"/>
      <c r="G64" s="11"/>
      <c r="H64" s="11"/>
      <c r="I64" s="11"/>
    </row>
    <row r="65" spans="1:9" x14ac:dyDescent="0.25">
      <c r="A65" t="s">
        <v>63</v>
      </c>
      <c r="B65" s="11">
        <v>-30.8</v>
      </c>
      <c r="C65" s="11">
        <v>-17.2</v>
      </c>
      <c r="D65" s="11">
        <v>33.200000000000003</v>
      </c>
      <c r="E65" s="11"/>
      <c r="F65" s="11"/>
      <c r="G65" s="11"/>
      <c r="H65" s="11"/>
      <c r="I65" s="11"/>
    </row>
    <row r="66" spans="1:9" x14ac:dyDescent="0.25">
      <c r="A66" t="s">
        <v>64</v>
      </c>
      <c r="B66" s="12">
        <f t="shared" ref="B66:I66" si="44">SUM(B62:B65)</f>
        <v>234.5</v>
      </c>
      <c r="C66" s="12">
        <f t="shared" si="44"/>
        <v>-62.100000000000009</v>
      </c>
      <c r="D66" s="12">
        <f t="shared" si="44"/>
        <v>-141</v>
      </c>
      <c r="E66" s="12">
        <f t="shared" si="44"/>
        <v>0</v>
      </c>
      <c r="F66" s="12">
        <f t="shared" si="44"/>
        <v>0</v>
      </c>
      <c r="G66" s="12">
        <f t="shared" si="44"/>
        <v>0</v>
      </c>
      <c r="H66" s="12">
        <f t="shared" si="44"/>
        <v>0</v>
      </c>
      <c r="I66" s="12">
        <f t="shared" si="44"/>
        <v>0</v>
      </c>
    </row>
    <row r="68" spans="1:9" x14ac:dyDescent="0.25">
      <c r="A68" t="s">
        <v>65</v>
      </c>
      <c r="B68" s="12">
        <f>B54+B58+B66</f>
        <v>713.5</v>
      </c>
      <c r="C68" s="12">
        <f t="shared" ref="C68:I68" si="45">C54+C58+C66</f>
        <v>874.6</v>
      </c>
      <c r="D68" s="12">
        <f t="shared" si="45"/>
        <v>563.5999999999998</v>
      </c>
      <c r="E68" s="12">
        <f t="shared" si="45"/>
        <v>792.44490202555016</v>
      </c>
      <c r="F68" s="12">
        <f t="shared" si="45"/>
        <v>844.23338738675432</v>
      </c>
      <c r="G68" s="12">
        <f t="shared" si="45"/>
        <v>899.38812429643644</v>
      </c>
      <c r="H68" s="12">
        <f t="shared" si="45"/>
        <v>958.12791910524811</v>
      </c>
      <c r="I68" s="12">
        <f t="shared" si="45"/>
        <v>1020.6858005766317</v>
      </c>
    </row>
    <row r="70" spans="1:9" x14ac:dyDescent="0.25">
      <c r="A70" t="s">
        <v>3</v>
      </c>
      <c r="B70" s="11">
        <v>126.75</v>
      </c>
      <c r="C70" s="11">
        <v>131.5</v>
      </c>
      <c r="D70" s="11">
        <v>132.6</v>
      </c>
      <c r="E70" s="11">
        <f>D70</f>
        <v>132.6</v>
      </c>
      <c r="F70" s="11">
        <f t="shared" ref="F70:I70" si="46">E70</f>
        <v>132.6</v>
      </c>
      <c r="G70" s="11">
        <f t="shared" si="46"/>
        <v>132.6</v>
      </c>
      <c r="H70" s="11">
        <f t="shared" si="46"/>
        <v>132.6</v>
      </c>
      <c r="I70" s="11">
        <f t="shared" si="46"/>
        <v>132.6</v>
      </c>
    </row>
    <row r="71" spans="1:9" x14ac:dyDescent="0.25">
      <c r="A71" t="s">
        <v>4</v>
      </c>
      <c r="B71" s="11">
        <v>128.4</v>
      </c>
      <c r="C71" s="11">
        <v>133.249</v>
      </c>
      <c r="D71" s="11">
        <v>134.1</v>
      </c>
      <c r="E71" s="11">
        <f>D71</f>
        <v>134.1</v>
      </c>
      <c r="F71" s="11">
        <f t="shared" ref="F71:I71" si="47">E71</f>
        <v>134.1</v>
      </c>
      <c r="G71" s="11">
        <f t="shared" si="47"/>
        <v>134.1</v>
      </c>
      <c r="H71" s="11">
        <f t="shared" si="47"/>
        <v>134.1</v>
      </c>
      <c r="I71" s="11">
        <f t="shared" si="47"/>
        <v>134.1</v>
      </c>
    </row>
    <row r="73" spans="1:9" x14ac:dyDescent="0.25">
      <c r="A73" t="s">
        <v>44</v>
      </c>
      <c r="B73" s="7">
        <f t="shared" ref="B73:I73" si="48">B$46/B$70</f>
        <v>3.4990138067061141</v>
      </c>
      <c r="C73" s="7">
        <f t="shared" si="48"/>
        <v>6.8334600760456281</v>
      </c>
      <c r="D73" s="7">
        <f t="shared" si="48"/>
        <v>4.990950226244343</v>
      </c>
      <c r="E73" s="7">
        <f t="shared" si="48"/>
        <v>5.5676325964750255</v>
      </c>
      <c r="F73" s="7">
        <f t="shared" si="48"/>
        <v>5.9314929209999132</v>
      </c>
      <c r="G73" s="7">
        <f t="shared" si="48"/>
        <v>6.3190041666189174</v>
      </c>
      <c r="H73" s="7">
        <f t="shared" si="48"/>
        <v>6.7317036432031578</v>
      </c>
      <c r="I73" s="7">
        <f t="shared" si="48"/>
        <v>7.1712285857653688</v>
      </c>
    </row>
    <row r="74" spans="1:9" x14ac:dyDescent="0.25">
      <c r="A74" t="s">
        <v>46</v>
      </c>
      <c r="B74" s="7"/>
      <c r="C74" s="3">
        <f>C73/B73-1</f>
        <v>0.95296745127121407</v>
      </c>
      <c r="D74" s="3">
        <f>D73/C73-1</f>
        <v>-0.26963058674479079</v>
      </c>
      <c r="E74" s="3">
        <f t="shared" ref="E74:I74" si="49">E73/D73-1</f>
        <v>0.11554560636534972</v>
      </c>
      <c r="F74" s="3">
        <f t="shared" si="49"/>
        <v>6.5352790116800286E-2</v>
      </c>
      <c r="G74" s="3">
        <f t="shared" si="49"/>
        <v>6.5331148629893088E-2</v>
      </c>
      <c r="H74" s="3">
        <f t="shared" si="49"/>
        <v>6.531084102846263E-2</v>
      </c>
      <c r="I74" s="3">
        <f t="shared" si="49"/>
        <v>6.5291784347338178E-2</v>
      </c>
    </row>
    <row r="75" spans="1:9" x14ac:dyDescent="0.25">
      <c r="A75" t="s">
        <v>45</v>
      </c>
      <c r="B75" s="7">
        <f t="shared" ref="B75:I75" si="50">B$46/B$71</f>
        <v>3.4540498442367595</v>
      </c>
      <c r="C75" s="7">
        <f t="shared" si="50"/>
        <v>6.7437654316355111</v>
      </c>
      <c r="D75" s="7">
        <f t="shared" si="50"/>
        <v>4.9351230425055919</v>
      </c>
      <c r="E75" s="7">
        <f t="shared" si="50"/>
        <v>5.5053548269395112</v>
      </c>
      <c r="F75" s="7">
        <f t="shared" si="50"/>
        <v>5.8651451254630018</v>
      </c>
      <c r="G75" s="7">
        <f t="shared" si="50"/>
        <v>6.2483217933905175</v>
      </c>
      <c r="H75" s="7">
        <f t="shared" si="50"/>
        <v>6.6564049447333238</v>
      </c>
      <c r="I75" s="7">
        <f t="shared" si="50"/>
        <v>7.091013500913407</v>
      </c>
    </row>
    <row r="76" spans="1:9" x14ac:dyDescent="0.25">
      <c r="A76" t="s">
        <v>47</v>
      </c>
      <c r="B76" s="7"/>
      <c r="C76" s="3">
        <f>C75/B75-1</f>
        <v>0.9524227315039453</v>
      </c>
      <c r="D76" s="3">
        <f>D75/C75-1</f>
        <v>-0.26819473593275378</v>
      </c>
      <c r="E76" s="3">
        <f t="shared" ref="E76:I76" si="51">E75/D75-1</f>
        <v>0.11554560636534994</v>
      </c>
      <c r="F76" s="3">
        <f t="shared" si="51"/>
        <v>6.5352790116800286E-2</v>
      </c>
      <c r="G76" s="3">
        <f t="shared" si="51"/>
        <v>6.5331148629893088E-2</v>
      </c>
      <c r="H76" s="3">
        <f t="shared" si="51"/>
        <v>6.531084102846263E-2</v>
      </c>
      <c r="I76" s="3">
        <f t="shared" si="51"/>
        <v>6.5291784347338178E-2</v>
      </c>
    </row>
    <row r="77" spans="1:9" x14ac:dyDescent="0.25">
      <c r="B77" s="7"/>
      <c r="C77" s="7"/>
      <c r="D77" s="7"/>
      <c r="E77" s="7"/>
      <c r="F77" s="7"/>
      <c r="G77" s="7"/>
      <c r="H77" s="7"/>
      <c r="I77" s="7"/>
    </row>
    <row r="78" spans="1:9" x14ac:dyDescent="0.25">
      <c r="A78" t="s">
        <v>42</v>
      </c>
      <c r="B78" s="7">
        <f t="shared" ref="B78:I78" si="52">B$54/B$70</f>
        <v>3.766469428007889</v>
      </c>
      <c r="C78" s="7">
        <f t="shared" si="52"/>
        <v>7.0980988593155905</v>
      </c>
      <c r="D78" s="7">
        <f t="shared" si="52"/>
        <v>5.2993966817496219</v>
      </c>
      <c r="E78" s="7">
        <f t="shared" si="52"/>
        <v>5.9573668782282772</v>
      </c>
      <c r="F78" s="7">
        <f t="shared" si="52"/>
        <v>6.3466974254699071</v>
      </c>
      <c r="G78" s="7">
        <f t="shared" si="52"/>
        <v>6.7613344582822412</v>
      </c>
      <c r="H78" s="7">
        <f t="shared" si="52"/>
        <v>7.2029228982273787</v>
      </c>
      <c r="I78" s="7">
        <f t="shared" si="52"/>
        <v>7.6732145867689443</v>
      </c>
    </row>
    <row r="79" spans="1:9" x14ac:dyDescent="0.25">
      <c r="A79" t="s">
        <v>48</v>
      </c>
      <c r="B79" s="7"/>
      <c r="C79" s="3">
        <f>C78/B78-1</f>
        <v>0.88454970762097029</v>
      </c>
      <c r="D79" s="3">
        <f>D78/C78-1</f>
        <v>-0.25340618850431207</v>
      </c>
      <c r="E79" s="3">
        <f t="shared" ref="E79:I79" si="53">E78/D78-1</f>
        <v>0.12415945361188241</v>
      </c>
      <c r="F79" s="3">
        <f t="shared" si="53"/>
        <v>6.5352790116800286E-2</v>
      </c>
      <c r="G79" s="3">
        <f t="shared" si="53"/>
        <v>6.5331148629893088E-2</v>
      </c>
      <c r="H79" s="3">
        <f t="shared" si="53"/>
        <v>6.531084102846263E-2</v>
      </c>
      <c r="I79" s="3">
        <f t="shared" si="53"/>
        <v>6.5291784347338178E-2</v>
      </c>
    </row>
    <row r="80" spans="1:9" x14ac:dyDescent="0.25">
      <c r="A80" t="s">
        <v>43</v>
      </c>
      <c r="B80" s="7">
        <f t="shared" ref="B80:I80" si="54">B$54/B$71</f>
        <v>3.7180685358255445</v>
      </c>
      <c r="C80" s="7">
        <f t="shared" si="54"/>
        <v>7.0049306186162754</v>
      </c>
      <c r="D80" s="7">
        <f t="shared" si="54"/>
        <v>5.2401193139448159</v>
      </c>
      <c r="E80" s="7">
        <f t="shared" si="54"/>
        <v>5.890729664825276</v>
      </c>
      <c r="F80" s="7">
        <f t="shared" si="54"/>
        <v>6.2757052842454115</v>
      </c>
      <c r="G80" s="7">
        <f t="shared" si="54"/>
        <v>6.6857043189278542</v>
      </c>
      <c r="H80" s="7">
        <f t="shared" si="54"/>
        <v>7.1223532908646563</v>
      </c>
      <c r="I80" s="7">
        <f t="shared" si="54"/>
        <v>7.587384445977345</v>
      </c>
    </row>
    <row r="81" spans="1:9" x14ac:dyDescent="0.25">
      <c r="A81" t="s">
        <v>49</v>
      </c>
      <c r="C81" s="3">
        <f>C80/B80-1</f>
        <v>0.88402407086369905</v>
      </c>
      <c r="D81" s="3">
        <f>D80/C80-1</f>
        <v>-0.2519384417571966</v>
      </c>
      <c r="E81" s="3">
        <f t="shared" ref="E81:I81" si="55">E80/D80-1</f>
        <v>0.12415945361188241</v>
      </c>
      <c r="F81" s="3">
        <f t="shared" si="55"/>
        <v>6.5352790116800286E-2</v>
      </c>
      <c r="G81" s="3">
        <f t="shared" si="55"/>
        <v>6.5331148629893088E-2</v>
      </c>
      <c r="H81" s="3">
        <f t="shared" si="55"/>
        <v>6.5310841028462407E-2</v>
      </c>
      <c r="I81" s="3">
        <f t="shared" si="55"/>
        <v>6.5291784347337956E-2</v>
      </c>
    </row>
    <row r="84" spans="1:9" x14ac:dyDescent="0.25">
      <c r="B84" s="2">
        <f>B1</f>
        <v>2017</v>
      </c>
      <c r="C84" s="2">
        <f t="shared" ref="C84:I84" si="56">C1</f>
        <v>2018</v>
      </c>
      <c r="D84" s="2">
        <f t="shared" si="56"/>
        <v>2019</v>
      </c>
      <c r="E84" s="2">
        <f t="shared" si="56"/>
        <v>2020</v>
      </c>
      <c r="F84" s="2">
        <f t="shared" si="56"/>
        <v>2021</v>
      </c>
      <c r="G84" s="2">
        <f t="shared" si="56"/>
        <v>2022</v>
      </c>
      <c r="H84" s="2">
        <f t="shared" si="56"/>
        <v>2023</v>
      </c>
      <c r="I84" s="2">
        <f t="shared" si="56"/>
        <v>2024</v>
      </c>
    </row>
    <row r="85" spans="1:9" ht="15.75" thickBot="1" x14ac:dyDescent="0.3">
      <c r="A85" s="19" t="s">
        <v>56</v>
      </c>
      <c r="B85" s="20" t="str">
        <f>B2</f>
        <v>Actual</v>
      </c>
      <c r="C85" s="20" t="str">
        <f t="shared" ref="C85:I85" si="57">C2</f>
        <v>Actual</v>
      </c>
      <c r="D85" s="20" t="str">
        <f t="shared" si="57"/>
        <v>Actual</v>
      </c>
      <c r="E85" s="20" t="str">
        <f t="shared" si="57"/>
        <v>Est</v>
      </c>
      <c r="F85" s="20" t="str">
        <f t="shared" si="57"/>
        <v>Est</v>
      </c>
      <c r="G85" s="20" t="str">
        <f t="shared" si="57"/>
        <v>Est</v>
      </c>
      <c r="H85" s="20" t="str">
        <f t="shared" si="57"/>
        <v>Est</v>
      </c>
      <c r="I85" s="20" t="str">
        <f t="shared" si="57"/>
        <v>Est</v>
      </c>
    </row>
    <row r="86" spans="1:9" x14ac:dyDescent="0.25">
      <c r="A86" s="22" t="s">
        <v>66</v>
      </c>
    </row>
    <row r="87" spans="1:9" x14ac:dyDescent="0.25">
      <c r="A87" t="s">
        <v>38</v>
      </c>
      <c r="B87" s="12">
        <f>B54</f>
        <v>477.39999999999992</v>
      </c>
      <c r="C87" s="12">
        <f t="shared" ref="C87:I87" si="58">C54</f>
        <v>933.40000000000009</v>
      </c>
      <c r="D87" s="12">
        <f t="shared" si="58"/>
        <v>702.69999999999982</v>
      </c>
      <c r="E87" s="12">
        <f t="shared" si="58"/>
        <v>789.94684805306952</v>
      </c>
      <c r="F87" s="12">
        <f t="shared" si="58"/>
        <v>841.57207861730967</v>
      </c>
      <c r="G87" s="12">
        <f t="shared" si="58"/>
        <v>896.55294916822515</v>
      </c>
      <c r="H87" s="12">
        <f t="shared" si="58"/>
        <v>955.10757630495038</v>
      </c>
      <c r="I87" s="12">
        <f t="shared" si="58"/>
        <v>1017.4682542055619</v>
      </c>
    </row>
    <row r="88" spans="1:9" x14ac:dyDescent="0.25">
      <c r="A88" t="s">
        <v>67</v>
      </c>
      <c r="B88" s="12">
        <f>B25</f>
        <v>125.2</v>
      </c>
      <c r="C88" s="12">
        <f t="shared" ref="C88:I88" si="59">C25</f>
        <v>150.69999999999999</v>
      </c>
      <c r="D88" s="12">
        <f t="shared" si="59"/>
        <v>158.80000000000001</v>
      </c>
      <c r="E88" s="12">
        <f t="shared" si="59"/>
        <v>154.63875694321553</v>
      </c>
      <c r="F88" s="12">
        <f t="shared" si="59"/>
        <v>164.34300456721553</v>
      </c>
      <c r="G88" s="12">
        <f t="shared" si="59"/>
        <v>174.67802828677551</v>
      </c>
      <c r="H88" s="12">
        <f t="shared" si="59"/>
        <v>185.68482854810691</v>
      </c>
      <c r="I88" s="12">
        <f t="shared" si="59"/>
        <v>197.40707082642484</v>
      </c>
    </row>
    <row r="89" spans="1:9" x14ac:dyDescent="0.25">
      <c r="A89" t="s">
        <v>68</v>
      </c>
      <c r="B89" s="11">
        <v>23.9</v>
      </c>
      <c r="C89" s="11">
        <v>25.6</v>
      </c>
      <c r="D89" s="11">
        <v>37.200000000000003</v>
      </c>
      <c r="E89" s="25">
        <v>0</v>
      </c>
      <c r="F89" s="25">
        <v>0</v>
      </c>
      <c r="G89" s="25">
        <v>0</v>
      </c>
      <c r="H89" s="25">
        <v>0</v>
      </c>
      <c r="I89" s="25">
        <v>0</v>
      </c>
    </row>
    <row r="90" spans="1:9" x14ac:dyDescent="0.25">
      <c r="A90" t="s">
        <v>69</v>
      </c>
      <c r="B90" s="11"/>
      <c r="C90" s="11">
        <v>-309.39999999999998</v>
      </c>
      <c r="D90" s="11"/>
      <c r="E90" s="11">
        <v>0</v>
      </c>
      <c r="F90" s="11">
        <v>0</v>
      </c>
      <c r="G90" s="11">
        <v>0</v>
      </c>
      <c r="H90" s="11">
        <v>0</v>
      </c>
      <c r="I90" s="11">
        <v>0</v>
      </c>
    </row>
    <row r="91" spans="1:9" x14ac:dyDescent="0.25">
      <c r="A91" t="s">
        <v>70</v>
      </c>
      <c r="B91" s="11">
        <v>20.9</v>
      </c>
      <c r="C91" s="11"/>
      <c r="D91" s="11"/>
      <c r="E91" s="11">
        <v>0</v>
      </c>
      <c r="F91" s="11">
        <v>0</v>
      </c>
      <c r="G91" s="11">
        <v>0</v>
      </c>
      <c r="H91" s="11">
        <v>0</v>
      </c>
      <c r="I91" s="11">
        <v>0</v>
      </c>
    </row>
    <row r="92" spans="1:9" x14ac:dyDescent="0.25">
      <c r="A92" t="s">
        <v>71</v>
      </c>
      <c r="B92" s="11">
        <v>19.100000000000001</v>
      </c>
      <c r="C92" s="11">
        <v>3</v>
      </c>
      <c r="D92" s="11"/>
      <c r="E92" s="11">
        <v>0</v>
      </c>
      <c r="F92" s="11">
        <v>0</v>
      </c>
      <c r="G92" s="11">
        <v>0</v>
      </c>
      <c r="H92" s="11">
        <v>0</v>
      </c>
      <c r="I92" s="11">
        <v>0</v>
      </c>
    </row>
    <row r="93" spans="1:9" x14ac:dyDescent="0.25">
      <c r="A93" t="s">
        <v>73</v>
      </c>
      <c r="B93" s="11">
        <v>1.3</v>
      </c>
      <c r="C93" s="11">
        <v>-5.4</v>
      </c>
      <c r="D93" s="11">
        <v>-1.6</v>
      </c>
      <c r="E93" s="25">
        <v>0</v>
      </c>
      <c r="F93" s="25">
        <v>0</v>
      </c>
      <c r="G93" s="25">
        <v>0</v>
      </c>
      <c r="H93" s="25">
        <v>0</v>
      </c>
      <c r="I93" s="25">
        <v>0</v>
      </c>
    </row>
    <row r="94" spans="1:9" x14ac:dyDescent="0.25">
      <c r="A94" t="s">
        <v>72</v>
      </c>
      <c r="B94" s="11">
        <v>24.1</v>
      </c>
      <c r="C94" s="11">
        <v>40.1</v>
      </c>
      <c r="D94" s="11">
        <v>20.9</v>
      </c>
      <c r="E94" s="12">
        <f>E257</f>
        <v>27.422957878104839</v>
      </c>
      <c r="F94" s="12">
        <f>F257</f>
        <v>15.61942327897637</v>
      </c>
      <c r="G94" s="12">
        <f>G257</f>
        <v>-0.24441628032700891</v>
      </c>
      <c r="H94" s="12">
        <f>H257</f>
        <v>-7.7853767662135454</v>
      </c>
      <c r="I94" s="12">
        <f>I257</f>
        <v>-8.7687516313509164</v>
      </c>
    </row>
    <row r="95" spans="1:9" x14ac:dyDescent="0.25">
      <c r="A95" t="s">
        <v>11</v>
      </c>
      <c r="B95" s="11">
        <f>-B50</f>
        <v>-33.9</v>
      </c>
      <c r="C95" s="11">
        <f t="shared" ref="C95:I95" si="60">-C50</f>
        <v>-34.799999999999997</v>
      </c>
      <c r="D95" s="11">
        <f t="shared" si="60"/>
        <v>-40.9</v>
      </c>
      <c r="E95" s="12">
        <f t="shared" si="60"/>
        <v>-51.678765760481191</v>
      </c>
      <c r="F95" s="12">
        <f t="shared" si="60"/>
        <v>-55.056117292721197</v>
      </c>
      <c r="G95" s="12">
        <f t="shared" si="60"/>
        <v>-58.652996674556789</v>
      </c>
      <c r="H95" s="12">
        <f t="shared" si="60"/>
        <v>-62.483673216211713</v>
      </c>
      <c r="I95" s="12">
        <f t="shared" si="60"/>
        <v>-66.563343733074149</v>
      </c>
    </row>
    <row r="96" spans="1:9" x14ac:dyDescent="0.25">
      <c r="A96" t="s">
        <v>74</v>
      </c>
      <c r="B96" s="11">
        <v>-2.9</v>
      </c>
      <c r="C96" s="11"/>
      <c r="D96" s="11"/>
      <c r="E96" s="11">
        <v>0</v>
      </c>
      <c r="F96" s="11">
        <v>0</v>
      </c>
      <c r="G96" s="11">
        <v>0</v>
      </c>
      <c r="H96" s="11">
        <v>0</v>
      </c>
      <c r="I96" s="11">
        <v>0</v>
      </c>
    </row>
    <row r="97" spans="1:9" x14ac:dyDescent="0.25">
      <c r="A97" t="s">
        <v>75</v>
      </c>
    </row>
    <row r="98" spans="1:9" x14ac:dyDescent="0.25">
      <c r="A98" s="8" t="s">
        <v>76</v>
      </c>
      <c r="B98" s="11">
        <v>-13</v>
      </c>
      <c r="C98" s="11">
        <v>19.8</v>
      </c>
      <c r="D98" s="11">
        <v>12.2</v>
      </c>
      <c r="E98" s="12">
        <f>-(E263-D263)</f>
        <v>-34.959316666666609</v>
      </c>
      <c r="F98" s="12">
        <f t="shared" ref="F98:I98" si="61">-(F263-E263)</f>
        <v>-34.960855583333341</v>
      </c>
      <c r="G98" s="12">
        <f t="shared" si="61"/>
        <v>-37.233311196249929</v>
      </c>
      <c r="H98" s="12">
        <f t="shared" si="61"/>
        <v>-39.653476424006271</v>
      </c>
      <c r="I98" s="12">
        <f t="shared" si="61"/>
        <v>-42.230952391566575</v>
      </c>
    </row>
    <row r="99" spans="1:9" x14ac:dyDescent="0.25">
      <c r="A99" s="8" t="s">
        <v>77</v>
      </c>
      <c r="B99" s="11">
        <v>44.6</v>
      </c>
      <c r="C99" s="11">
        <v>-10</v>
      </c>
      <c r="D99" s="11">
        <v>-20.9</v>
      </c>
      <c r="E99" s="12">
        <f>-(E265-D265)</f>
        <v>-57.634773583333299</v>
      </c>
      <c r="F99" s="12">
        <f t="shared" ref="F99:I99" si="62">-(F265-E265)</f>
        <v>-55.824260282916498</v>
      </c>
      <c r="G99" s="12">
        <f t="shared" si="62"/>
        <v>-59.452837201306238</v>
      </c>
      <c r="H99" s="12">
        <f t="shared" si="62"/>
        <v>-63.317271619391136</v>
      </c>
      <c r="I99" s="12">
        <f t="shared" si="62"/>
        <v>-67.432894274651517</v>
      </c>
    </row>
    <row r="100" spans="1:9" x14ac:dyDescent="0.25">
      <c r="A100" s="8" t="s">
        <v>205</v>
      </c>
      <c r="B100" s="11">
        <v>0</v>
      </c>
      <c r="C100" s="11">
        <v>0</v>
      </c>
      <c r="D100" s="11">
        <v>0</v>
      </c>
      <c r="E100" s="12">
        <f>-(E267-D267)</f>
        <v>0.52946750000000975</v>
      </c>
      <c r="F100" s="12">
        <f t="shared" ref="F100:I100" si="63">-(F267-E267)</f>
        <v>-5.8610846124999938</v>
      </c>
      <c r="G100" s="12">
        <f t="shared" si="63"/>
        <v>-6.2420551123124852</v>
      </c>
      <c r="H100" s="12">
        <f t="shared" si="63"/>
        <v>-6.6477886946128137</v>
      </c>
      <c r="I100" s="12">
        <f t="shared" si="63"/>
        <v>-7.0798949597626546</v>
      </c>
    </row>
    <row r="101" spans="1:9" x14ac:dyDescent="0.25">
      <c r="A101" s="8" t="s">
        <v>78</v>
      </c>
      <c r="B101" s="11">
        <v>98.2</v>
      </c>
      <c r="C101" s="11">
        <v>72.8</v>
      </c>
      <c r="D101" s="11">
        <v>128.19999999999999</v>
      </c>
      <c r="E101" s="12">
        <f>E271-D271</f>
        <v>-2.5399697916667492</v>
      </c>
      <c r="F101" s="12">
        <f>F271-E271</f>
        <v>54.883401963541587</v>
      </c>
      <c r="G101" s="12">
        <f>G271-F271</f>
        <v>58.450823091171856</v>
      </c>
      <c r="H101" s="12">
        <f>H271-G271</f>
        <v>62.250126592097899</v>
      </c>
      <c r="I101" s="12">
        <f>I271-H271</f>
        <v>66.296384820584649</v>
      </c>
    </row>
    <row r="102" spans="1:9" x14ac:dyDescent="0.25">
      <c r="A102" s="8" t="s">
        <v>210</v>
      </c>
      <c r="B102" s="11">
        <v>0</v>
      </c>
      <c r="C102" s="11">
        <v>0</v>
      </c>
      <c r="D102" s="11">
        <v>0</v>
      </c>
      <c r="E102" s="12">
        <f>E273-D273</f>
        <v>67.178993749999904</v>
      </c>
      <c r="F102" s="12">
        <f t="shared" ref="F102:I102" si="64">F273-E273</f>
        <v>43.958134593749946</v>
      </c>
      <c r="G102" s="12">
        <f t="shared" si="64"/>
        <v>46.815413342343732</v>
      </c>
      <c r="H102" s="12">
        <f t="shared" si="64"/>
        <v>49.858415209596046</v>
      </c>
      <c r="I102" s="12">
        <f t="shared" si="64"/>
        <v>53.099212198219902</v>
      </c>
    </row>
    <row r="103" spans="1:9" x14ac:dyDescent="0.25">
      <c r="A103" s="8" t="s">
        <v>79</v>
      </c>
      <c r="B103" s="11">
        <v>6.8</v>
      </c>
      <c r="C103" s="11">
        <v>-91.8</v>
      </c>
      <c r="D103" s="11">
        <v>-81.5</v>
      </c>
      <c r="E103" s="25">
        <v>0</v>
      </c>
      <c r="F103" s="25">
        <v>0</v>
      </c>
      <c r="G103" s="25">
        <v>0</v>
      </c>
      <c r="H103" s="25">
        <v>0</v>
      </c>
      <c r="I103" s="25">
        <v>0</v>
      </c>
    </row>
    <row r="104" spans="1:9" x14ac:dyDescent="0.25">
      <c r="A104" t="s">
        <v>105</v>
      </c>
      <c r="B104" s="11">
        <v>23.6</v>
      </c>
      <c r="C104" s="11">
        <v>27.2</v>
      </c>
      <c r="D104" s="11">
        <v>31.7</v>
      </c>
      <c r="E104" s="25">
        <v>0</v>
      </c>
      <c r="F104" s="25">
        <v>0</v>
      </c>
      <c r="G104" s="25">
        <v>0</v>
      </c>
      <c r="H104" s="25">
        <v>0</v>
      </c>
      <c r="I104" s="25">
        <v>0</v>
      </c>
    </row>
    <row r="105" spans="1:9" x14ac:dyDescent="0.25">
      <c r="A105" s="8" t="s">
        <v>80</v>
      </c>
      <c r="B105" s="12">
        <f>B87+SUM(B88:B104)</f>
        <v>815.3</v>
      </c>
      <c r="C105" s="12">
        <f>C87+SUM(C88:C104)</f>
        <v>821.20000000000016</v>
      </c>
      <c r="D105" s="12">
        <f>D87+SUM(D88:D104)</f>
        <v>946.79999999999973</v>
      </c>
      <c r="E105" s="12">
        <f t="shared" ref="E105:I105" si="65">E87+SUM(E88:E104)</f>
        <v>892.904198322242</v>
      </c>
      <c r="F105" s="12">
        <f t="shared" si="65"/>
        <v>968.67372524932205</v>
      </c>
      <c r="G105" s="12">
        <f t="shared" si="65"/>
        <v>1014.6715974237638</v>
      </c>
      <c r="H105" s="12">
        <f t="shared" si="65"/>
        <v>1073.0133599343158</v>
      </c>
      <c r="I105" s="12">
        <f t="shared" si="65"/>
        <v>1142.1950850603855</v>
      </c>
    </row>
    <row r="106" spans="1:9" x14ac:dyDescent="0.25">
      <c r="A106" s="21"/>
      <c r="B106" s="12"/>
      <c r="C106" s="12"/>
      <c r="D106" s="12"/>
      <c r="E106" s="12"/>
      <c r="F106" s="12"/>
      <c r="G106" s="12"/>
      <c r="H106" s="12"/>
      <c r="I106" s="12"/>
    </row>
    <row r="107" spans="1:9" x14ac:dyDescent="0.25">
      <c r="A107" s="22" t="s">
        <v>85</v>
      </c>
    </row>
    <row r="108" spans="1:9" x14ac:dyDescent="0.25">
      <c r="A108" t="s">
        <v>81</v>
      </c>
      <c r="B108" s="11">
        <v>-4327.3999999999996</v>
      </c>
      <c r="C108" s="11">
        <v>-4.2</v>
      </c>
      <c r="D108" s="11"/>
      <c r="E108" s="25">
        <v>0</v>
      </c>
      <c r="F108" s="25">
        <v>0</v>
      </c>
      <c r="G108" s="25">
        <v>0</v>
      </c>
      <c r="H108" s="25">
        <v>0</v>
      </c>
      <c r="I108" s="25">
        <v>0</v>
      </c>
    </row>
    <row r="109" spans="1:9" x14ac:dyDescent="0.25">
      <c r="A109" t="s">
        <v>102</v>
      </c>
      <c r="B109" s="11">
        <v>-182.4</v>
      </c>
      <c r="C109" s="11">
        <v>-169.1</v>
      </c>
      <c r="D109" s="11">
        <v>-173.7</v>
      </c>
      <c r="E109" s="24">
        <f>-E110*E3</f>
        <v>-182.23939200000001</v>
      </c>
      <c r="F109" s="24">
        <f t="shared" ref="F109:I109" si="66">-F110*F3</f>
        <v>-194.08495247999997</v>
      </c>
      <c r="G109" s="24">
        <f t="shared" si="66"/>
        <v>-206.70047439119998</v>
      </c>
      <c r="H109" s="24">
        <f t="shared" si="66"/>
        <v>-220.13600522662796</v>
      </c>
      <c r="I109" s="24">
        <f t="shared" si="66"/>
        <v>-234.44484556635877</v>
      </c>
    </row>
    <row r="110" spans="1:9" x14ac:dyDescent="0.25">
      <c r="A110" s="8" t="s">
        <v>103</v>
      </c>
      <c r="B110" s="23">
        <f>-B109/B3</f>
        <v>3.8559922203665727E-2</v>
      </c>
      <c r="C110" s="23">
        <f>-C109/C3</f>
        <v>3.1888813457041559E-2</v>
      </c>
      <c r="D110" s="23">
        <f>-D109/D3</f>
        <v>3.248307588734712E-2</v>
      </c>
      <c r="E110" s="15">
        <v>3.2000000000000001E-2</v>
      </c>
      <c r="F110" s="15">
        <v>3.2000000000000001E-2</v>
      </c>
      <c r="G110" s="15">
        <v>3.2000000000000001E-2</v>
      </c>
      <c r="H110" s="15">
        <v>3.2000000000000001E-2</v>
      </c>
      <c r="I110" s="15">
        <v>3.2000000000000001E-2</v>
      </c>
    </row>
    <row r="111" spans="1:9" x14ac:dyDescent="0.25">
      <c r="A111" t="s">
        <v>82</v>
      </c>
      <c r="B111" s="11">
        <v>1.5</v>
      </c>
      <c r="C111" s="11">
        <v>14.8</v>
      </c>
      <c r="D111" s="11">
        <v>2.7</v>
      </c>
      <c r="E111" s="25">
        <v>0</v>
      </c>
      <c r="F111" s="25">
        <v>0</v>
      </c>
      <c r="G111" s="25">
        <v>0</v>
      </c>
      <c r="H111" s="25">
        <v>0</v>
      </c>
      <c r="I111" s="25">
        <v>0</v>
      </c>
    </row>
    <row r="112" spans="1:9" x14ac:dyDescent="0.25">
      <c r="A112" s="8" t="s">
        <v>83</v>
      </c>
      <c r="B112" s="12">
        <f>B108+B109+B111</f>
        <v>-4508.2999999999993</v>
      </c>
      <c r="C112" s="12">
        <f>C108+C109+C111</f>
        <v>-158.49999999999997</v>
      </c>
      <c r="D112" s="12">
        <f>D108+D109+D111</f>
        <v>-171</v>
      </c>
      <c r="E112" s="12">
        <f t="shared" ref="E112:I112" si="67">E108+E109+E111</f>
        <v>-182.23939200000001</v>
      </c>
      <c r="F112" s="12">
        <f t="shared" si="67"/>
        <v>-194.08495247999997</v>
      </c>
      <c r="G112" s="12">
        <f t="shared" si="67"/>
        <v>-206.70047439119998</v>
      </c>
      <c r="H112" s="12">
        <f t="shared" si="67"/>
        <v>-220.13600522662796</v>
      </c>
      <c r="I112" s="12">
        <f t="shared" si="67"/>
        <v>-234.44484556635877</v>
      </c>
    </row>
    <row r="114" spans="1:11" x14ac:dyDescent="0.25">
      <c r="A114" s="22" t="s">
        <v>84</v>
      </c>
    </row>
    <row r="115" spans="1:11" x14ac:dyDescent="0.25">
      <c r="A115" t="s">
        <v>86</v>
      </c>
      <c r="B115" s="11">
        <v>-134.6</v>
      </c>
      <c r="C115" s="11">
        <v>305.5</v>
      </c>
      <c r="D115" s="11">
        <v>41</v>
      </c>
      <c r="E115" s="25">
        <v>0</v>
      </c>
      <c r="F115" s="25">
        <v>0</v>
      </c>
      <c r="G115" s="25">
        <v>0</v>
      </c>
      <c r="H115" s="25">
        <v>0</v>
      </c>
      <c r="I115" s="25">
        <v>0</v>
      </c>
    </row>
    <row r="116" spans="1:11" x14ac:dyDescent="0.25">
      <c r="A116" t="s">
        <v>87</v>
      </c>
      <c r="B116" s="11">
        <v>3989.6</v>
      </c>
      <c r="C116" s="11">
        <v>25.9</v>
      </c>
      <c r="D116" s="11"/>
      <c r="E116" s="25">
        <v>0</v>
      </c>
      <c r="F116" s="25">
        <v>0</v>
      </c>
      <c r="G116" s="25">
        <v>0</v>
      </c>
      <c r="H116" s="25">
        <v>0</v>
      </c>
      <c r="I116" s="25">
        <v>0</v>
      </c>
    </row>
    <row r="117" spans="1:11" x14ac:dyDescent="0.25">
      <c r="A117" t="s">
        <v>88</v>
      </c>
      <c r="B117" s="11">
        <v>-7.7</v>
      </c>
      <c r="C117" s="11"/>
      <c r="D117" s="11"/>
      <c r="E117" s="25">
        <v>0</v>
      </c>
      <c r="F117" s="25">
        <v>0</v>
      </c>
      <c r="G117" s="25">
        <v>0</v>
      </c>
      <c r="H117" s="25">
        <v>0</v>
      </c>
      <c r="I117" s="25">
        <v>0</v>
      </c>
    </row>
    <row r="118" spans="1:11" x14ac:dyDescent="0.25">
      <c r="A118" s="21" t="s">
        <v>89</v>
      </c>
      <c r="B118" s="11">
        <v>-272.7</v>
      </c>
      <c r="C118" s="11">
        <v>-797.9</v>
      </c>
      <c r="D118" s="11">
        <v>-447.7</v>
      </c>
      <c r="E118" s="25">
        <v>0</v>
      </c>
      <c r="F118" s="25">
        <v>0</v>
      </c>
      <c r="G118" s="25">
        <v>0</v>
      </c>
      <c r="H118" s="25">
        <v>0</v>
      </c>
      <c r="I118" s="25">
        <v>0</v>
      </c>
    </row>
    <row r="119" spans="1:11" x14ac:dyDescent="0.25">
      <c r="A119" s="21" t="s">
        <v>90</v>
      </c>
      <c r="B119" s="11">
        <v>29.5</v>
      </c>
      <c r="C119" s="11">
        <v>78.2</v>
      </c>
      <c r="D119" s="11">
        <v>90.9</v>
      </c>
      <c r="E119" s="25">
        <v>0</v>
      </c>
      <c r="F119" s="25">
        <v>0</v>
      </c>
      <c r="G119" s="25">
        <v>0</v>
      </c>
      <c r="H119" s="25">
        <v>0</v>
      </c>
      <c r="I119" s="25">
        <v>0</v>
      </c>
    </row>
    <row r="120" spans="1:11" x14ac:dyDescent="0.25">
      <c r="A120" s="21" t="s">
        <v>91</v>
      </c>
      <c r="B120" s="11">
        <v>-5.8</v>
      </c>
      <c r="C120" s="11">
        <v>-11.6</v>
      </c>
      <c r="D120" s="11">
        <v>-12.7</v>
      </c>
      <c r="E120" s="25">
        <v>0</v>
      </c>
      <c r="F120" s="25">
        <v>0</v>
      </c>
      <c r="G120" s="25">
        <v>0</v>
      </c>
      <c r="H120" s="25">
        <v>0</v>
      </c>
      <c r="I120" s="25">
        <v>0</v>
      </c>
      <c r="K120" s="12"/>
    </row>
    <row r="121" spans="1:11" x14ac:dyDescent="0.25">
      <c r="A121" s="21" t="s">
        <v>92</v>
      </c>
      <c r="B121" s="11">
        <v>-19.7</v>
      </c>
      <c r="C121" s="11">
        <v>-2.5</v>
      </c>
      <c r="D121" s="11"/>
      <c r="E121" s="25">
        <v>0</v>
      </c>
      <c r="F121" s="25">
        <v>0</v>
      </c>
      <c r="G121" s="25">
        <v>0</v>
      </c>
      <c r="H121" s="25">
        <v>0</v>
      </c>
      <c r="I121" s="25">
        <v>0</v>
      </c>
    </row>
    <row r="122" spans="1:11" x14ac:dyDescent="0.25">
      <c r="A122" s="21" t="s">
        <v>93</v>
      </c>
      <c r="B122" s="11">
        <v>-1.2</v>
      </c>
      <c r="C122" s="11">
        <v>-13</v>
      </c>
      <c r="D122" s="11"/>
      <c r="E122" s="25">
        <v>0</v>
      </c>
      <c r="F122" s="25">
        <v>0</v>
      </c>
      <c r="G122" s="25">
        <v>0</v>
      </c>
      <c r="H122" s="25">
        <v>0</v>
      </c>
      <c r="I122" s="25">
        <v>0</v>
      </c>
    </row>
    <row r="123" spans="1:11" x14ac:dyDescent="0.25">
      <c r="A123" s="21" t="s">
        <v>94</v>
      </c>
      <c r="B123" s="11">
        <v>554</v>
      </c>
      <c r="C123" s="11"/>
      <c r="D123" s="11"/>
      <c r="E123" s="25">
        <v>0</v>
      </c>
      <c r="F123" s="25">
        <v>0</v>
      </c>
      <c r="G123" s="25">
        <v>0</v>
      </c>
      <c r="H123" s="25">
        <v>0</v>
      </c>
      <c r="I123" s="25">
        <v>0</v>
      </c>
    </row>
    <row r="124" spans="1:11" x14ac:dyDescent="0.25">
      <c r="A124" s="21" t="s">
        <v>95</v>
      </c>
      <c r="B124" s="11">
        <v>-137.80000000000001</v>
      </c>
      <c r="C124" s="11">
        <v>-62.3</v>
      </c>
      <c r="D124" s="11">
        <v>-95.1</v>
      </c>
      <c r="E124" s="25">
        <v>0</v>
      </c>
      <c r="F124" s="25">
        <v>0</v>
      </c>
      <c r="G124" s="25">
        <v>0</v>
      </c>
      <c r="H124" s="25">
        <v>0</v>
      </c>
      <c r="I124" s="25">
        <v>0</v>
      </c>
    </row>
    <row r="125" spans="1:11" x14ac:dyDescent="0.25">
      <c r="A125" s="21" t="s">
        <v>96</v>
      </c>
      <c r="B125" s="11">
        <v>-237.6</v>
      </c>
      <c r="C125" s="11">
        <v>-273.39999999999998</v>
      </c>
      <c r="D125" s="11">
        <v>-302.2</v>
      </c>
      <c r="E125" s="28">
        <f>-E126*E70</f>
        <v>-302.2</v>
      </c>
      <c r="F125" s="28">
        <f t="shared" ref="F125:I125" si="68">-F126*F70</f>
        <v>-302.2</v>
      </c>
      <c r="G125" s="28">
        <f t="shared" si="68"/>
        <v>-302.2</v>
      </c>
      <c r="H125" s="28">
        <f t="shared" si="68"/>
        <v>-302.2</v>
      </c>
      <c r="I125" s="28">
        <f t="shared" si="68"/>
        <v>-302.2</v>
      </c>
    </row>
    <row r="126" spans="1:11" x14ac:dyDescent="0.25">
      <c r="A126" s="21" t="s">
        <v>104</v>
      </c>
      <c r="B126" s="26">
        <f>-B125/B70</f>
        <v>1.8745562130177513</v>
      </c>
      <c r="C126" s="26">
        <f>-C125/C70</f>
        <v>2.0790874524714829</v>
      </c>
      <c r="D126" s="26">
        <f>-D125/D70</f>
        <v>2.2790346907993966</v>
      </c>
      <c r="E126" s="27">
        <f>D126</f>
        <v>2.2790346907993966</v>
      </c>
      <c r="F126" s="27">
        <f>E126</f>
        <v>2.2790346907993966</v>
      </c>
      <c r="G126" s="27">
        <f>F126</f>
        <v>2.2790346907993966</v>
      </c>
      <c r="H126" s="27">
        <f>G126</f>
        <v>2.2790346907993966</v>
      </c>
      <c r="I126" s="27">
        <f>H126</f>
        <v>2.2790346907993966</v>
      </c>
    </row>
    <row r="127" spans="1:11" x14ac:dyDescent="0.25">
      <c r="A127" s="8" t="s">
        <v>97</v>
      </c>
      <c r="B127" s="12">
        <f>SUM(B115:B125)</f>
        <v>3756.0000000000005</v>
      </c>
      <c r="C127" s="12">
        <f>SUM(C115:C125)</f>
        <v>-751.1</v>
      </c>
      <c r="D127" s="12">
        <f>SUM(D115:D125)</f>
        <v>-725.8</v>
      </c>
      <c r="E127" s="12">
        <f t="shared" ref="E127:I127" si="69">SUM(E115:E125)</f>
        <v>-302.2</v>
      </c>
      <c r="F127" s="12">
        <f t="shared" si="69"/>
        <v>-302.2</v>
      </c>
      <c r="G127" s="12">
        <f t="shared" si="69"/>
        <v>-302.2</v>
      </c>
      <c r="H127" s="12">
        <f t="shared" si="69"/>
        <v>-302.2</v>
      </c>
      <c r="I127" s="12">
        <f t="shared" si="69"/>
        <v>-302.2</v>
      </c>
    </row>
    <row r="129" spans="1:9" x14ac:dyDescent="0.25">
      <c r="A129" s="21" t="s">
        <v>98</v>
      </c>
      <c r="B129" s="11">
        <v>5.4</v>
      </c>
      <c r="C129" s="11">
        <v>-1.8</v>
      </c>
      <c r="D129" s="11">
        <v>8.8000000000000007</v>
      </c>
      <c r="E129" s="25">
        <v>0</v>
      </c>
      <c r="F129" s="25">
        <v>0</v>
      </c>
      <c r="G129" s="25">
        <v>0</v>
      </c>
      <c r="H129" s="25">
        <v>0</v>
      </c>
      <c r="I129" s="25">
        <v>0</v>
      </c>
    </row>
    <row r="131" spans="1:9" x14ac:dyDescent="0.25">
      <c r="A131" s="21" t="s">
        <v>99</v>
      </c>
      <c r="B131" s="12">
        <f>B105+B112+B127+B129</f>
        <v>68.40000000000137</v>
      </c>
      <c r="C131" s="12">
        <f>C105+C112+C127+C129</f>
        <v>-90.199999999999861</v>
      </c>
      <c r="D131" s="12">
        <f>D105+D112+D127+D129</f>
        <v>58.79999999999977</v>
      </c>
      <c r="E131" s="12">
        <f t="shared" ref="E131:I131" si="70">E105+E112+E127+E129</f>
        <v>408.46480632224194</v>
      </c>
      <c r="F131" s="12">
        <f t="shared" si="70"/>
        <v>472.38877276932209</v>
      </c>
      <c r="G131" s="12">
        <f t="shared" si="70"/>
        <v>505.77112303256382</v>
      </c>
      <c r="H131" s="12">
        <f t="shared" si="70"/>
        <v>550.67735470768775</v>
      </c>
      <c r="I131" s="12">
        <f t="shared" si="70"/>
        <v>605.55023949402675</v>
      </c>
    </row>
    <row r="133" spans="1:9" x14ac:dyDescent="0.25">
      <c r="A133" t="s">
        <v>100</v>
      </c>
      <c r="B133" s="11">
        <v>118.4</v>
      </c>
      <c r="C133" s="11">
        <v>186.8</v>
      </c>
      <c r="D133" s="11">
        <v>96.6</v>
      </c>
      <c r="E133" s="12">
        <f>D134</f>
        <v>155.39999999999975</v>
      </c>
      <c r="F133" s="12">
        <f>E134</f>
        <v>563.86480632224175</v>
      </c>
      <c r="G133" s="12">
        <f>F134</f>
        <v>1036.2535790915638</v>
      </c>
      <c r="H133" s="12">
        <f>G134</f>
        <v>1542.0247021241275</v>
      </c>
      <c r="I133" s="12">
        <f>H134</f>
        <v>2092.7020568318153</v>
      </c>
    </row>
    <row r="134" spans="1:9" x14ac:dyDescent="0.25">
      <c r="A134" t="s">
        <v>101</v>
      </c>
      <c r="B134" s="12">
        <f>B133+B131</f>
        <v>186.80000000000138</v>
      </c>
      <c r="C134" s="12">
        <f t="shared" ref="C134:D134" si="71">C133+C131</f>
        <v>96.600000000000151</v>
      </c>
      <c r="D134" s="12">
        <f t="shared" si="71"/>
        <v>155.39999999999975</v>
      </c>
      <c r="E134" s="12">
        <f>E133+E131</f>
        <v>563.86480632224175</v>
      </c>
      <c r="F134" s="12">
        <f>F133+F131</f>
        <v>1036.2535790915638</v>
      </c>
      <c r="G134" s="12">
        <f>G133+G131</f>
        <v>1542.0247021241275</v>
      </c>
      <c r="H134" s="12">
        <f>H133+H131</f>
        <v>2092.7020568318153</v>
      </c>
      <c r="I134" s="12">
        <f>I133+I131</f>
        <v>2698.2522963258421</v>
      </c>
    </row>
    <row r="138" spans="1:9" x14ac:dyDescent="0.25">
      <c r="B138" s="2">
        <v>2017</v>
      </c>
      <c r="C138" s="2">
        <v>2018</v>
      </c>
      <c r="D138" s="2">
        <v>2019</v>
      </c>
      <c r="E138" s="2">
        <v>2020</v>
      </c>
      <c r="F138" s="2">
        <v>2021</v>
      </c>
      <c r="G138" s="2">
        <v>2022</v>
      </c>
      <c r="H138" s="2">
        <v>2023</v>
      </c>
      <c r="I138" s="2">
        <v>2024</v>
      </c>
    </row>
    <row r="139" spans="1:9" ht="15.75" thickBot="1" x14ac:dyDescent="0.3">
      <c r="A139" s="19" t="s">
        <v>163</v>
      </c>
      <c r="B139" s="20" t="s">
        <v>54</v>
      </c>
      <c r="C139" s="20" t="s">
        <v>54</v>
      </c>
      <c r="D139" s="20" t="s">
        <v>54</v>
      </c>
      <c r="E139" s="20" t="s">
        <v>106</v>
      </c>
      <c r="F139" s="20" t="s">
        <v>106</v>
      </c>
      <c r="G139" s="20" t="s">
        <v>106</v>
      </c>
      <c r="H139" s="20" t="s">
        <v>106</v>
      </c>
      <c r="I139" s="20" t="s">
        <v>106</v>
      </c>
    </row>
    <row r="140" spans="1:9" x14ac:dyDescent="0.25">
      <c r="A140" s="22" t="s">
        <v>164</v>
      </c>
    </row>
    <row r="141" spans="1:9" x14ac:dyDescent="0.25">
      <c r="A141" t="s">
        <v>165</v>
      </c>
      <c r="B141" s="12"/>
      <c r="C141" s="11">
        <v>96.6</v>
      </c>
      <c r="D141" s="11">
        <v>155.4</v>
      </c>
      <c r="E141" s="12">
        <f>D141+E131</f>
        <v>563.86480632224198</v>
      </c>
      <c r="F141" s="12">
        <f>E141+F131</f>
        <v>1036.253579091564</v>
      </c>
      <c r="G141" s="12">
        <f>F141+G131</f>
        <v>1542.0247021241278</v>
      </c>
      <c r="H141" s="12">
        <f>G141+H131</f>
        <v>2092.7020568318158</v>
      </c>
      <c r="I141" s="12">
        <f>H141+I131</f>
        <v>2698.2522963258425</v>
      </c>
    </row>
    <row r="142" spans="1:9" x14ac:dyDescent="0.25">
      <c r="A142" t="s">
        <v>166</v>
      </c>
      <c r="B142" s="12"/>
      <c r="C142" s="11">
        <v>518.1</v>
      </c>
      <c r="D142" s="11">
        <v>502.9</v>
      </c>
      <c r="E142" s="12">
        <f>D142-E98</f>
        <v>537.85931666666659</v>
      </c>
      <c r="F142" s="12">
        <f t="shared" ref="F142:I143" si="72">E142-F98</f>
        <v>572.82017224999993</v>
      </c>
      <c r="G142" s="12">
        <f t="shared" si="72"/>
        <v>610.05348344624986</v>
      </c>
      <c r="H142" s="12">
        <f t="shared" si="72"/>
        <v>649.70695987025613</v>
      </c>
      <c r="I142" s="12">
        <f t="shared" si="72"/>
        <v>691.9379122618227</v>
      </c>
    </row>
    <row r="143" spans="1:9" x14ac:dyDescent="0.25">
      <c r="A143" t="s">
        <v>77</v>
      </c>
      <c r="B143" s="11"/>
      <c r="C143" s="11">
        <v>786.3</v>
      </c>
      <c r="D143" s="11">
        <v>801.2</v>
      </c>
      <c r="E143" s="12">
        <f>D143-E99</f>
        <v>858.83477358333334</v>
      </c>
      <c r="F143" s="12">
        <f t="shared" si="72"/>
        <v>914.65903386624984</v>
      </c>
      <c r="G143" s="12">
        <f t="shared" si="72"/>
        <v>974.11187106755608</v>
      </c>
      <c r="H143" s="12">
        <f t="shared" si="72"/>
        <v>1037.4291426869472</v>
      </c>
      <c r="I143" s="12">
        <f t="shared" si="72"/>
        <v>1104.8620369615987</v>
      </c>
    </row>
    <row r="144" spans="1:9" x14ac:dyDescent="0.25">
      <c r="A144" t="s">
        <v>167</v>
      </c>
      <c r="C144" s="11">
        <v>78.900000000000006</v>
      </c>
      <c r="D144" s="11">
        <v>90.7</v>
      </c>
      <c r="E144" s="12">
        <f>D144-E100-E103</f>
        <v>90.170532499999993</v>
      </c>
      <c r="F144" s="12">
        <f t="shared" ref="F144:I144" si="73">E144-F100-F103</f>
        <v>96.031617112499987</v>
      </c>
      <c r="G144" s="12">
        <f t="shared" si="73"/>
        <v>102.27367222481247</v>
      </c>
      <c r="H144" s="12">
        <f t="shared" si="73"/>
        <v>108.92146091942529</v>
      </c>
      <c r="I144" s="12">
        <f t="shared" si="73"/>
        <v>116.00135587918794</v>
      </c>
    </row>
    <row r="145" spans="1:11" x14ac:dyDescent="0.25">
      <c r="A145" s="8" t="s">
        <v>168</v>
      </c>
      <c r="C145" s="12">
        <f>SUM(C141:C144)</f>
        <v>1479.9</v>
      </c>
      <c r="D145" s="12">
        <f>SUM(D141:D144)</f>
        <v>1550.2</v>
      </c>
      <c r="E145" s="12">
        <f t="shared" ref="E145:I145" si="74">SUM(E141:E144)</f>
        <v>2050.7294290722421</v>
      </c>
      <c r="F145" s="12">
        <f t="shared" si="74"/>
        <v>2619.7644023203138</v>
      </c>
      <c r="G145" s="12">
        <f t="shared" si="74"/>
        <v>3228.4637288627459</v>
      </c>
      <c r="H145" s="12">
        <f t="shared" si="74"/>
        <v>3888.7596203084445</v>
      </c>
      <c r="I145" s="12">
        <f t="shared" si="74"/>
        <v>4611.0536014284526</v>
      </c>
    </row>
    <row r="146" spans="1:11" x14ac:dyDescent="0.25">
      <c r="A146" s="38" t="s">
        <v>169</v>
      </c>
      <c r="C146" s="12">
        <f>SUM(C147:C151)</f>
        <v>941.50000000000011</v>
      </c>
      <c r="D146" s="12">
        <f>SUM(D147:D151)</f>
        <v>952.59999999999991</v>
      </c>
      <c r="E146" s="12">
        <f>SUM(E147:E151)</f>
        <v>1015.8806350567844</v>
      </c>
      <c r="F146" s="12">
        <f t="shared" ref="F146:I146" si="75">SUM(F147:F151)</f>
        <v>1081.3025829695689</v>
      </c>
      <c r="G146" s="12">
        <f t="shared" si="75"/>
        <v>1149.0050290739932</v>
      </c>
      <c r="H146" s="12">
        <f t="shared" si="75"/>
        <v>1219.1362057525146</v>
      </c>
      <c r="I146" s="12">
        <f t="shared" si="75"/>
        <v>1291.8539804924487</v>
      </c>
    </row>
    <row r="147" spans="1:11" x14ac:dyDescent="0.25">
      <c r="A147" s="18" t="s">
        <v>170</v>
      </c>
      <c r="C147" s="11">
        <v>62.6</v>
      </c>
      <c r="D147" s="11">
        <v>67.5</v>
      </c>
      <c r="E147" s="12">
        <f>D147</f>
        <v>67.5</v>
      </c>
      <c r="F147" s="12">
        <f t="shared" ref="F147:I147" si="76">E147</f>
        <v>67.5</v>
      </c>
      <c r="G147" s="12">
        <f t="shared" si="76"/>
        <v>67.5</v>
      </c>
      <c r="H147" s="12">
        <f t="shared" si="76"/>
        <v>67.5</v>
      </c>
      <c r="I147" s="12">
        <f t="shared" si="76"/>
        <v>67.5</v>
      </c>
    </row>
    <row r="148" spans="1:11" x14ac:dyDescent="0.25">
      <c r="A148" s="18" t="s">
        <v>171</v>
      </c>
      <c r="C148" s="11">
        <v>626.20000000000005</v>
      </c>
      <c r="D148" s="11">
        <v>658.5</v>
      </c>
      <c r="E148" s="12">
        <f>D148-(E109*1/3)</f>
        <v>719.24646400000006</v>
      </c>
      <c r="F148" s="12">
        <f t="shared" ref="F148:I148" si="77">E148-(F109*1/3)</f>
        <v>783.94144816000005</v>
      </c>
      <c r="G148" s="12">
        <f t="shared" si="77"/>
        <v>852.84160629040002</v>
      </c>
      <c r="H148" s="12">
        <f t="shared" si="77"/>
        <v>926.22027469927605</v>
      </c>
      <c r="I148" s="12">
        <f t="shared" si="77"/>
        <v>1004.3685565547289</v>
      </c>
    </row>
    <row r="149" spans="1:11" x14ac:dyDescent="0.25">
      <c r="A149" s="18" t="s">
        <v>172</v>
      </c>
      <c r="C149" s="11">
        <v>947.5</v>
      </c>
      <c r="D149" s="11">
        <v>1007.8</v>
      </c>
      <c r="E149" s="12">
        <f>D149-(E109*2/3)</f>
        <v>1129.2929279999998</v>
      </c>
      <c r="F149" s="12">
        <f t="shared" ref="F149:I149" si="78">E149-(F109*2/3)</f>
        <v>1258.6828963199998</v>
      </c>
      <c r="G149" s="12">
        <f t="shared" si="78"/>
        <v>1396.4832125807998</v>
      </c>
      <c r="H149" s="12">
        <f t="shared" si="78"/>
        <v>1543.2405493985518</v>
      </c>
      <c r="I149" s="12">
        <f t="shared" si="78"/>
        <v>1699.5371131094576</v>
      </c>
    </row>
    <row r="150" spans="1:11" x14ac:dyDescent="0.25">
      <c r="A150" s="18" t="s">
        <v>173</v>
      </c>
      <c r="C150" s="11">
        <v>105.1</v>
      </c>
      <c r="D150" s="11">
        <v>85.8</v>
      </c>
      <c r="E150" s="12">
        <f>D150</f>
        <v>85.8</v>
      </c>
      <c r="F150" s="12">
        <f>E150-(D150-E150)</f>
        <v>85.8</v>
      </c>
      <c r="G150" s="12">
        <f>F150-(E150-F150)</f>
        <v>85.8</v>
      </c>
      <c r="H150" s="12">
        <f>G150-(F150-G150)</f>
        <v>85.8</v>
      </c>
      <c r="I150" s="12">
        <f>H150-(G150-H150)</f>
        <v>85.8</v>
      </c>
      <c r="K150" s="12"/>
    </row>
    <row r="151" spans="1:11" x14ac:dyDescent="0.25">
      <c r="A151" s="18" t="s">
        <v>174</v>
      </c>
      <c r="C151" s="11">
        <v>-799.9</v>
      </c>
      <c r="D151" s="11">
        <v>-867</v>
      </c>
      <c r="E151" s="12">
        <f>D151-E204-E207-SUM(E213:E217)</f>
        <v>-985.95875694321546</v>
      </c>
      <c r="F151" s="12">
        <f t="shared" ref="F151:I151" si="79">E151-F204-F207-SUM(F213:F217)</f>
        <v>-1114.621761510431</v>
      </c>
      <c r="G151" s="12">
        <f t="shared" si="79"/>
        <v>-1253.6197897972065</v>
      </c>
      <c r="H151" s="12">
        <f t="shared" si="79"/>
        <v>-1403.6246183453134</v>
      </c>
      <c r="I151" s="12">
        <f t="shared" si="79"/>
        <v>-1565.3516891717379</v>
      </c>
      <c r="K151" s="12"/>
    </row>
    <row r="152" spans="1:11" x14ac:dyDescent="0.25">
      <c r="A152" t="s">
        <v>175</v>
      </c>
      <c r="C152" s="11">
        <v>4527.8999999999996</v>
      </c>
      <c r="D152" s="11">
        <v>4505.2</v>
      </c>
      <c r="E152" s="12">
        <f>D152-E108</f>
        <v>4505.2</v>
      </c>
      <c r="F152" s="12">
        <f t="shared" ref="F152:I152" si="80">E152-F108</f>
        <v>4505.2</v>
      </c>
      <c r="G152" s="12">
        <f t="shared" si="80"/>
        <v>4505.2</v>
      </c>
      <c r="H152" s="12">
        <f t="shared" si="80"/>
        <v>4505.2</v>
      </c>
      <c r="I152" s="12">
        <f t="shared" si="80"/>
        <v>4505.2</v>
      </c>
    </row>
    <row r="153" spans="1:11" x14ac:dyDescent="0.25">
      <c r="A153" t="s">
        <v>176</v>
      </c>
      <c r="C153" s="30">
        <f>SUM(C154:C156)</f>
        <v>2873.3</v>
      </c>
      <c r="D153" s="30">
        <f>SUM(D154:D156)</f>
        <v>2847</v>
      </c>
      <c r="E153" s="30">
        <f t="shared" ref="E153:I153" si="81">SUM(E154:E156)</f>
        <v>2826.6</v>
      </c>
      <c r="F153" s="30">
        <f t="shared" si="81"/>
        <v>2806.2</v>
      </c>
      <c r="G153" s="30">
        <f t="shared" si="81"/>
        <v>2785.8</v>
      </c>
      <c r="H153" s="30">
        <f t="shared" si="81"/>
        <v>2765.4</v>
      </c>
      <c r="I153" s="30">
        <f t="shared" si="81"/>
        <v>2745</v>
      </c>
    </row>
    <row r="154" spans="1:11" x14ac:dyDescent="0.25">
      <c r="A154" s="18" t="s">
        <v>125</v>
      </c>
      <c r="C154" s="11">
        <v>311.3</v>
      </c>
      <c r="D154" s="11">
        <v>308.3</v>
      </c>
      <c r="E154" s="12">
        <f>D154</f>
        <v>308.3</v>
      </c>
      <c r="F154" s="12">
        <f>E154-(D154-E154)</f>
        <v>308.3</v>
      </c>
      <c r="G154" s="12">
        <f>F154-(E154-F154)</f>
        <v>308.3</v>
      </c>
      <c r="H154" s="12">
        <f>G154-(F154-G154)</f>
        <v>308.3</v>
      </c>
      <c r="I154" s="12">
        <f>H154-(G154-H154)</f>
        <v>308.3</v>
      </c>
    </row>
    <row r="155" spans="1:11" x14ac:dyDescent="0.25">
      <c r="A155" s="18" t="s">
        <v>180</v>
      </c>
      <c r="C155" s="11">
        <v>-84.9</v>
      </c>
      <c r="D155" s="11">
        <v>-104.3</v>
      </c>
      <c r="E155" s="12">
        <f>D155-E212</f>
        <v>-124.69999999999999</v>
      </c>
      <c r="F155" s="12">
        <f t="shared" ref="F155:I155" si="82">E155-F212</f>
        <v>-145.1</v>
      </c>
      <c r="G155" s="12">
        <f t="shared" si="82"/>
        <v>-165.5</v>
      </c>
      <c r="H155" s="12">
        <f t="shared" si="82"/>
        <v>-185.9</v>
      </c>
      <c r="I155" s="12">
        <f t="shared" si="82"/>
        <v>-206.3</v>
      </c>
      <c r="K155" s="12"/>
    </row>
    <row r="156" spans="1:11" x14ac:dyDescent="0.25">
      <c r="A156" s="18" t="s">
        <v>181</v>
      </c>
      <c r="C156" s="11">
        <v>2646.9</v>
      </c>
      <c r="D156" s="11">
        <v>2643</v>
      </c>
      <c r="E156" s="12">
        <f>D156</f>
        <v>2643</v>
      </c>
      <c r="F156" s="12">
        <f>E156-(D156-E156)</f>
        <v>2643</v>
      </c>
      <c r="G156" s="12">
        <f>F156-(E156-F156)</f>
        <v>2643</v>
      </c>
      <c r="H156" s="12">
        <f>G156-(F156-G156)</f>
        <v>2643</v>
      </c>
      <c r="I156" s="12">
        <f>H156-(G156-H156)</f>
        <v>2643</v>
      </c>
    </row>
    <row r="157" spans="1:11" x14ac:dyDescent="0.25">
      <c r="A157" t="s">
        <v>177</v>
      </c>
      <c r="C157" s="12">
        <f>SUM(C158:C159)</f>
        <v>433.8</v>
      </c>
      <c r="D157" s="12">
        <f>SUM(D158:D159)</f>
        <v>507.1</v>
      </c>
      <c r="E157" s="12">
        <f t="shared" ref="E157:I157" si="83">SUM(E158:E159)</f>
        <v>491.82000000000005</v>
      </c>
      <c r="F157" s="12">
        <f t="shared" si="83"/>
        <v>476.54000000000008</v>
      </c>
      <c r="G157" s="12">
        <f t="shared" si="83"/>
        <v>461.26000000000005</v>
      </c>
      <c r="H157" s="12">
        <f t="shared" si="83"/>
        <v>445.98</v>
      </c>
      <c r="I157" s="12">
        <f t="shared" si="83"/>
        <v>430.70000000000005</v>
      </c>
    </row>
    <row r="158" spans="1:11" x14ac:dyDescent="0.25">
      <c r="A158" s="18" t="s">
        <v>179</v>
      </c>
      <c r="C158" s="11">
        <v>43.6</v>
      </c>
      <c r="D158" s="11">
        <v>76.400000000000006</v>
      </c>
      <c r="E158" s="12">
        <f>D158-E210</f>
        <v>61.120000000000005</v>
      </c>
      <c r="F158" s="12">
        <f t="shared" ref="F158:I158" si="84">E158-F210</f>
        <v>45.84</v>
      </c>
      <c r="G158" s="12">
        <f t="shared" si="84"/>
        <v>30.560000000000002</v>
      </c>
      <c r="H158" s="12">
        <f t="shared" si="84"/>
        <v>15.280000000000001</v>
      </c>
      <c r="I158" s="12">
        <f t="shared" si="84"/>
        <v>0</v>
      </c>
      <c r="K158" s="12"/>
    </row>
    <row r="159" spans="1:11" x14ac:dyDescent="0.25">
      <c r="A159" s="18" t="s">
        <v>177</v>
      </c>
      <c r="C159" s="11">
        <f>433.8-43.6</f>
        <v>390.2</v>
      </c>
      <c r="D159" s="11">
        <f>507.1-76.4</f>
        <v>430.70000000000005</v>
      </c>
      <c r="E159" s="12">
        <f>D159</f>
        <v>430.70000000000005</v>
      </c>
      <c r="F159" s="12">
        <f t="shared" ref="F159:I159" si="85">E159</f>
        <v>430.70000000000005</v>
      </c>
      <c r="G159" s="12">
        <f t="shared" si="85"/>
        <v>430.70000000000005</v>
      </c>
      <c r="H159" s="12">
        <f t="shared" si="85"/>
        <v>430.70000000000005</v>
      </c>
      <c r="I159" s="12">
        <f t="shared" si="85"/>
        <v>430.70000000000005</v>
      </c>
    </row>
    <row r="160" spans="1:11" x14ac:dyDescent="0.25">
      <c r="C160" s="11"/>
      <c r="D160" s="11"/>
    </row>
    <row r="161" spans="1:9" x14ac:dyDescent="0.25">
      <c r="A161" s="39" t="s">
        <v>178</v>
      </c>
      <c r="C161" s="12">
        <f>SUM(C145:C146)+SUM(C152:C153)+C157</f>
        <v>10256.4</v>
      </c>
      <c r="D161" s="12">
        <f>SUM(D145:D146)+SUM(D152:D153)+D157</f>
        <v>10362.1</v>
      </c>
      <c r="E161" s="12">
        <f t="shared" ref="E161:I161" si="86">SUM(E145:E146)+SUM(E152:E153)+E157</f>
        <v>10890.230064129026</v>
      </c>
      <c r="F161" s="12">
        <f t="shared" si="86"/>
        <v>11489.006985289883</v>
      </c>
      <c r="G161" s="12">
        <f t="shared" si="86"/>
        <v>12129.728757936738</v>
      </c>
      <c r="H161" s="12">
        <f t="shared" si="86"/>
        <v>12824.47582606096</v>
      </c>
      <c r="I161" s="12">
        <f t="shared" si="86"/>
        <v>13583.807581920901</v>
      </c>
    </row>
    <row r="162" spans="1:9" x14ac:dyDescent="0.25">
      <c r="A162" s="22" t="s">
        <v>182</v>
      </c>
    </row>
    <row r="163" spans="1:9" x14ac:dyDescent="0.25">
      <c r="A163" t="s">
        <v>183</v>
      </c>
      <c r="B163" s="12"/>
      <c r="C163" s="11">
        <v>560</v>
      </c>
      <c r="D163" s="11">
        <v>600.70000000000005</v>
      </c>
      <c r="E163" s="12">
        <f>D163+E115</f>
        <v>600.70000000000005</v>
      </c>
      <c r="F163" s="12">
        <f t="shared" ref="F163:I163" si="87">E163+F115</f>
        <v>600.70000000000005</v>
      </c>
      <c r="G163" s="12">
        <f t="shared" si="87"/>
        <v>600.70000000000005</v>
      </c>
      <c r="H163" s="12">
        <f t="shared" si="87"/>
        <v>600.70000000000005</v>
      </c>
      <c r="I163" s="12">
        <f t="shared" si="87"/>
        <v>600.70000000000005</v>
      </c>
    </row>
    <row r="164" spans="1:9" x14ac:dyDescent="0.25">
      <c r="A164" t="s">
        <v>184</v>
      </c>
      <c r="B164" s="12"/>
      <c r="C164" s="11">
        <v>83.5</v>
      </c>
      <c r="D164" s="11">
        <v>97.7</v>
      </c>
      <c r="E164" s="12">
        <f>D164</f>
        <v>97.7</v>
      </c>
      <c r="F164" s="12">
        <f t="shared" ref="F164:I164" si="88">E164</f>
        <v>97.7</v>
      </c>
      <c r="G164" s="12">
        <f t="shared" si="88"/>
        <v>97.7</v>
      </c>
      <c r="H164" s="12">
        <f t="shared" si="88"/>
        <v>97.7</v>
      </c>
      <c r="I164" s="12">
        <f t="shared" si="88"/>
        <v>97.7</v>
      </c>
    </row>
    <row r="165" spans="1:9" x14ac:dyDescent="0.25">
      <c r="A165" t="s">
        <v>185</v>
      </c>
      <c r="B165" s="11"/>
      <c r="C165" s="11">
        <v>710</v>
      </c>
      <c r="D165" s="11">
        <v>846.9</v>
      </c>
      <c r="E165" s="12">
        <f>D165+E101</f>
        <v>844.36003020833323</v>
      </c>
      <c r="F165" s="12">
        <f>E165+F101</f>
        <v>899.24343217187482</v>
      </c>
      <c r="G165" s="12">
        <f>F165+G101</f>
        <v>957.69425526304667</v>
      </c>
      <c r="H165" s="12">
        <f>G165+H101</f>
        <v>1019.9443818551446</v>
      </c>
      <c r="I165" s="12">
        <f>H165+I101</f>
        <v>1086.2407666757292</v>
      </c>
    </row>
    <row r="166" spans="1:9" x14ac:dyDescent="0.25">
      <c r="A166" t="s">
        <v>186</v>
      </c>
      <c r="C166" s="11">
        <v>648.20000000000005</v>
      </c>
      <c r="D166" s="11">
        <v>609.1</v>
      </c>
      <c r="E166" s="12">
        <f>D166+E102</f>
        <v>676.27899374999993</v>
      </c>
      <c r="F166" s="12">
        <f t="shared" ref="F166:I166" si="89">E166+F102</f>
        <v>720.23712834374987</v>
      </c>
      <c r="G166" s="12">
        <f t="shared" si="89"/>
        <v>767.0525416860936</v>
      </c>
      <c r="H166" s="12">
        <f t="shared" si="89"/>
        <v>816.91095689568965</v>
      </c>
      <c r="I166" s="12">
        <f t="shared" si="89"/>
        <v>870.01016909390955</v>
      </c>
    </row>
    <row r="167" spans="1:9" x14ac:dyDescent="0.25">
      <c r="A167" s="8" t="s">
        <v>187</v>
      </c>
      <c r="C167" s="12">
        <f>SUM(C163:C166)</f>
        <v>2001.7</v>
      </c>
      <c r="D167" s="12">
        <f>SUM(D163:D166)</f>
        <v>2154.4</v>
      </c>
      <c r="E167" s="12">
        <f t="shared" ref="E167:I167" si="90">SUM(E163:E166)</f>
        <v>2219.039023958333</v>
      </c>
      <c r="F167" s="12">
        <f t="shared" si="90"/>
        <v>2317.8805605156249</v>
      </c>
      <c r="G167" s="12">
        <f t="shared" si="90"/>
        <v>2423.1467969491405</v>
      </c>
      <c r="H167" s="12">
        <f t="shared" si="90"/>
        <v>2535.2553387508342</v>
      </c>
      <c r="I167" s="12">
        <f t="shared" si="90"/>
        <v>2654.6509357696386</v>
      </c>
    </row>
    <row r="168" spans="1:9" x14ac:dyDescent="0.25">
      <c r="A168" s="38" t="s">
        <v>188</v>
      </c>
      <c r="C168" s="11">
        <v>4052.9</v>
      </c>
      <c r="D168" s="11">
        <v>3625.8</v>
      </c>
      <c r="E168" s="12">
        <f>D168+E118+E116+E117</f>
        <v>3625.8</v>
      </c>
      <c r="F168" s="12">
        <f t="shared" ref="F168:I168" si="91">E168+F118+F116+F117</f>
        <v>3625.8</v>
      </c>
      <c r="G168" s="12">
        <f t="shared" si="91"/>
        <v>3625.8</v>
      </c>
      <c r="H168" s="12">
        <f t="shared" si="91"/>
        <v>3625.8</v>
      </c>
      <c r="I168" s="12">
        <f t="shared" si="91"/>
        <v>3625.8</v>
      </c>
    </row>
    <row r="169" spans="1:9" x14ac:dyDescent="0.25">
      <c r="A169" s="38" t="s">
        <v>63</v>
      </c>
      <c r="C169" s="11">
        <v>706.5</v>
      </c>
      <c r="D169" s="11">
        <v>697.6</v>
      </c>
      <c r="E169" s="12">
        <f>D169+E94</f>
        <v>725.02295787810488</v>
      </c>
      <c r="F169" s="12">
        <f t="shared" ref="F169:I169" si="92">E169+F94</f>
        <v>740.64238115708122</v>
      </c>
      <c r="G169" s="12">
        <f t="shared" si="92"/>
        <v>740.39796487675426</v>
      </c>
      <c r="H169" s="12">
        <f t="shared" si="92"/>
        <v>732.61258811054074</v>
      </c>
      <c r="I169" s="12">
        <f t="shared" si="92"/>
        <v>723.8438364791898</v>
      </c>
    </row>
    <row r="170" spans="1:9" x14ac:dyDescent="0.25">
      <c r="A170" s="38" t="s">
        <v>189</v>
      </c>
      <c r="C170" s="11">
        <v>313.10000000000002</v>
      </c>
      <c r="D170" s="11">
        <v>427.6</v>
      </c>
      <c r="E170" s="12">
        <f>D170+E119+E89+E120</f>
        <v>427.6</v>
      </c>
      <c r="F170" s="12">
        <f t="shared" ref="F170:I170" si="93">E170+F119+F89+F120</f>
        <v>427.6</v>
      </c>
      <c r="G170" s="12">
        <f t="shared" si="93"/>
        <v>427.6</v>
      </c>
      <c r="H170" s="12">
        <f t="shared" si="93"/>
        <v>427.6</v>
      </c>
      <c r="I170" s="12">
        <f t="shared" si="93"/>
        <v>427.6</v>
      </c>
    </row>
    <row r="171" spans="1:9" x14ac:dyDescent="0.25">
      <c r="A171" s="39" t="s">
        <v>190</v>
      </c>
      <c r="C171" s="12">
        <f>SUM(C167:C170)</f>
        <v>7074.2000000000007</v>
      </c>
      <c r="D171" s="12">
        <f>SUM(D167:D170)</f>
        <v>6905.4000000000015</v>
      </c>
      <c r="E171" s="12">
        <f t="shared" ref="E171:I171" si="94">SUM(E167:E170)</f>
        <v>6997.4619818364381</v>
      </c>
      <c r="F171" s="12">
        <f t="shared" si="94"/>
        <v>7111.9229416727067</v>
      </c>
      <c r="G171" s="12">
        <f t="shared" si="94"/>
        <v>7216.9447618258955</v>
      </c>
      <c r="H171" s="12">
        <f t="shared" si="94"/>
        <v>7321.2679268613756</v>
      </c>
      <c r="I171" s="12">
        <f t="shared" si="94"/>
        <v>7431.8947722488292</v>
      </c>
    </row>
    <row r="172" spans="1:9" x14ac:dyDescent="0.25">
      <c r="A172" s="22" t="s">
        <v>191</v>
      </c>
    </row>
    <row r="173" spans="1:9" x14ac:dyDescent="0.25">
      <c r="A173" s="38" t="s">
        <v>192</v>
      </c>
      <c r="C173" s="11">
        <v>400.2</v>
      </c>
      <c r="D173" s="11">
        <v>447.6</v>
      </c>
      <c r="E173" s="12">
        <f>D173</f>
        <v>447.6</v>
      </c>
      <c r="F173" s="12">
        <f t="shared" ref="F173:I173" si="95">E173</f>
        <v>447.6</v>
      </c>
      <c r="G173" s="12">
        <f t="shared" si="95"/>
        <v>447.6</v>
      </c>
      <c r="H173" s="12">
        <f t="shared" si="95"/>
        <v>447.6</v>
      </c>
      <c r="I173" s="12">
        <f t="shared" si="95"/>
        <v>447.6</v>
      </c>
    </row>
    <row r="174" spans="1:9" x14ac:dyDescent="0.25">
      <c r="A174" s="38" t="s">
        <v>193</v>
      </c>
      <c r="C174" s="11">
        <v>1370.4</v>
      </c>
      <c r="D174" s="11">
        <v>1441</v>
      </c>
      <c r="E174" s="12">
        <f>D174+E123</f>
        <v>1441</v>
      </c>
      <c r="F174" s="12">
        <f t="shared" ref="F174:I174" si="96">E174+F123+F124</f>
        <v>1441</v>
      </c>
      <c r="G174" s="12">
        <f t="shared" si="96"/>
        <v>1441</v>
      </c>
      <c r="H174" s="12">
        <f t="shared" si="96"/>
        <v>1441</v>
      </c>
      <c r="I174" s="12">
        <f t="shared" si="96"/>
        <v>1441</v>
      </c>
    </row>
    <row r="175" spans="1:9" x14ac:dyDescent="0.25">
      <c r="A175" s="38" t="s">
        <v>194</v>
      </c>
      <c r="C175" s="11">
        <v>1760.2</v>
      </c>
      <c r="D175" s="11">
        <v>2055.8000000000002</v>
      </c>
      <c r="E175" s="12">
        <f>D175+E87+E125+E124+E95+E104+E121</f>
        <v>2491.8680822925885</v>
      </c>
      <c r="F175" s="12">
        <f t="shared" ref="F175:I175" si="97">E175+F87+F125+F124+F95+F104+F121</f>
        <v>2976.1840436171769</v>
      </c>
      <c r="G175" s="12">
        <f t="shared" si="97"/>
        <v>3511.8839961108451</v>
      </c>
      <c r="H175" s="12">
        <f t="shared" si="97"/>
        <v>4102.3078991995835</v>
      </c>
      <c r="I175" s="12">
        <f t="shared" si="97"/>
        <v>4751.0128096720709</v>
      </c>
    </row>
    <row r="176" spans="1:9" x14ac:dyDescent="0.25">
      <c r="A176" s="38" t="s">
        <v>195</v>
      </c>
      <c r="C176" s="11">
        <v>-359.9</v>
      </c>
      <c r="D176" s="11">
        <v>-500.2</v>
      </c>
      <c r="E176" s="12">
        <f>D176+E129</f>
        <v>-500.2</v>
      </c>
      <c r="F176" s="12">
        <f t="shared" ref="F176:I176" si="98">E176+F129</f>
        <v>-500.2</v>
      </c>
      <c r="G176" s="12">
        <f t="shared" si="98"/>
        <v>-500.2</v>
      </c>
      <c r="H176" s="12">
        <f t="shared" si="98"/>
        <v>-500.2</v>
      </c>
      <c r="I176" s="12">
        <f t="shared" si="98"/>
        <v>-500.2</v>
      </c>
    </row>
    <row r="177" spans="1:9" x14ac:dyDescent="0.25">
      <c r="A177" s="39" t="s">
        <v>196</v>
      </c>
      <c r="C177" s="12">
        <f>SUM(C173:C176)</f>
        <v>3170.9</v>
      </c>
      <c r="D177" s="12">
        <f>SUM(D173:D176)</f>
        <v>3444.2000000000003</v>
      </c>
      <c r="E177" s="12">
        <f t="shared" ref="E177:I177" si="99">SUM(E173:E176)</f>
        <v>3880.2680822925886</v>
      </c>
      <c r="F177" s="12">
        <f t="shared" si="99"/>
        <v>4364.5840436171775</v>
      </c>
      <c r="G177" s="12">
        <f t="shared" si="99"/>
        <v>4900.2839961108448</v>
      </c>
      <c r="H177" s="12">
        <f t="shared" si="99"/>
        <v>5490.7078991995832</v>
      </c>
      <c r="I177" s="12">
        <f t="shared" si="99"/>
        <v>6139.4128096720715</v>
      </c>
    </row>
    <row r="178" spans="1:9" x14ac:dyDescent="0.25">
      <c r="A178" s="38" t="s">
        <v>197</v>
      </c>
      <c r="C178" s="11">
        <v>11.3</v>
      </c>
      <c r="D178" s="11">
        <v>12.5</v>
      </c>
      <c r="E178" s="12">
        <f>D178+E122</f>
        <v>12.5</v>
      </c>
      <c r="F178" s="12">
        <f t="shared" ref="F178:I178" si="100">E178+F122</f>
        <v>12.5</v>
      </c>
      <c r="G178" s="12">
        <f t="shared" si="100"/>
        <v>12.5</v>
      </c>
      <c r="H178" s="12">
        <f t="shared" si="100"/>
        <v>12.5</v>
      </c>
      <c r="I178" s="12">
        <f t="shared" si="100"/>
        <v>12.5</v>
      </c>
    </row>
    <row r="179" spans="1:9" x14ac:dyDescent="0.25">
      <c r="A179" s="39" t="s">
        <v>198</v>
      </c>
      <c r="C179" s="12">
        <f>SUM(C177:C178)</f>
        <v>3182.2000000000003</v>
      </c>
      <c r="D179" s="12">
        <f>SUM(D177:D178)</f>
        <v>3456.7000000000003</v>
      </c>
      <c r="E179" s="12">
        <f t="shared" ref="E179:I179" si="101">SUM(E177:E178)</f>
        <v>3892.7680822925886</v>
      </c>
      <c r="F179" s="12">
        <f t="shared" si="101"/>
        <v>4377.0840436171775</v>
      </c>
      <c r="G179" s="12">
        <f t="shared" si="101"/>
        <v>4912.7839961108448</v>
      </c>
      <c r="H179" s="12">
        <f t="shared" si="101"/>
        <v>5503.2078991995832</v>
      </c>
      <c r="I179" s="12">
        <f t="shared" si="101"/>
        <v>6151.9128096720715</v>
      </c>
    </row>
    <row r="180" spans="1:9" x14ac:dyDescent="0.25">
      <c r="A180" s="39" t="s">
        <v>199</v>
      </c>
      <c r="C180" s="12">
        <f>C171+C179</f>
        <v>10256.400000000001</v>
      </c>
      <c r="D180" s="12">
        <f>D171+D179</f>
        <v>10362.100000000002</v>
      </c>
      <c r="E180" s="12">
        <f t="shared" ref="E180:I180" si="102">E171+E179</f>
        <v>10890.230064129028</v>
      </c>
      <c r="F180" s="12">
        <f t="shared" si="102"/>
        <v>11489.006985289885</v>
      </c>
      <c r="G180" s="12">
        <f t="shared" si="102"/>
        <v>12129.72875793674</v>
      </c>
      <c r="H180" s="12">
        <f t="shared" si="102"/>
        <v>12824.47582606096</v>
      </c>
      <c r="I180" s="12">
        <f t="shared" si="102"/>
        <v>13583.807581920901</v>
      </c>
    </row>
    <row r="181" spans="1:9" x14ac:dyDescent="0.25">
      <c r="A181" s="43" t="s">
        <v>214</v>
      </c>
      <c r="C181" s="11" t="str">
        <f>IF(C161=C180,"","ERROR")</f>
        <v/>
      </c>
      <c r="D181" s="11" t="str">
        <f t="shared" ref="D181:I181" si="103">IF(D161=D180,"","ERROR")</f>
        <v/>
      </c>
      <c r="E181" s="11" t="str">
        <f t="shared" si="103"/>
        <v/>
      </c>
      <c r="F181" s="11" t="str">
        <f t="shared" si="103"/>
        <v/>
      </c>
      <c r="G181" s="11" t="str">
        <f t="shared" si="103"/>
        <v/>
      </c>
      <c r="H181" s="11" t="str">
        <f t="shared" si="103"/>
        <v/>
      </c>
      <c r="I181" s="11" t="str">
        <f t="shared" si="103"/>
        <v/>
      </c>
    </row>
    <row r="182" spans="1:9" x14ac:dyDescent="0.25">
      <c r="A182" s="18"/>
      <c r="C182" s="11"/>
      <c r="D182" s="11"/>
    </row>
    <row r="183" spans="1:9" x14ac:dyDescent="0.25">
      <c r="B183" s="2">
        <v>2017</v>
      </c>
      <c r="C183" s="2">
        <v>2018</v>
      </c>
      <c r="D183" s="2">
        <v>2019</v>
      </c>
      <c r="E183" s="2">
        <v>2020</v>
      </c>
      <c r="F183" s="2">
        <v>2021</v>
      </c>
      <c r="G183" s="2">
        <v>2022</v>
      </c>
      <c r="H183" s="2">
        <v>2023</v>
      </c>
      <c r="I183" s="2">
        <v>2024</v>
      </c>
    </row>
    <row r="184" spans="1:9" ht="15.75" thickBot="1" x14ac:dyDescent="0.3">
      <c r="A184" s="19" t="s">
        <v>107</v>
      </c>
      <c r="B184" s="20" t="s">
        <v>54</v>
      </c>
      <c r="C184" s="20" t="s">
        <v>54</v>
      </c>
      <c r="D184" s="20" t="s">
        <v>54</v>
      </c>
      <c r="E184" s="20" t="s">
        <v>106</v>
      </c>
      <c r="F184" s="20" t="s">
        <v>106</v>
      </c>
      <c r="G184" s="20" t="s">
        <v>106</v>
      </c>
      <c r="H184" s="20" t="s">
        <v>106</v>
      </c>
      <c r="I184" s="20" t="s">
        <v>106</v>
      </c>
    </row>
    <row r="185" spans="1:9" x14ac:dyDescent="0.25">
      <c r="A185" t="s">
        <v>117</v>
      </c>
      <c r="E185" s="12">
        <f>D148-(D148/(D148+D149))*(-D151)</f>
        <v>315.87292204284944</v>
      </c>
    </row>
    <row r="186" spans="1:9" x14ac:dyDescent="0.25">
      <c r="A186" t="s">
        <v>118</v>
      </c>
      <c r="E186" s="12">
        <f>D149-(D149/(D148+D149))*(-D151)</f>
        <v>483.42707795715057</v>
      </c>
    </row>
    <row r="187" spans="1:9" x14ac:dyDescent="0.25">
      <c r="A187" t="s">
        <v>121</v>
      </c>
      <c r="E187" s="12">
        <f>D158</f>
        <v>76.400000000000006</v>
      </c>
      <c r="F187" s="25"/>
    </row>
    <row r="188" spans="1:9" x14ac:dyDescent="0.25">
      <c r="A188" t="s">
        <v>123</v>
      </c>
      <c r="E188" s="12">
        <f>SUM(D154:D155)</f>
        <v>204</v>
      </c>
      <c r="F188" s="25"/>
    </row>
    <row r="189" spans="1:9" x14ac:dyDescent="0.25">
      <c r="A189" t="s">
        <v>108</v>
      </c>
      <c r="E189" s="12">
        <f>-E109</f>
        <v>182.23939200000001</v>
      </c>
      <c r="F189" s="12">
        <f>-F109</f>
        <v>194.08495247999997</v>
      </c>
      <c r="G189" s="12">
        <f>-G109</f>
        <v>206.70047439119998</v>
      </c>
      <c r="H189" s="12">
        <f>-H109</f>
        <v>220.13600522662796</v>
      </c>
      <c r="I189" s="12">
        <f>-I109</f>
        <v>234.44484556635877</v>
      </c>
    </row>
    <row r="190" spans="1:9" x14ac:dyDescent="0.25">
      <c r="A190" s="22" t="s">
        <v>109</v>
      </c>
    </row>
    <row r="191" spans="1:9" x14ac:dyDescent="0.25">
      <c r="A191" s="8" t="s">
        <v>126</v>
      </c>
      <c r="E191" s="29">
        <v>20</v>
      </c>
    </row>
    <row r="192" spans="1:9" x14ac:dyDescent="0.25">
      <c r="A192" s="8" t="s">
        <v>146</v>
      </c>
      <c r="E192" s="31">
        <v>24</v>
      </c>
    </row>
    <row r="193" spans="1:9" x14ac:dyDescent="0.25">
      <c r="A193" s="8" t="s">
        <v>127</v>
      </c>
      <c r="E193" s="29">
        <v>50</v>
      </c>
    </row>
    <row r="194" spans="1:9" x14ac:dyDescent="0.25">
      <c r="A194" s="8" t="s">
        <v>128</v>
      </c>
      <c r="E194" s="29">
        <v>3</v>
      </c>
    </row>
    <row r="195" spans="1:9" x14ac:dyDescent="0.25">
      <c r="A195" s="8" t="s">
        <v>147</v>
      </c>
      <c r="E195" s="31">
        <v>5</v>
      </c>
    </row>
    <row r="196" spans="1:9" x14ac:dyDescent="0.25">
      <c r="A196" s="8" t="s">
        <v>129</v>
      </c>
      <c r="E196" s="29">
        <v>12</v>
      </c>
    </row>
    <row r="197" spans="1:9" x14ac:dyDescent="0.25">
      <c r="A197" s="8" t="s">
        <v>130</v>
      </c>
      <c r="E197" s="29">
        <v>3</v>
      </c>
    </row>
    <row r="198" spans="1:9" x14ac:dyDescent="0.25">
      <c r="A198" s="8" t="s">
        <v>148</v>
      </c>
      <c r="E198" s="31">
        <v>5</v>
      </c>
    </row>
    <row r="199" spans="1:9" x14ac:dyDescent="0.25">
      <c r="A199" s="8" t="s">
        <v>131</v>
      </c>
      <c r="E199" s="29">
        <v>13</v>
      </c>
    </row>
    <row r="200" spans="1:9" x14ac:dyDescent="0.25">
      <c r="A200" s="8" t="s">
        <v>124</v>
      </c>
      <c r="E200" s="29">
        <v>10</v>
      </c>
    </row>
    <row r="201" spans="1:9" x14ac:dyDescent="0.25">
      <c r="A201" s="8" t="s">
        <v>110</v>
      </c>
      <c r="E201" s="29">
        <v>20</v>
      </c>
      <c r="F201" s="29">
        <v>20</v>
      </c>
      <c r="G201" s="29">
        <v>20</v>
      </c>
      <c r="H201" s="29">
        <v>20</v>
      </c>
      <c r="I201" s="29">
        <v>20</v>
      </c>
    </row>
    <row r="202" spans="1:9" x14ac:dyDescent="0.25">
      <c r="A202" s="22" t="s">
        <v>111</v>
      </c>
    </row>
    <row r="203" spans="1:9" x14ac:dyDescent="0.25">
      <c r="A203" t="s">
        <v>133</v>
      </c>
      <c r="E203" s="30">
        <f>$E$185/$E$191</f>
        <v>15.793646102142471</v>
      </c>
      <c r="F203" s="30">
        <f t="shared" ref="F203:I203" si="104">$E$185/$E$191</f>
        <v>15.793646102142471</v>
      </c>
      <c r="G203" s="30">
        <f t="shared" si="104"/>
        <v>15.793646102142471</v>
      </c>
      <c r="H203" s="30">
        <f t="shared" si="104"/>
        <v>15.793646102142471</v>
      </c>
      <c r="I203" s="30">
        <f t="shared" si="104"/>
        <v>15.793646102142471</v>
      </c>
    </row>
    <row r="204" spans="1:9" x14ac:dyDescent="0.25">
      <c r="A204" t="s">
        <v>143</v>
      </c>
      <c r="E204" s="30">
        <f>$E$185/$E$192</f>
        <v>13.161371751785394</v>
      </c>
      <c r="F204" s="30">
        <f>$E$185/$E$192</f>
        <v>13.161371751785394</v>
      </c>
      <c r="G204" s="30">
        <f>$E$185/$E$192</f>
        <v>13.161371751785394</v>
      </c>
      <c r="H204" s="30">
        <f>$E$185/$E$192</f>
        <v>13.161371751785394</v>
      </c>
      <c r="I204" s="30">
        <f>$E$185/$E$192</f>
        <v>13.161371751785394</v>
      </c>
    </row>
    <row r="205" spans="1:9" x14ac:dyDescent="0.25">
      <c r="A205" t="s">
        <v>134</v>
      </c>
      <c r="E205" s="30">
        <f>$E$185/$E$193</f>
        <v>6.3174584408569885</v>
      </c>
      <c r="F205" s="30">
        <f t="shared" ref="F205:I205" si="105">$E$185/$E$193</f>
        <v>6.3174584408569885</v>
      </c>
      <c r="G205" s="30">
        <f t="shared" si="105"/>
        <v>6.3174584408569885</v>
      </c>
      <c r="H205" s="30">
        <f t="shared" si="105"/>
        <v>6.3174584408569885</v>
      </c>
      <c r="I205" s="30">
        <f t="shared" si="105"/>
        <v>6.3174584408569885</v>
      </c>
    </row>
    <row r="206" spans="1:9" x14ac:dyDescent="0.25">
      <c r="A206" t="s">
        <v>135</v>
      </c>
      <c r="E206" s="30">
        <f>$E$186/$E$194</f>
        <v>161.1423593190502</v>
      </c>
      <c r="F206" s="30">
        <f t="shared" ref="F206:I206" si="106">$E$186/$E$194</f>
        <v>161.1423593190502</v>
      </c>
      <c r="G206" s="30">
        <f t="shared" si="106"/>
        <v>161.1423593190502</v>
      </c>
      <c r="H206" s="30">
        <f t="shared" si="106"/>
        <v>161.1423593190502</v>
      </c>
      <c r="I206" s="30">
        <f t="shared" si="106"/>
        <v>161.1423593190502</v>
      </c>
    </row>
    <row r="207" spans="1:9" x14ac:dyDescent="0.25">
      <c r="A207" t="s">
        <v>144</v>
      </c>
      <c r="E207" s="30">
        <f>$E$186/$E$195</f>
        <v>96.685415591430115</v>
      </c>
      <c r="F207" s="30">
        <f>$E$186/$E$195</f>
        <v>96.685415591430115</v>
      </c>
      <c r="G207" s="30">
        <f>$E$186/$E$195</f>
        <v>96.685415591430115</v>
      </c>
      <c r="H207" s="30">
        <f>$E$186/$E$195</f>
        <v>96.685415591430115</v>
      </c>
      <c r="I207" s="30">
        <f>$E$186/$E$195</f>
        <v>96.685415591430115</v>
      </c>
    </row>
    <row r="208" spans="1:9" x14ac:dyDescent="0.25">
      <c r="A208" t="s">
        <v>136</v>
      </c>
      <c r="E208" s="30">
        <f>$E$186/$E$196</f>
        <v>40.28558982976255</v>
      </c>
      <c r="F208" s="30">
        <f t="shared" ref="F208:I208" si="107">$E$186/$E$196</f>
        <v>40.28558982976255</v>
      </c>
      <c r="G208" s="30">
        <f t="shared" si="107"/>
        <v>40.28558982976255</v>
      </c>
      <c r="H208" s="30">
        <f t="shared" si="107"/>
        <v>40.28558982976255</v>
      </c>
      <c r="I208" s="30">
        <f t="shared" si="107"/>
        <v>40.28558982976255</v>
      </c>
    </row>
    <row r="209" spans="1:9" x14ac:dyDescent="0.25">
      <c r="A209" t="s">
        <v>137</v>
      </c>
      <c r="E209" s="30">
        <f>$E$187/$E$197</f>
        <v>25.466666666666669</v>
      </c>
      <c r="F209" s="30">
        <f t="shared" ref="F209:I209" si="108">$E$187/$E$197</f>
        <v>25.466666666666669</v>
      </c>
      <c r="G209" s="30">
        <f t="shared" si="108"/>
        <v>25.466666666666669</v>
      </c>
      <c r="H209" s="30">
        <f t="shared" si="108"/>
        <v>25.466666666666669</v>
      </c>
      <c r="I209" s="30">
        <f t="shared" si="108"/>
        <v>25.466666666666669</v>
      </c>
    </row>
    <row r="210" spans="1:9" x14ac:dyDescent="0.25">
      <c r="A210" t="s">
        <v>145</v>
      </c>
      <c r="E210" s="30">
        <f>$E$187/$E$198</f>
        <v>15.280000000000001</v>
      </c>
      <c r="F210" s="30">
        <f t="shared" ref="F210:I210" si="109">$E$187/$E$198</f>
        <v>15.280000000000001</v>
      </c>
      <c r="G210" s="30">
        <f t="shared" si="109"/>
        <v>15.280000000000001</v>
      </c>
      <c r="H210" s="30">
        <f t="shared" si="109"/>
        <v>15.280000000000001</v>
      </c>
      <c r="I210" s="30">
        <f t="shared" si="109"/>
        <v>15.280000000000001</v>
      </c>
    </row>
    <row r="211" spans="1:9" x14ac:dyDescent="0.25">
      <c r="A211" t="s">
        <v>138</v>
      </c>
      <c r="E211" s="30">
        <f>$E$187/$E$199</f>
        <v>5.8769230769230774</v>
      </c>
      <c r="F211" s="30">
        <f t="shared" ref="F211:I211" si="110">$E$187/$E$199</f>
        <v>5.8769230769230774</v>
      </c>
      <c r="G211" s="30">
        <f t="shared" si="110"/>
        <v>5.8769230769230774</v>
      </c>
      <c r="H211" s="30">
        <f t="shared" si="110"/>
        <v>5.8769230769230774</v>
      </c>
      <c r="I211" s="30">
        <f t="shared" si="110"/>
        <v>5.8769230769230774</v>
      </c>
    </row>
    <row r="212" spans="1:9" x14ac:dyDescent="0.25">
      <c r="A212" t="s">
        <v>125</v>
      </c>
      <c r="E212" s="30">
        <f>$E$188/$E$200</f>
        <v>20.399999999999999</v>
      </c>
      <c r="F212" s="30">
        <f>$E$188/$E$200</f>
        <v>20.399999999999999</v>
      </c>
      <c r="G212" s="30">
        <f>$E$188/$E$200</f>
        <v>20.399999999999999</v>
      </c>
      <c r="H212" s="30">
        <f>$E$188/$E$200</f>
        <v>20.399999999999999</v>
      </c>
      <c r="I212" s="30">
        <f>$E$188/$E$200</f>
        <v>20.399999999999999</v>
      </c>
    </row>
    <row r="213" spans="1:9" x14ac:dyDescent="0.25">
      <c r="A213" t="s">
        <v>112</v>
      </c>
      <c r="E213" s="30">
        <f>$E$189/$E$201</f>
        <v>9.1119696000000001</v>
      </c>
      <c r="F213" s="30">
        <f>$E$189/$E$201</f>
        <v>9.1119696000000001</v>
      </c>
      <c r="G213" s="30">
        <f>$E$189/$E$201</f>
        <v>9.1119696000000001</v>
      </c>
      <c r="H213" s="30">
        <f>$E$189/$E$201</f>
        <v>9.1119696000000001</v>
      </c>
      <c r="I213" s="30">
        <f>$E$189/$E$201</f>
        <v>9.1119696000000001</v>
      </c>
    </row>
    <row r="214" spans="1:9" x14ac:dyDescent="0.25">
      <c r="A214" t="s">
        <v>113</v>
      </c>
      <c r="E214" s="30"/>
      <c r="F214" s="30">
        <f>$F$189/$F$201</f>
        <v>9.7042476239999989</v>
      </c>
      <c r="G214" s="30">
        <f>$F$189/$F$201</f>
        <v>9.7042476239999989</v>
      </c>
      <c r="H214" s="30">
        <f>$F$189/$F$201</f>
        <v>9.7042476239999989</v>
      </c>
      <c r="I214" s="30">
        <f>$F$189/$F$201</f>
        <v>9.7042476239999989</v>
      </c>
    </row>
    <row r="215" spans="1:9" x14ac:dyDescent="0.25">
      <c r="A215" t="s">
        <v>114</v>
      </c>
      <c r="E215" s="30"/>
      <c r="F215" s="30"/>
      <c r="G215" s="30">
        <f>$G$189/$G$201</f>
        <v>10.335023719559999</v>
      </c>
      <c r="H215" s="30">
        <f>$G$189/$G$201</f>
        <v>10.335023719559999</v>
      </c>
      <c r="I215" s="30">
        <f>$G$189/$G$201</f>
        <v>10.335023719559999</v>
      </c>
    </row>
    <row r="216" spans="1:9" x14ac:dyDescent="0.25">
      <c r="A216" t="s">
        <v>115</v>
      </c>
      <c r="E216" s="30"/>
      <c r="F216" s="30"/>
      <c r="G216" s="30"/>
      <c r="H216" s="30">
        <f>$H$189/$H$201</f>
        <v>11.006800261331398</v>
      </c>
      <c r="I216" s="30">
        <f>$H$189/$H$201</f>
        <v>11.006800261331398</v>
      </c>
    </row>
    <row r="217" spans="1:9" x14ac:dyDescent="0.25">
      <c r="A217" t="s">
        <v>116</v>
      </c>
      <c r="E217" s="30"/>
      <c r="F217" s="30"/>
      <c r="G217" s="30"/>
      <c r="H217" s="30"/>
      <c r="I217" s="30">
        <f>$I$189/$I$201</f>
        <v>11.722242278317939</v>
      </c>
    </row>
    <row r="218" spans="1:9" x14ac:dyDescent="0.25">
      <c r="A218" s="22" t="s">
        <v>142</v>
      </c>
      <c r="E218" s="33">
        <f>E204+E207+E210+E212+SUM(E$213:E$217)</f>
        <v>154.63875694321553</v>
      </c>
      <c r="F218" s="33">
        <f t="shared" ref="F218:I218" si="111">F204+F207+F210+F212+SUM(F213:F217)</f>
        <v>164.34300456721553</v>
      </c>
      <c r="G218" s="33">
        <f t="shared" si="111"/>
        <v>174.67802828677551</v>
      </c>
      <c r="H218" s="33">
        <f t="shared" si="111"/>
        <v>185.68482854810691</v>
      </c>
      <c r="I218" s="33">
        <f t="shared" si="111"/>
        <v>197.40707082642484</v>
      </c>
    </row>
    <row r="219" spans="1:9" x14ac:dyDescent="0.25">
      <c r="A219" s="22" t="s">
        <v>132</v>
      </c>
      <c r="E219" s="30">
        <f>E205+E208+E211+E212+SUM(E$213:E$217)</f>
        <v>81.991940947542602</v>
      </c>
      <c r="F219" s="30">
        <f t="shared" ref="F219:I219" si="112">F205+F208+F211+F212+SUM(F$213:F$217)</f>
        <v>91.696188571542606</v>
      </c>
      <c r="G219" s="30">
        <f t="shared" si="112"/>
        <v>102.03121229110261</v>
      </c>
      <c r="H219" s="30">
        <f t="shared" si="112"/>
        <v>113.038012552434</v>
      </c>
      <c r="I219" s="30">
        <f t="shared" si="112"/>
        <v>124.76025483075195</v>
      </c>
    </row>
    <row r="220" spans="1:9" x14ac:dyDescent="0.25">
      <c r="A220" s="22" t="s">
        <v>139</v>
      </c>
      <c r="E220" s="30">
        <f>E203+E206+E209+E212+SUM(E$213:E$217)</f>
        <v>231.91464168785936</v>
      </c>
      <c r="F220" s="30">
        <f t="shared" ref="F220:I220" si="113">F203+F206+F209+F212+SUM(F$213:F$217)</f>
        <v>241.61888931185933</v>
      </c>
      <c r="G220" s="30">
        <f t="shared" si="113"/>
        <v>251.95391303141935</v>
      </c>
      <c r="H220" s="30">
        <f t="shared" si="113"/>
        <v>262.96071329275077</v>
      </c>
      <c r="I220" s="30">
        <f t="shared" si="113"/>
        <v>274.6829555710687</v>
      </c>
    </row>
    <row r="221" spans="1:9" x14ac:dyDescent="0.25">
      <c r="A221" s="22" t="s">
        <v>151</v>
      </c>
      <c r="E221" s="3">
        <f>108.7/105.9-1</f>
        <v>2.6440037771482405E-2</v>
      </c>
      <c r="F221" s="30"/>
      <c r="G221" s="30"/>
      <c r="H221" s="30"/>
      <c r="I221" s="30"/>
    </row>
    <row r="222" spans="1:9" x14ac:dyDescent="0.25">
      <c r="A222" s="22" t="s">
        <v>152</v>
      </c>
      <c r="E222" s="3">
        <f>D88/C88-1</f>
        <v>5.3749170537491953E-2</v>
      </c>
      <c r="G222" s="30"/>
      <c r="H222" s="30"/>
      <c r="I222" s="30"/>
    </row>
    <row r="223" spans="1:9" x14ac:dyDescent="0.25">
      <c r="A223" s="22" t="s">
        <v>149</v>
      </c>
      <c r="E223" s="30">
        <f>$D$88*(1+$E$221)</f>
        <v>162.99867799811142</v>
      </c>
      <c r="F223" s="30">
        <f>E223*(1+$E$221)</f>
        <v>167.3083692010832</v>
      </c>
      <c r="G223" s="30">
        <f t="shared" ref="G223:I223" si="114">F223*(1+$E$221)</f>
        <v>171.73200880224496</v>
      </c>
      <c r="H223" s="30">
        <f t="shared" si="114"/>
        <v>176.27260960154888</v>
      </c>
      <c r="I223" s="30">
        <f t="shared" si="114"/>
        <v>180.93326405749161</v>
      </c>
    </row>
    <row r="224" spans="1:9" x14ac:dyDescent="0.25">
      <c r="A224" s="22" t="s">
        <v>150</v>
      </c>
      <c r="E224" s="30">
        <f>$D$88*(1+$E$222)</f>
        <v>167.33536828135374</v>
      </c>
      <c r="F224" s="30">
        <f>E224*(1+$E$222)</f>
        <v>176.32950552806224</v>
      </c>
      <c r="G224" s="30">
        <f t="shared" ref="G224:I224" si="115">F224*(1+$E$222)</f>
        <v>185.8070701914817</v>
      </c>
      <c r="H224" s="30">
        <f t="shared" si="115"/>
        <v>195.79404609427539</v>
      </c>
      <c r="I224" s="30">
        <f t="shared" si="115"/>
        <v>206.31781366802215</v>
      </c>
    </row>
    <row r="225" spans="1:11" x14ac:dyDescent="0.25">
      <c r="A225" s="22" t="s">
        <v>140</v>
      </c>
      <c r="E225" s="30">
        <f>E219-E223</f>
        <v>-81.006737050568816</v>
      </c>
      <c r="F225" s="30">
        <f>F219-F223</f>
        <v>-75.612180629540589</v>
      </c>
      <c r="G225" s="30">
        <f>G219-G223</f>
        <v>-69.700796511142357</v>
      </c>
      <c r="H225" s="30">
        <f>H219-H223</f>
        <v>-63.234597049114882</v>
      </c>
      <c r="I225" s="30">
        <f>I219-I223</f>
        <v>-56.173009226739666</v>
      </c>
    </row>
    <row r="226" spans="1:11" x14ac:dyDescent="0.25">
      <c r="A226" s="22" t="s">
        <v>141</v>
      </c>
      <c r="E226" s="30">
        <f>E220-E223</f>
        <v>68.91596368974794</v>
      </c>
      <c r="F226" s="30">
        <f>F220-F223</f>
        <v>74.310520110776139</v>
      </c>
      <c r="G226" s="30">
        <f>G220-G223</f>
        <v>80.221904229174385</v>
      </c>
      <c r="H226" s="30">
        <f>H220-H223</f>
        <v>86.688103691201889</v>
      </c>
      <c r="I226" s="30">
        <f>I220-I223</f>
        <v>93.749691513577091</v>
      </c>
    </row>
    <row r="227" spans="1:11" x14ac:dyDescent="0.25">
      <c r="A227" s="22" t="s">
        <v>153</v>
      </c>
      <c r="E227" s="32" t="str">
        <f>IF(AND(E218&gt;=E223,E218&lt;=E224),"IN",IF(E218&lt;E223,"BELOW","ABOVE"))</f>
        <v>BELOW</v>
      </c>
      <c r="F227" s="32" t="str">
        <f t="shared" ref="F227:I227" si="116">IF(AND(F218&gt;=F223,F218&lt;=F224),"IN",IF(F218&lt;F223,"BELOW","ABOVE"))</f>
        <v>BELOW</v>
      </c>
      <c r="G227" s="32" t="str">
        <f t="shared" si="116"/>
        <v>IN</v>
      </c>
      <c r="H227" s="32" t="str">
        <f t="shared" si="116"/>
        <v>IN</v>
      </c>
      <c r="I227" s="32" t="str">
        <f t="shared" si="116"/>
        <v>IN</v>
      </c>
    </row>
    <row r="229" spans="1:11" x14ac:dyDescent="0.25">
      <c r="A229" s="22" t="s">
        <v>154</v>
      </c>
    </row>
    <row r="230" spans="1:11" x14ac:dyDescent="0.25">
      <c r="A230" s="22" t="s">
        <v>155</v>
      </c>
    </row>
    <row r="231" spans="1:11" x14ac:dyDescent="0.25">
      <c r="A231" s="8" t="s">
        <v>119</v>
      </c>
      <c r="E231" s="35">
        <v>6.5629999999999994E-2</v>
      </c>
      <c r="F231" s="35">
        <v>7.0000000000000007E-2</v>
      </c>
      <c r="G231" s="35">
        <v>6.4820000000000003E-2</v>
      </c>
      <c r="H231" s="35">
        <v>5.9959999999999999E-2</v>
      </c>
      <c r="I231" s="35">
        <v>5.5460000000000002E-2</v>
      </c>
    </row>
    <row r="232" spans="1:11" x14ac:dyDescent="0.25">
      <c r="A232" s="8" t="s">
        <v>120</v>
      </c>
      <c r="E232" s="35">
        <v>0.35</v>
      </c>
      <c r="F232" s="35">
        <v>0.26</v>
      </c>
      <c r="G232" s="35">
        <v>0.156</v>
      </c>
      <c r="H232" s="35">
        <v>0.1101</v>
      </c>
      <c r="I232" s="35">
        <v>0.1101</v>
      </c>
    </row>
    <row r="233" spans="1:11" x14ac:dyDescent="0.25">
      <c r="A233" s="8" t="s">
        <v>122</v>
      </c>
      <c r="E233" s="35">
        <v>0.35</v>
      </c>
      <c r="F233" s="35">
        <v>0.26</v>
      </c>
      <c r="G233" s="35">
        <v>0.156</v>
      </c>
      <c r="H233" s="35">
        <v>0.1101</v>
      </c>
      <c r="I233" s="35">
        <v>0.1101</v>
      </c>
    </row>
    <row r="234" spans="1:11" x14ac:dyDescent="0.25">
      <c r="A234" s="8" t="s">
        <v>124</v>
      </c>
      <c r="E234" s="35">
        <v>0.17499999999999999</v>
      </c>
      <c r="F234" s="35">
        <v>0.16500000000000001</v>
      </c>
      <c r="G234" s="35">
        <v>0.13200000000000001</v>
      </c>
      <c r="H234" s="35">
        <v>0.1056</v>
      </c>
      <c r="I234" s="35">
        <v>8.4500000000000006E-2</v>
      </c>
    </row>
    <row r="235" spans="1:11" x14ac:dyDescent="0.25">
      <c r="A235" s="8" t="s">
        <v>112</v>
      </c>
      <c r="E235" s="35">
        <v>6.5629999999999994E-2</v>
      </c>
      <c r="F235" s="35">
        <v>7.0000000000000007E-2</v>
      </c>
      <c r="G235" s="35">
        <v>6.4820000000000003E-2</v>
      </c>
      <c r="H235" s="35">
        <v>5.9959999999999999E-2</v>
      </c>
      <c r="I235" s="35">
        <v>5.5460000000000002E-2</v>
      </c>
    </row>
    <row r="236" spans="1:11" x14ac:dyDescent="0.25">
      <c r="A236" s="8" t="s">
        <v>113</v>
      </c>
      <c r="E236" s="36"/>
      <c r="F236" s="35">
        <v>6.5629999999999994E-2</v>
      </c>
      <c r="G236" s="35">
        <v>7.0000000000000007E-2</v>
      </c>
      <c r="H236" s="35">
        <v>6.4820000000000003E-2</v>
      </c>
      <c r="I236" s="35">
        <v>5.9959999999999999E-2</v>
      </c>
      <c r="J236" s="34"/>
    </row>
    <row r="237" spans="1:11" x14ac:dyDescent="0.25">
      <c r="A237" s="8" t="s">
        <v>114</v>
      </c>
      <c r="E237" s="36"/>
      <c r="F237" s="36"/>
      <c r="G237" s="35">
        <v>6.5629999999999994E-2</v>
      </c>
      <c r="H237" s="35">
        <v>7.0000000000000007E-2</v>
      </c>
      <c r="I237" s="35">
        <v>6.4820000000000003E-2</v>
      </c>
      <c r="J237" s="34"/>
    </row>
    <row r="238" spans="1:11" x14ac:dyDescent="0.25">
      <c r="A238" s="8" t="s">
        <v>115</v>
      </c>
      <c r="E238" s="36"/>
      <c r="F238" s="36"/>
      <c r="G238" s="36"/>
      <c r="H238" s="35">
        <v>6.5629999999999994E-2</v>
      </c>
      <c r="I238" s="35">
        <v>7.0000000000000007E-2</v>
      </c>
      <c r="J238" s="34"/>
    </row>
    <row r="239" spans="1:11" x14ac:dyDescent="0.25">
      <c r="A239" s="8" t="s">
        <v>116</v>
      </c>
      <c r="E239" s="36"/>
      <c r="F239" s="36"/>
      <c r="G239" s="36"/>
      <c r="H239" s="36"/>
      <c r="I239" s="35">
        <v>6.5629999999999994E-2</v>
      </c>
      <c r="J239" s="34"/>
      <c r="K239" s="34"/>
    </row>
    <row r="240" spans="1:11" x14ac:dyDescent="0.25">
      <c r="A240" s="22" t="s">
        <v>156</v>
      </c>
    </row>
    <row r="241" spans="1:9" x14ac:dyDescent="0.25">
      <c r="A241" s="8" t="s">
        <v>119</v>
      </c>
      <c r="E241" s="30">
        <f>$E$185*E231</f>
        <v>20.730739873672206</v>
      </c>
      <c r="F241" s="30">
        <f t="shared" ref="F241:I241" si="117">$E$185*F231</f>
        <v>22.111104542999463</v>
      </c>
      <c r="G241" s="30">
        <f t="shared" si="117"/>
        <v>20.474882806817501</v>
      </c>
      <c r="H241" s="30">
        <f t="shared" si="117"/>
        <v>18.939740405689253</v>
      </c>
      <c r="I241" s="30">
        <f t="shared" si="117"/>
        <v>17.518312256496429</v>
      </c>
    </row>
    <row r="242" spans="1:9" x14ac:dyDescent="0.25">
      <c r="A242" s="8" t="s">
        <v>120</v>
      </c>
      <c r="E242" s="30">
        <f>$E$186*E232</f>
        <v>169.1994772850027</v>
      </c>
      <c r="F242" s="30">
        <f t="shared" ref="F242:I242" si="118">$E$186*F232</f>
        <v>125.69104026885915</v>
      </c>
      <c r="G242" s="30">
        <f t="shared" si="118"/>
        <v>75.414624161315487</v>
      </c>
      <c r="H242" s="30">
        <f t="shared" si="118"/>
        <v>53.22532128308228</v>
      </c>
      <c r="I242" s="30">
        <f t="shared" si="118"/>
        <v>53.22532128308228</v>
      </c>
    </row>
    <row r="243" spans="1:9" x14ac:dyDescent="0.25">
      <c r="A243" s="8" t="s">
        <v>122</v>
      </c>
      <c r="E243" s="30">
        <f>$E$187*E233</f>
        <v>26.740000000000002</v>
      </c>
      <c r="F243" s="30">
        <f t="shared" ref="F243:I243" si="119">$E$187*F233</f>
        <v>19.864000000000001</v>
      </c>
      <c r="G243" s="30">
        <f t="shared" si="119"/>
        <v>11.9184</v>
      </c>
      <c r="H243" s="30">
        <f t="shared" si="119"/>
        <v>8.4116400000000002</v>
      </c>
      <c r="I243" s="30">
        <f t="shared" si="119"/>
        <v>8.4116400000000002</v>
      </c>
    </row>
    <row r="244" spans="1:9" x14ac:dyDescent="0.25">
      <c r="A244" s="8" t="s">
        <v>124</v>
      </c>
      <c r="E244" s="30">
        <f>$E$188*E234</f>
        <v>35.699999999999996</v>
      </c>
      <c r="F244" s="30">
        <f t="shared" ref="F244:I244" si="120">$E$188*F234</f>
        <v>33.660000000000004</v>
      </c>
      <c r="G244" s="30">
        <f t="shared" si="120"/>
        <v>26.928000000000001</v>
      </c>
      <c r="H244" s="30">
        <f t="shared" si="120"/>
        <v>21.542400000000001</v>
      </c>
      <c r="I244" s="30">
        <f t="shared" si="120"/>
        <v>17.238</v>
      </c>
    </row>
    <row r="245" spans="1:9" x14ac:dyDescent="0.25">
      <c r="A245" s="8" t="s">
        <v>112</v>
      </c>
      <c r="E245" s="30">
        <f>$E$189*E235</f>
        <v>11.96037129696</v>
      </c>
      <c r="F245" s="30">
        <f t="shared" ref="F245:I245" si="121">$E$189*F235</f>
        <v>12.756757440000001</v>
      </c>
      <c r="G245" s="30">
        <f>$E$189*G235</f>
        <v>11.812757389440002</v>
      </c>
      <c r="H245" s="30">
        <f t="shared" si="121"/>
        <v>10.92707394432</v>
      </c>
      <c r="I245" s="30">
        <f t="shared" si="121"/>
        <v>10.106996680320002</v>
      </c>
    </row>
    <row r="246" spans="1:9" x14ac:dyDescent="0.25">
      <c r="A246" s="8" t="s">
        <v>113</v>
      </c>
      <c r="F246" s="30">
        <f>$F$189*F236</f>
        <v>12.737795431262397</v>
      </c>
      <c r="G246" s="30">
        <f t="shared" ref="G246:I246" si="122">$F$189*G236</f>
        <v>13.585946673599999</v>
      </c>
      <c r="H246" s="30">
        <f t="shared" si="122"/>
        <v>12.580586619753598</v>
      </c>
      <c r="I246" s="30">
        <f t="shared" si="122"/>
        <v>11.637333750700797</v>
      </c>
    </row>
    <row r="247" spans="1:9" x14ac:dyDescent="0.25">
      <c r="A247" s="8" t="s">
        <v>114</v>
      </c>
      <c r="G247" s="30">
        <f>$G$189*G237</f>
        <v>13.565752134294453</v>
      </c>
      <c r="H247" s="30">
        <f t="shared" ref="H247:I247" si="123">$G$189*H237</f>
        <v>14.469033207383999</v>
      </c>
      <c r="I247" s="30">
        <f t="shared" si="123"/>
        <v>13.398324750037583</v>
      </c>
    </row>
    <row r="248" spans="1:9" x14ac:dyDescent="0.25">
      <c r="A248" s="8" t="s">
        <v>115</v>
      </c>
      <c r="H248" s="30">
        <f>$H$189*H238</f>
        <v>14.447526023023592</v>
      </c>
      <c r="I248" s="30">
        <f>$H$189*I238</f>
        <v>15.409520365863958</v>
      </c>
    </row>
    <row r="249" spans="1:9" x14ac:dyDescent="0.25">
      <c r="A249" s="8" t="s">
        <v>116</v>
      </c>
      <c r="I249" s="30">
        <f>$I$189*I239</f>
        <v>15.386615214520125</v>
      </c>
    </row>
    <row r="250" spans="1:9" x14ac:dyDescent="0.25">
      <c r="A250" s="22" t="s">
        <v>157</v>
      </c>
      <c r="E250" s="33">
        <f>SUM(E241:E249)</f>
        <v>264.33058845563488</v>
      </c>
      <c r="F250" s="33">
        <f t="shared" ref="F250:I250" si="124">SUM(F241:F249)</f>
        <v>226.82069768312101</v>
      </c>
      <c r="G250" s="33">
        <f t="shared" si="124"/>
        <v>173.70036316546748</v>
      </c>
      <c r="H250" s="33">
        <f t="shared" si="124"/>
        <v>154.54332148325273</v>
      </c>
      <c r="I250" s="33">
        <f t="shared" si="124"/>
        <v>162.33206430102118</v>
      </c>
    </row>
    <row r="252" spans="1:9" x14ac:dyDescent="0.25">
      <c r="A252" s="22" t="s">
        <v>158</v>
      </c>
    </row>
    <row r="253" spans="1:9" x14ac:dyDescent="0.25">
      <c r="A253" t="s">
        <v>159</v>
      </c>
      <c r="E253" s="30">
        <f>E218</f>
        <v>154.63875694321553</v>
      </c>
      <c r="F253" s="30">
        <f t="shared" ref="F253:I253" si="125">F218</f>
        <v>164.34300456721553</v>
      </c>
      <c r="G253" s="30">
        <f t="shared" si="125"/>
        <v>174.67802828677551</v>
      </c>
      <c r="H253" s="30">
        <f t="shared" si="125"/>
        <v>185.68482854810691</v>
      </c>
      <c r="I253" s="30">
        <f t="shared" si="125"/>
        <v>197.40707082642484</v>
      </c>
    </row>
    <row r="254" spans="1:9" x14ac:dyDescent="0.25">
      <c r="A254" t="s">
        <v>156</v>
      </c>
      <c r="E254" s="30">
        <f>E250</f>
        <v>264.33058845563488</v>
      </c>
      <c r="F254" s="30">
        <f t="shared" ref="F254:I254" si="126">F250</f>
        <v>226.82069768312101</v>
      </c>
      <c r="G254" s="30">
        <f t="shared" si="126"/>
        <v>173.70036316546748</v>
      </c>
      <c r="H254" s="30">
        <f t="shared" si="126"/>
        <v>154.54332148325273</v>
      </c>
      <c r="I254" s="30">
        <f t="shared" si="126"/>
        <v>162.33206430102118</v>
      </c>
    </row>
    <row r="255" spans="1:9" x14ac:dyDescent="0.25">
      <c r="A255" t="s">
        <v>160</v>
      </c>
      <c r="E255" s="30">
        <f>E254-E253</f>
        <v>109.69183151241936</v>
      </c>
      <c r="F255" s="30">
        <f>F254-F253</f>
        <v>62.477693115905481</v>
      </c>
      <c r="G255" s="30">
        <f t="shared" ref="G255:I255" si="127">G254-G253</f>
        <v>-0.97766512130803562</v>
      </c>
      <c r="H255" s="30">
        <f t="shared" si="127"/>
        <v>-31.141507064854181</v>
      </c>
      <c r="I255" s="30">
        <f t="shared" si="127"/>
        <v>-35.075006525403666</v>
      </c>
    </row>
    <row r="256" spans="1:9" x14ac:dyDescent="0.25">
      <c r="A256" t="s">
        <v>161</v>
      </c>
      <c r="E256" s="37">
        <f>E44</f>
        <v>0.25</v>
      </c>
      <c r="F256" s="37">
        <f>F44</f>
        <v>0.25</v>
      </c>
      <c r="G256" s="37">
        <f>G44</f>
        <v>0.25</v>
      </c>
      <c r="H256" s="37">
        <f>H44</f>
        <v>0.25</v>
      </c>
      <c r="I256" s="37">
        <f>I44</f>
        <v>0.25</v>
      </c>
    </row>
    <row r="257" spans="1:9" x14ac:dyDescent="0.25">
      <c r="A257" t="s">
        <v>162</v>
      </c>
      <c r="E257" s="30">
        <f>E255*E256</f>
        <v>27.422957878104839</v>
      </c>
      <c r="F257" s="30">
        <f t="shared" ref="F257:I257" si="128">F255*F256</f>
        <v>15.61942327897637</v>
      </c>
      <c r="G257" s="30">
        <f t="shared" si="128"/>
        <v>-0.24441628032700891</v>
      </c>
      <c r="H257" s="30">
        <f t="shared" si="128"/>
        <v>-7.7853767662135454</v>
      </c>
      <c r="I257" s="30">
        <f t="shared" si="128"/>
        <v>-8.7687516313509164</v>
      </c>
    </row>
    <row r="260" spans="1:9" x14ac:dyDescent="0.25">
      <c r="B260" s="2">
        <v>2017</v>
      </c>
      <c r="C260" s="2">
        <v>2018</v>
      </c>
      <c r="D260" s="2">
        <v>2019</v>
      </c>
      <c r="E260" s="2">
        <v>2020</v>
      </c>
      <c r="F260" s="2">
        <v>2021</v>
      </c>
      <c r="G260" s="2">
        <v>2022</v>
      </c>
      <c r="H260" s="2">
        <v>2023</v>
      </c>
      <c r="I260" s="2">
        <v>2024</v>
      </c>
    </row>
    <row r="261" spans="1:9" ht="15.75" thickBot="1" x14ac:dyDescent="0.3">
      <c r="A261" s="19" t="s">
        <v>200</v>
      </c>
      <c r="B261" s="20" t="s">
        <v>54</v>
      </c>
      <c r="C261" s="20" t="s">
        <v>54</v>
      </c>
      <c r="D261" s="20" t="s">
        <v>54</v>
      </c>
      <c r="E261" s="20" t="s">
        <v>106</v>
      </c>
      <c r="F261" s="20" t="s">
        <v>106</v>
      </c>
      <c r="G261" s="20" t="s">
        <v>106</v>
      </c>
      <c r="H261" s="20" t="s">
        <v>106</v>
      </c>
      <c r="I261" s="20" t="s">
        <v>106</v>
      </c>
    </row>
    <row r="262" spans="1:9" x14ac:dyDescent="0.25">
      <c r="A262" s="40" t="s">
        <v>201</v>
      </c>
      <c r="C262" s="12"/>
      <c r="D262" s="12"/>
    </row>
    <row r="263" spans="1:9" x14ac:dyDescent="0.25">
      <c r="A263" t="s">
        <v>202</v>
      </c>
      <c r="C263" s="12">
        <f>C142</f>
        <v>518.1</v>
      </c>
      <c r="D263" s="12">
        <f>D142</f>
        <v>502.9</v>
      </c>
      <c r="E263" s="12">
        <f>E264/360*E3</f>
        <v>537.85931666666659</v>
      </c>
      <c r="F263" s="12">
        <f>F264/360*F3</f>
        <v>572.82017224999993</v>
      </c>
      <c r="G263" s="12">
        <f>G264/360*G3</f>
        <v>610.05348344624986</v>
      </c>
      <c r="H263" s="12">
        <f>H264/360*H3</f>
        <v>649.70695987025613</v>
      </c>
      <c r="I263" s="12">
        <f>I264/360*I3</f>
        <v>691.9379122618227</v>
      </c>
    </row>
    <row r="264" spans="1:9" x14ac:dyDescent="0.25">
      <c r="A264" s="41" t="s">
        <v>203</v>
      </c>
      <c r="C264" s="12"/>
      <c r="D264" s="12">
        <f>AVERAGE(C263:D263)/D3*360</f>
        <v>34.368104125369342</v>
      </c>
      <c r="E264" s="11">
        <v>34</v>
      </c>
      <c r="F264" s="11">
        <v>34</v>
      </c>
      <c r="G264" s="11">
        <v>34</v>
      </c>
      <c r="H264" s="11">
        <v>34</v>
      </c>
      <c r="I264" s="11">
        <v>34</v>
      </c>
    </row>
    <row r="265" spans="1:9" x14ac:dyDescent="0.25">
      <c r="A265" t="s">
        <v>77</v>
      </c>
      <c r="C265" s="12">
        <f>C143</f>
        <v>786.3</v>
      </c>
      <c r="D265" s="12">
        <f>D143</f>
        <v>801.2</v>
      </c>
      <c r="E265" s="12">
        <f>E266/360*E5</f>
        <v>858.83477358333334</v>
      </c>
      <c r="F265" s="12">
        <f t="shared" ref="F265:I265" si="129">F266/360*F5</f>
        <v>914.65903386624984</v>
      </c>
      <c r="G265" s="12">
        <f t="shared" si="129"/>
        <v>974.11187106755608</v>
      </c>
      <c r="H265" s="12">
        <f t="shared" si="129"/>
        <v>1037.4291426869472</v>
      </c>
      <c r="I265" s="12">
        <f t="shared" si="129"/>
        <v>1104.8620369615987</v>
      </c>
    </row>
    <row r="266" spans="1:9" x14ac:dyDescent="0.25">
      <c r="A266" s="41" t="s">
        <v>204</v>
      </c>
      <c r="C266" s="12"/>
      <c r="D266" s="12">
        <f>AVERAGE(C265:D265)/D5*360</f>
        <v>89.238312357515383</v>
      </c>
      <c r="E266" s="11">
        <v>89</v>
      </c>
      <c r="F266" s="11">
        <v>89</v>
      </c>
      <c r="G266" s="11">
        <v>89</v>
      </c>
      <c r="H266" s="11">
        <v>89</v>
      </c>
      <c r="I266" s="11">
        <v>89</v>
      </c>
    </row>
    <row r="267" spans="1:9" x14ac:dyDescent="0.25">
      <c r="A267" t="s">
        <v>205</v>
      </c>
      <c r="C267" s="12">
        <f>C144</f>
        <v>78.900000000000006</v>
      </c>
      <c r="D267" s="12">
        <f>D144</f>
        <v>90.7</v>
      </c>
      <c r="E267" s="12">
        <f>E268/360*E12</f>
        <v>90.170532499999993</v>
      </c>
      <c r="F267" s="12">
        <f>F268/360*F12</f>
        <v>96.031617112499987</v>
      </c>
      <c r="G267" s="12">
        <f>G268/360*G12</f>
        <v>102.27367222481247</v>
      </c>
      <c r="H267" s="12">
        <f>H268/360*H12</f>
        <v>108.92146091942529</v>
      </c>
      <c r="I267" s="12">
        <f>I268/360*I12</f>
        <v>116.00135587918794</v>
      </c>
    </row>
    <row r="268" spans="1:9" x14ac:dyDescent="0.25">
      <c r="A268" s="41" t="s">
        <v>206</v>
      </c>
      <c r="C268" s="12"/>
      <c r="D268" s="12">
        <f>AVERAGE(C267:D267)/D12*360</f>
        <v>30.285714285714288</v>
      </c>
      <c r="E268" s="11">
        <v>30</v>
      </c>
      <c r="F268" s="11">
        <v>30</v>
      </c>
      <c r="G268" s="11">
        <v>30</v>
      </c>
      <c r="H268" s="11">
        <v>30</v>
      </c>
      <c r="I268" s="11">
        <v>30</v>
      </c>
    </row>
    <row r="269" spans="1:9" x14ac:dyDescent="0.25">
      <c r="A269" s="22" t="s">
        <v>168</v>
      </c>
      <c r="C269" s="12">
        <f>C263+C265+C267</f>
        <v>1383.3000000000002</v>
      </c>
      <c r="D269" s="12">
        <f>D263+D265+D267</f>
        <v>1394.8</v>
      </c>
      <c r="E269" s="12">
        <f t="shared" ref="E269:I269" si="130">E263+E265+E267</f>
        <v>1486.8646227500001</v>
      </c>
      <c r="F269" s="12">
        <f t="shared" si="130"/>
        <v>1583.5108232287498</v>
      </c>
      <c r="G269" s="12">
        <f t="shared" si="130"/>
        <v>1686.4390267386186</v>
      </c>
      <c r="H269" s="12">
        <f t="shared" si="130"/>
        <v>1796.0575634766285</v>
      </c>
      <c r="I269" s="12">
        <f t="shared" si="130"/>
        <v>1912.8013051026094</v>
      </c>
    </row>
    <row r="270" spans="1:9" x14ac:dyDescent="0.25">
      <c r="A270" s="40" t="s">
        <v>207</v>
      </c>
    </row>
    <row r="271" spans="1:9" x14ac:dyDescent="0.25">
      <c r="A271" t="s">
        <v>208</v>
      </c>
      <c r="C271" s="12">
        <f>C165</f>
        <v>710</v>
      </c>
      <c r="D271" s="12">
        <f>D165</f>
        <v>846.9</v>
      </c>
      <c r="E271" s="12">
        <f>E272/360*E5</f>
        <v>844.36003020833323</v>
      </c>
      <c r="F271" s="12">
        <f t="shared" ref="F271:I271" si="131">F272/360*F5</f>
        <v>899.24343217187482</v>
      </c>
      <c r="G271" s="12">
        <f t="shared" si="131"/>
        <v>957.69425526304667</v>
      </c>
      <c r="H271" s="12">
        <f t="shared" si="131"/>
        <v>1019.9443818551446</v>
      </c>
      <c r="I271" s="12">
        <f t="shared" si="131"/>
        <v>1086.2407666757292</v>
      </c>
    </row>
    <row r="272" spans="1:9" x14ac:dyDescent="0.25">
      <c r="A272" s="41" t="s">
        <v>209</v>
      </c>
      <c r="D272" s="12">
        <f>AVERAGE(C271:D271)/D5*360</f>
        <v>87.518191187033523</v>
      </c>
      <c r="E272" s="11">
        <v>87.5</v>
      </c>
      <c r="F272" s="11">
        <v>87.5</v>
      </c>
      <c r="G272" s="11">
        <v>87.5</v>
      </c>
      <c r="H272" s="11">
        <v>87.5</v>
      </c>
      <c r="I272" s="11">
        <v>87.5</v>
      </c>
    </row>
    <row r="273" spans="1:9" x14ac:dyDescent="0.25">
      <c r="A273" t="s">
        <v>210</v>
      </c>
      <c r="C273" s="12">
        <f>C166</f>
        <v>648.20000000000005</v>
      </c>
      <c r="D273" s="12">
        <f>D166</f>
        <v>609.1</v>
      </c>
      <c r="E273" s="12">
        <f>E274/360*E12</f>
        <v>676.27899374999993</v>
      </c>
      <c r="F273" s="12">
        <f>F274/360*F12</f>
        <v>720.23712834374987</v>
      </c>
      <c r="G273" s="12">
        <f>G274/360*G12</f>
        <v>767.0525416860936</v>
      </c>
      <c r="H273" s="12">
        <f>H274/360*H12</f>
        <v>816.91095689568965</v>
      </c>
      <c r="I273" s="12">
        <f>I274/360*I12</f>
        <v>870.01016909390955</v>
      </c>
    </row>
    <row r="274" spans="1:9" x14ac:dyDescent="0.25">
      <c r="A274" s="41" t="s">
        <v>211</v>
      </c>
      <c r="D274" s="12">
        <f>AVERAGE(C273:D273)/D12*360</f>
        <v>224.51785714285717</v>
      </c>
      <c r="E274" s="11">
        <v>225</v>
      </c>
      <c r="F274" s="11">
        <v>225</v>
      </c>
      <c r="G274" s="11">
        <v>225</v>
      </c>
      <c r="H274" s="11">
        <v>225</v>
      </c>
      <c r="I274" s="11">
        <v>225</v>
      </c>
    </row>
    <row r="275" spans="1:9" x14ac:dyDescent="0.25">
      <c r="A275" s="22" t="s">
        <v>187</v>
      </c>
      <c r="C275" s="12">
        <f>C271+C273</f>
        <v>1358.2</v>
      </c>
      <c r="D275" s="12">
        <f>D271+D273</f>
        <v>1456</v>
      </c>
      <c r="E275" s="12">
        <f t="shared" ref="E275:I275" si="132">E271+E273</f>
        <v>1520.6390239583332</v>
      </c>
      <c r="F275" s="12">
        <f t="shared" si="132"/>
        <v>1619.4805605156248</v>
      </c>
      <c r="G275" s="12">
        <f t="shared" si="132"/>
        <v>1724.7467969491404</v>
      </c>
      <c r="H275" s="12">
        <f t="shared" si="132"/>
        <v>1836.8553387508341</v>
      </c>
      <c r="I275" s="12">
        <f t="shared" si="132"/>
        <v>1956.2509357696388</v>
      </c>
    </row>
    <row r="276" spans="1:9" x14ac:dyDescent="0.25">
      <c r="A276" s="22" t="s">
        <v>212</v>
      </c>
      <c r="C276" s="42">
        <f>C269-C275</f>
        <v>25.100000000000136</v>
      </c>
      <c r="D276" s="42">
        <f>D269-D275</f>
        <v>-61.200000000000045</v>
      </c>
      <c r="E276" s="42">
        <f t="shared" ref="E276:I276" si="133">E269-E275</f>
        <v>-33.774401208333074</v>
      </c>
      <c r="F276" s="42">
        <f t="shared" si="133"/>
        <v>-35.969737286874988</v>
      </c>
      <c r="G276" s="42">
        <f t="shared" si="133"/>
        <v>-38.307770210521767</v>
      </c>
      <c r="H276" s="42">
        <f t="shared" si="133"/>
        <v>-40.797775274205605</v>
      </c>
      <c r="I276" s="42">
        <f t="shared" si="133"/>
        <v>-43.449630667029396</v>
      </c>
    </row>
    <row r="277" spans="1:9" x14ac:dyDescent="0.25">
      <c r="A277" s="22" t="s">
        <v>213</v>
      </c>
      <c r="D277" s="12">
        <f t="shared" ref="D277:I277" si="134">D276-C276</f>
        <v>-86.300000000000182</v>
      </c>
      <c r="E277" s="12">
        <f t="shared" si="134"/>
        <v>27.425598791666971</v>
      </c>
      <c r="F277" s="12">
        <f t="shared" si="134"/>
        <v>-2.1953360785419136</v>
      </c>
      <c r="G277" s="12">
        <f t="shared" si="134"/>
        <v>-2.3380329236467787</v>
      </c>
      <c r="H277" s="12">
        <f t="shared" si="134"/>
        <v>-2.4900050636838387</v>
      </c>
      <c r="I277" s="12">
        <f t="shared" si="134"/>
        <v>-2.6518553928237907</v>
      </c>
    </row>
    <row r="280" spans="1:9" x14ac:dyDescent="0.25">
      <c r="B280" s="2">
        <v>2017</v>
      </c>
      <c r="C280" s="2">
        <v>2018</v>
      </c>
      <c r="D280" s="2">
        <v>2019</v>
      </c>
      <c r="E280" s="2">
        <v>2020</v>
      </c>
      <c r="F280" s="2">
        <v>2021</v>
      </c>
      <c r="G280" s="2">
        <v>2022</v>
      </c>
      <c r="H280" s="2">
        <v>2023</v>
      </c>
      <c r="I280" s="2">
        <v>2024</v>
      </c>
    </row>
    <row r="281" spans="1:9" ht="15.75" thickBot="1" x14ac:dyDescent="0.3">
      <c r="A281" s="19" t="s">
        <v>215</v>
      </c>
      <c r="B281" s="20" t="s">
        <v>54</v>
      </c>
      <c r="C281" s="20" t="s">
        <v>54</v>
      </c>
      <c r="D281" s="20" t="s">
        <v>54</v>
      </c>
      <c r="E281" s="20" t="s">
        <v>106</v>
      </c>
      <c r="F281" s="20" t="s">
        <v>106</v>
      </c>
      <c r="G281" s="20" t="s">
        <v>106</v>
      </c>
      <c r="H281" s="20" t="s">
        <v>106</v>
      </c>
      <c r="I281" s="20" t="s">
        <v>106</v>
      </c>
    </row>
    <row r="282" spans="1:9" x14ac:dyDescent="0.25">
      <c r="A282" s="40" t="s">
        <v>216</v>
      </c>
      <c r="C282" s="12"/>
      <c r="D282" s="12"/>
    </row>
    <row r="283" spans="1:9" x14ac:dyDescent="0.25">
      <c r="A283" t="s">
        <v>217</v>
      </c>
      <c r="C283" s="12"/>
      <c r="D283" s="12">
        <f>D141</f>
        <v>155.4</v>
      </c>
      <c r="E283" s="12"/>
      <c r="F283" s="12"/>
      <c r="G283" s="12"/>
      <c r="H283" s="12"/>
      <c r="I283" s="12"/>
    </row>
    <row r="284" spans="1:9" x14ac:dyDescent="0.25">
      <c r="C284" s="12"/>
      <c r="D284" s="12"/>
      <c r="E284" s="12"/>
      <c r="F284" s="12"/>
      <c r="G284" s="12"/>
      <c r="H284" s="12"/>
      <c r="I284" s="12"/>
    </row>
    <row r="286" spans="1:9" x14ac:dyDescent="0.25">
      <c r="A286" s="40" t="s">
        <v>183</v>
      </c>
      <c r="C286" s="12"/>
      <c r="D286" s="12"/>
    </row>
    <row r="287" spans="1:9" x14ac:dyDescent="0.25">
      <c r="A287" t="s">
        <v>219</v>
      </c>
      <c r="C287" s="12"/>
      <c r="D287" s="12"/>
      <c r="E287" s="12">
        <f>D290</f>
        <v>600.70000000000005</v>
      </c>
      <c r="F287" s="12">
        <f t="shared" ref="F287:I287" si="135">E290</f>
        <v>600.70000000000005</v>
      </c>
      <c r="G287" s="12">
        <f t="shared" si="135"/>
        <v>600.70000000000005</v>
      </c>
      <c r="H287" s="12">
        <f t="shared" si="135"/>
        <v>600.70000000000005</v>
      </c>
      <c r="I287" s="12">
        <f t="shared" si="135"/>
        <v>600.70000000000005</v>
      </c>
    </row>
    <row r="288" spans="1:9" x14ac:dyDescent="0.25">
      <c r="A288" t="s">
        <v>220</v>
      </c>
      <c r="C288" s="12"/>
      <c r="D288" s="12"/>
      <c r="E288" s="25">
        <v>0</v>
      </c>
      <c r="F288" s="25">
        <v>0</v>
      </c>
      <c r="G288" s="25">
        <v>0</v>
      </c>
      <c r="H288" s="25">
        <v>0</v>
      </c>
      <c r="I288" s="25">
        <v>0</v>
      </c>
    </row>
    <row r="289" spans="1:9" x14ac:dyDescent="0.25">
      <c r="A289" t="s">
        <v>221</v>
      </c>
      <c r="C289" s="12"/>
      <c r="D289" s="12"/>
      <c r="E289" s="25">
        <v>0</v>
      </c>
      <c r="F289" s="25">
        <v>0</v>
      </c>
      <c r="G289" s="25">
        <v>0</v>
      </c>
      <c r="H289" s="25">
        <v>0</v>
      </c>
      <c r="I289" s="25">
        <v>0</v>
      </c>
    </row>
    <row r="290" spans="1:9" x14ac:dyDescent="0.25">
      <c r="A290" t="s">
        <v>217</v>
      </c>
      <c r="C290" s="12"/>
      <c r="D290" s="12">
        <f>D163</f>
        <v>600.70000000000005</v>
      </c>
      <c r="E290" s="12">
        <f>SUM(E287:E289)</f>
        <v>600.70000000000005</v>
      </c>
      <c r="F290" s="12">
        <f t="shared" ref="F290:I290" si="136">SUM(F287:F289)</f>
        <v>600.70000000000005</v>
      </c>
      <c r="G290" s="12">
        <f t="shared" si="136"/>
        <v>600.70000000000005</v>
      </c>
      <c r="H290" s="12">
        <f t="shared" si="136"/>
        <v>600.70000000000005</v>
      </c>
      <c r="I290" s="12">
        <f t="shared" si="136"/>
        <v>600.70000000000005</v>
      </c>
    </row>
    <row r="291" spans="1:9" x14ac:dyDescent="0.25">
      <c r="A291" t="s">
        <v>223</v>
      </c>
      <c r="E291" s="12">
        <f>AVERAGE(E287,E290)*E292</f>
        <v>15.6182</v>
      </c>
      <c r="F291" s="12">
        <f t="shared" ref="F291:I291" si="137">AVERAGE(F287,F290)*F292</f>
        <v>15.6182</v>
      </c>
      <c r="G291" s="12">
        <f t="shared" si="137"/>
        <v>15.6182</v>
      </c>
      <c r="H291" s="12">
        <f t="shared" si="137"/>
        <v>15.6182</v>
      </c>
      <c r="I291" s="12">
        <f t="shared" si="137"/>
        <v>15.6182</v>
      </c>
    </row>
    <row r="292" spans="1:9" x14ac:dyDescent="0.25">
      <c r="A292" t="s">
        <v>224</v>
      </c>
      <c r="E292" s="44">
        <v>2.5999999999999999E-2</v>
      </c>
      <c r="F292" s="44">
        <v>2.5999999999999999E-2</v>
      </c>
      <c r="G292" s="44">
        <v>2.5999999999999999E-2</v>
      </c>
      <c r="H292" s="44">
        <v>2.5999999999999999E-2</v>
      </c>
      <c r="I292" s="44">
        <v>2.5999999999999999E-2</v>
      </c>
    </row>
    <row r="294" spans="1:9" x14ac:dyDescent="0.25">
      <c r="A294" s="40" t="s">
        <v>184</v>
      </c>
      <c r="C294" s="12"/>
      <c r="D294" s="12"/>
    </row>
    <row r="295" spans="1:9" x14ac:dyDescent="0.25">
      <c r="A295" t="s">
        <v>219</v>
      </c>
      <c r="C295" s="12"/>
      <c r="D295" s="12"/>
      <c r="E295" s="12">
        <f>D298</f>
        <v>97.7</v>
      </c>
      <c r="F295" s="12">
        <f t="shared" ref="F295:I295" si="138">E298</f>
        <v>97.7</v>
      </c>
      <c r="G295" s="12">
        <f t="shared" si="138"/>
        <v>97.7</v>
      </c>
      <c r="H295" s="12">
        <f t="shared" si="138"/>
        <v>97.7</v>
      </c>
      <c r="I295" s="12">
        <f t="shared" si="138"/>
        <v>97.7</v>
      </c>
    </row>
    <row r="296" spans="1:9" x14ac:dyDescent="0.25">
      <c r="A296" t="s">
        <v>220</v>
      </c>
      <c r="C296" s="12"/>
      <c r="D296" s="12"/>
      <c r="E296" s="25">
        <v>0</v>
      </c>
      <c r="F296" s="25">
        <v>0</v>
      </c>
      <c r="G296" s="25">
        <v>0</v>
      </c>
      <c r="H296" s="25">
        <v>0</v>
      </c>
      <c r="I296" s="25">
        <v>0</v>
      </c>
    </row>
    <row r="297" spans="1:9" x14ac:dyDescent="0.25">
      <c r="A297" t="s">
        <v>221</v>
      </c>
      <c r="C297" s="12"/>
      <c r="D297" s="12"/>
      <c r="E297" s="25">
        <v>0</v>
      </c>
      <c r="F297" s="25">
        <v>0</v>
      </c>
      <c r="G297" s="25">
        <v>0</v>
      </c>
      <c r="H297" s="25">
        <v>0</v>
      </c>
      <c r="I297" s="25">
        <v>0</v>
      </c>
    </row>
    <row r="298" spans="1:9" x14ac:dyDescent="0.25">
      <c r="A298" t="s">
        <v>217</v>
      </c>
      <c r="C298" s="12"/>
      <c r="D298" s="12">
        <f>D164</f>
        <v>97.7</v>
      </c>
      <c r="E298" s="12">
        <f>SUM(E295:E297)</f>
        <v>97.7</v>
      </c>
      <c r="F298" s="12">
        <f t="shared" ref="F298" si="139">SUM(F295:F297)</f>
        <v>97.7</v>
      </c>
      <c r="G298" s="12">
        <f t="shared" ref="G298" si="140">SUM(G295:G297)</f>
        <v>97.7</v>
      </c>
      <c r="H298" s="12">
        <f t="shared" ref="H298" si="141">SUM(H295:H297)</f>
        <v>97.7</v>
      </c>
      <c r="I298" s="12">
        <f t="shared" ref="I298" si="142">SUM(I295:I297)</f>
        <v>97.7</v>
      </c>
    </row>
    <row r="299" spans="1:9" x14ac:dyDescent="0.25">
      <c r="A299" t="s">
        <v>222</v>
      </c>
      <c r="E299" s="12">
        <f>AVERAGE(E295,E298)*E300</f>
        <v>3.9080000000000004</v>
      </c>
      <c r="F299" s="12">
        <f t="shared" ref="F299" si="143">AVERAGE(F295,F298)*F300</f>
        <v>3.9080000000000004</v>
      </c>
      <c r="G299" s="12">
        <f t="shared" ref="G299" si="144">AVERAGE(G295,G298)*G300</f>
        <v>3.9080000000000004</v>
      </c>
      <c r="H299" s="12">
        <f t="shared" ref="H299" si="145">AVERAGE(H295,H298)*H300</f>
        <v>3.9080000000000004</v>
      </c>
      <c r="I299" s="12">
        <f t="shared" ref="I299" si="146">AVERAGE(I295,I298)*I300</f>
        <v>3.9080000000000004</v>
      </c>
    </row>
    <row r="300" spans="1:9" x14ac:dyDescent="0.25">
      <c r="A300" t="s">
        <v>225</v>
      </c>
      <c r="E300" s="45">
        <v>0.04</v>
      </c>
      <c r="F300" s="45">
        <f>E300</f>
        <v>0.04</v>
      </c>
      <c r="G300" s="45">
        <f t="shared" ref="G300:I300" si="147">F300</f>
        <v>0.04</v>
      </c>
      <c r="H300" s="45">
        <f t="shared" si="147"/>
        <v>0.04</v>
      </c>
      <c r="I300" s="45">
        <f t="shared" si="147"/>
        <v>0.04</v>
      </c>
    </row>
    <row r="302" spans="1:9" x14ac:dyDescent="0.25">
      <c r="A302" s="40" t="s">
        <v>218</v>
      </c>
      <c r="C302" s="12"/>
      <c r="D302" s="12"/>
    </row>
    <row r="303" spans="1:9" x14ac:dyDescent="0.25">
      <c r="A303" t="s">
        <v>219</v>
      </c>
      <c r="C303" s="12"/>
      <c r="D303" s="12"/>
      <c r="E303" s="12">
        <f>D306</f>
        <v>3625.8</v>
      </c>
      <c r="F303" s="12">
        <f t="shared" ref="F303:I303" si="148">E306</f>
        <v>3625.8</v>
      </c>
      <c r="G303" s="12">
        <f t="shared" si="148"/>
        <v>3625.8</v>
      </c>
      <c r="H303" s="12">
        <f t="shared" si="148"/>
        <v>3625.8</v>
      </c>
      <c r="I303" s="12">
        <f t="shared" si="148"/>
        <v>3625.8</v>
      </c>
    </row>
    <row r="304" spans="1:9" x14ac:dyDescent="0.25">
      <c r="A304" t="s">
        <v>220</v>
      </c>
      <c r="C304" s="12"/>
      <c r="D304" s="12"/>
      <c r="E304" s="25">
        <v>0</v>
      </c>
      <c r="F304" s="25">
        <v>0</v>
      </c>
      <c r="G304" s="25">
        <v>0</v>
      </c>
      <c r="H304" s="25">
        <v>0</v>
      </c>
      <c r="I304" s="25">
        <v>0</v>
      </c>
    </row>
    <row r="305" spans="1:9" x14ac:dyDescent="0.25">
      <c r="A305" t="s">
        <v>221</v>
      </c>
      <c r="C305" s="12"/>
      <c r="D305" s="12"/>
      <c r="E305" s="25">
        <v>0</v>
      </c>
      <c r="F305" s="25">
        <v>0</v>
      </c>
      <c r="G305" s="25">
        <v>0</v>
      </c>
      <c r="H305" s="25">
        <v>0</v>
      </c>
      <c r="I305" s="25">
        <v>0</v>
      </c>
    </row>
    <row r="306" spans="1:9" x14ac:dyDescent="0.25">
      <c r="A306" t="s">
        <v>217</v>
      </c>
      <c r="C306" s="12"/>
      <c r="D306" s="12">
        <f>D168</f>
        <v>3625.8</v>
      </c>
      <c r="E306" s="12">
        <f>SUM(E303:E305)</f>
        <v>3625.8</v>
      </c>
      <c r="F306" s="12">
        <f t="shared" ref="F306:F307" si="149">SUM(F303:F305)</f>
        <v>3625.8</v>
      </c>
      <c r="G306" s="12">
        <f t="shared" ref="G306:G307" si="150">SUM(G303:G305)</f>
        <v>3625.8</v>
      </c>
      <c r="H306" s="12">
        <f t="shared" ref="H306:H307" si="151">SUM(H303:H305)</f>
        <v>3625.8</v>
      </c>
      <c r="I306" s="12">
        <f t="shared" ref="I306:I307" si="152">SUM(I303:I305)</f>
        <v>3625.8</v>
      </c>
    </row>
    <row r="307" spans="1:9" x14ac:dyDescent="0.25">
      <c r="A307" t="s">
        <v>226</v>
      </c>
      <c r="E307" s="12">
        <f>SUM(E304:E306)</f>
        <v>3625.8</v>
      </c>
      <c r="F307" s="12">
        <f t="shared" si="149"/>
        <v>3625.8</v>
      </c>
      <c r="G307" s="12">
        <f t="shared" si="150"/>
        <v>3625.8</v>
      </c>
      <c r="H307" s="12">
        <f t="shared" si="151"/>
        <v>3625.8</v>
      </c>
      <c r="I307" s="12">
        <f t="shared" si="152"/>
        <v>3625.8</v>
      </c>
    </row>
    <row r="308" spans="1:9" x14ac:dyDescent="0.25">
      <c r="A308" t="s">
        <v>227</v>
      </c>
      <c r="E308" s="45">
        <v>3.2000000000000001E-2</v>
      </c>
      <c r="F308" s="45">
        <f>E308</f>
        <v>3.2000000000000001E-2</v>
      </c>
      <c r="G308" s="45">
        <f t="shared" ref="G308:I308" si="153">F308</f>
        <v>3.2000000000000001E-2</v>
      </c>
      <c r="H308" s="45">
        <f t="shared" si="153"/>
        <v>3.2000000000000001E-2</v>
      </c>
      <c r="I308" s="45">
        <f t="shared" si="153"/>
        <v>3.2000000000000001E-2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AF18" sqref="AF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Financials</vt:lpstr>
      <vt:lpstr>Analytical Framework</vt:lpstr>
      <vt:lpstr>Bloomberg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Jathar</dc:creator>
  <cp:lastModifiedBy>Nick Jathar</cp:lastModifiedBy>
  <dcterms:created xsi:type="dcterms:W3CDTF">2020-02-08T14:13:47Z</dcterms:created>
  <dcterms:modified xsi:type="dcterms:W3CDTF">2020-03-06T19:51:45Z</dcterms:modified>
</cp:coreProperties>
</file>