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utenberg\~FIN MODELING Training Course\6-2-2018\Templates to Include with the Program\"/>
    </mc:Choice>
  </mc:AlternateContent>
  <xr:revisionPtr revIDLastSave="0" documentId="13_ncr:1_{C45326B8-8DE5-4686-9F64-B55C182B36E5}" xr6:coauthVersionLast="40" xr6:coauthVersionMax="40" xr10:uidLastSave="{00000000-0000-0000-0000-000000000000}"/>
  <bookViews>
    <workbookView xWindow="0" yWindow="0" windowWidth="12600" windowHeight="3420" tabRatio="906" xr2:uid="{FAE950B9-8AC5-4467-9ACF-3AE14B026BED}"/>
  </bookViews>
  <sheets>
    <sheet name="Class 2" sheetId="1" r:id="rId1"/>
    <sheet name="Class 4" sheetId="2" r:id="rId2"/>
    <sheet name="Class 5" sheetId="12" r:id="rId3"/>
    <sheet name="Class 5 (reg)" sheetId="4" r:id="rId4"/>
    <sheet name="Class 6 &amp; 7" sheetId="5" r:id="rId5"/>
    <sheet name="Class 8 equations" sheetId="9" r:id="rId6"/>
    <sheet name="Appendix" sheetId="13" r:id="rId7"/>
  </sheets>
  <definedNames>
    <definedName name="_xlnm.Print_Area" localSheetId="6">Appendix!$A$1:$G$17</definedName>
    <definedName name="_xlnm.Print_Area" localSheetId="0">'Class 2'!$A$1:$F$19</definedName>
    <definedName name="_xlnm.Print_Area" localSheetId="1">'Class 4'!$A$1:$N$22</definedName>
    <definedName name="_xlnm.Print_Area" localSheetId="2">'Class 5'!$C$5:$Q$21</definedName>
    <definedName name="_xlnm.Print_Area" localSheetId="3">'Class 5 (reg)'!$A$1:$G$16</definedName>
    <definedName name="_xlnm.Print_Area" localSheetId="4">'Class 6 &amp; 7'!$A$1:$H$56</definedName>
    <definedName name="_xlnm.Print_Area" localSheetId="5">'Class 8 equations'!$M$1:$V$11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" i="9" l="1"/>
  <c r="C19" i="9"/>
  <c r="F18" i="9"/>
  <c r="E18" i="9"/>
  <c r="D18" i="9"/>
  <c r="C18" i="9"/>
  <c r="D17" i="9"/>
  <c r="C17" i="9"/>
  <c r="R4" i="9" l="1"/>
  <c r="Q4" i="9" s="1"/>
  <c r="P4" i="9" s="1"/>
  <c r="T4" i="9"/>
  <c r="U4" i="9" s="1"/>
  <c r="V4" i="9" s="1"/>
  <c r="H16" i="9"/>
  <c r="O7" i="9"/>
  <c r="O6" i="9" s="1"/>
  <c r="O5" i="9" s="1"/>
  <c r="O9" i="9"/>
  <c r="O10" i="9" s="1"/>
  <c r="O11" i="9" s="1"/>
  <c r="L11" i="9" l="1"/>
  <c r="G7" i="9"/>
  <c r="G4" i="9"/>
  <c r="G11" i="9"/>
  <c r="I16" i="9"/>
  <c r="I4" i="9" s="1"/>
  <c r="I24" i="9" s="1"/>
  <c r="J16" i="9"/>
  <c r="J4" i="9" s="1"/>
  <c r="J24" i="9" s="1"/>
  <c r="K16" i="9"/>
  <c r="K4" i="9" s="1"/>
  <c r="K5" i="9" s="1"/>
  <c r="H4" i="9"/>
  <c r="F21" i="9"/>
  <c r="F5" i="9"/>
  <c r="F6" i="9" s="1"/>
  <c r="F20" i="9" s="1"/>
  <c r="E5" i="9"/>
  <c r="E6" i="9" s="1"/>
  <c r="E20" i="9" s="1"/>
  <c r="D5" i="9"/>
  <c r="D6" i="9" s="1"/>
  <c r="D20" i="9" s="1"/>
  <c r="C5" i="9"/>
  <c r="C6" i="9" s="1"/>
  <c r="C20" i="9" s="1"/>
  <c r="E21" i="9"/>
  <c r="D21" i="9"/>
  <c r="F19" i="9"/>
  <c r="E19" i="9"/>
  <c r="E24" i="9" s="1"/>
  <c r="D19" i="9"/>
  <c r="D24" i="9" s="1"/>
  <c r="C24" i="9"/>
  <c r="F17" i="9"/>
  <c r="E17" i="9"/>
  <c r="M7" i="5"/>
  <c r="M10" i="5" s="1"/>
  <c r="M11" i="5"/>
  <c r="M12" i="5" s="1"/>
  <c r="C39" i="5"/>
  <c r="C35" i="5"/>
  <c r="C18" i="5"/>
  <c r="C34" i="5"/>
  <c r="C42" i="5"/>
  <c r="G5" i="9" l="1"/>
  <c r="G6" i="9" s="1"/>
  <c r="K17" i="9"/>
  <c r="J17" i="9"/>
  <c r="H17" i="9"/>
  <c r="I17" i="9"/>
  <c r="C8" i="9"/>
  <c r="E8" i="9"/>
  <c r="E9" i="9" s="1"/>
  <c r="E23" i="9" s="1"/>
  <c r="F8" i="9"/>
  <c r="F23" i="9" s="1"/>
  <c r="D8" i="9"/>
  <c r="D9" i="9" s="1"/>
  <c r="D23" i="9" s="1"/>
  <c r="L4" i="9"/>
  <c r="H7" i="9"/>
  <c r="H5" i="9"/>
  <c r="H6" i="9" s="1"/>
  <c r="J5" i="9"/>
  <c r="J6" i="9" s="1"/>
  <c r="I5" i="9"/>
  <c r="I6" i="9" s="1"/>
  <c r="K6" i="9"/>
  <c r="I7" i="9"/>
  <c r="D22" i="9"/>
  <c r="J7" i="9"/>
  <c r="F24" i="9"/>
  <c r="K7" i="9"/>
  <c r="K24" i="9"/>
  <c r="E22" i="9"/>
  <c r="H24" i="9"/>
  <c r="D48" i="5"/>
  <c r="E48" i="5"/>
  <c r="F48" i="5"/>
  <c r="G48" i="5"/>
  <c r="H48" i="5"/>
  <c r="C48" i="5"/>
  <c r="E7" i="5"/>
  <c r="F7" i="5"/>
  <c r="G7" i="5"/>
  <c r="H7" i="5"/>
  <c r="D7" i="5"/>
  <c r="D39" i="5"/>
  <c r="D40" i="5" s="1"/>
  <c r="D52" i="5"/>
  <c r="E52" i="5"/>
  <c r="F52" i="5"/>
  <c r="G52" i="5"/>
  <c r="H52" i="5"/>
  <c r="C52" i="5"/>
  <c r="H5" i="5"/>
  <c r="G5" i="5"/>
  <c r="F5" i="5"/>
  <c r="E5" i="5"/>
  <c r="D5" i="5"/>
  <c r="C5" i="5"/>
  <c r="C38" i="5"/>
  <c r="E35" i="5"/>
  <c r="F35" i="5"/>
  <c r="G35" i="5"/>
  <c r="H35" i="5"/>
  <c r="D35" i="5"/>
  <c r="E34" i="5"/>
  <c r="F34" i="5"/>
  <c r="G34" i="5"/>
  <c r="H34" i="5"/>
  <c r="D34" i="5"/>
  <c r="D24" i="5"/>
  <c r="E24" i="5"/>
  <c r="F24" i="5"/>
  <c r="G24" i="5"/>
  <c r="H24" i="5"/>
  <c r="C24" i="5"/>
  <c r="C40" i="5"/>
  <c r="C50" i="5"/>
  <c r="C51" i="5" s="1"/>
  <c r="E50" i="5"/>
  <c r="F50" i="5"/>
  <c r="G50" i="5"/>
  <c r="H50" i="5"/>
  <c r="D50" i="5"/>
  <c r="F38" i="5"/>
  <c r="E38" i="5"/>
  <c r="H38" i="5"/>
  <c r="G38" i="5"/>
  <c r="D38" i="5"/>
  <c r="E39" i="5"/>
  <c r="E40" i="5" s="1"/>
  <c r="F39" i="5"/>
  <c r="F40" i="5" s="1"/>
  <c r="G39" i="5"/>
  <c r="G40" i="5" s="1"/>
  <c r="H39" i="5"/>
  <c r="H40" i="5" s="1"/>
  <c r="C9" i="9" l="1"/>
  <c r="C22" i="9"/>
  <c r="E10" i="9"/>
  <c r="E12" i="9" s="1"/>
  <c r="F10" i="9"/>
  <c r="F12" i="9" s="1"/>
  <c r="G8" i="9"/>
  <c r="G22" i="9" s="1"/>
  <c r="G20" i="9"/>
  <c r="D10" i="9"/>
  <c r="D12" i="9" s="1"/>
  <c r="H8" i="9"/>
  <c r="H9" i="9" s="1"/>
  <c r="F22" i="9"/>
  <c r="G9" i="9"/>
  <c r="C23" i="9"/>
  <c r="K8" i="9"/>
  <c r="K9" i="9" s="1"/>
  <c r="K10" i="9" s="1"/>
  <c r="K12" i="9" s="1"/>
  <c r="L5" i="9"/>
  <c r="L6" i="9" s="1"/>
  <c r="L7" i="9"/>
  <c r="I8" i="9"/>
  <c r="I9" i="9" s="1"/>
  <c r="I10" i="9" s="1"/>
  <c r="I12" i="9" s="1"/>
  <c r="J8" i="9"/>
  <c r="J22" i="9" s="1"/>
  <c r="C10" i="9"/>
  <c r="C12" i="9" s="1"/>
  <c r="G51" i="5"/>
  <c r="F51" i="5"/>
  <c r="E51" i="5"/>
  <c r="H51" i="5"/>
  <c r="D51" i="5"/>
  <c r="H6" i="5"/>
  <c r="H49" i="5" s="1"/>
  <c r="G6" i="5"/>
  <c r="G49" i="5" s="1"/>
  <c r="F6" i="5"/>
  <c r="F49" i="5" s="1"/>
  <c r="E6" i="5"/>
  <c r="D6" i="5"/>
  <c r="D49" i="5" s="1"/>
  <c r="C6" i="5"/>
  <c r="C49" i="5" s="1"/>
  <c r="K22" i="9" l="1"/>
  <c r="H22" i="9"/>
  <c r="G23" i="9"/>
  <c r="G10" i="9"/>
  <c r="G12" i="9" s="1"/>
  <c r="I22" i="9"/>
  <c r="L8" i="9"/>
  <c r="L22" i="9" s="1"/>
  <c r="L20" i="9"/>
  <c r="H10" i="9"/>
  <c r="H12" i="9" s="1"/>
  <c r="O4" i="9" s="1"/>
  <c r="J9" i="9"/>
  <c r="J10" i="9" s="1"/>
  <c r="J12" i="9" s="1"/>
  <c r="E8" i="5"/>
  <c r="E9" i="5" s="1"/>
  <c r="E53" i="5" s="1"/>
  <c r="E49" i="5"/>
  <c r="F8" i="5"/>
  <c r="F9" i="5" s="1"/>
  <c r="F53" i="5" s="1"/>
  <c r="G8" i="5"/>
  <c r="G9" i="5" s="1"/>
  <c r="D8" i="5"/>
  <c r="D9" i="5" s="1"/>
  <c r="D53" i="5" s="1"/>
  <c r="H8" i="5"/>
  <c r="H9" i="5" s="1"/>
  <c r="C8" i="5"/>
  <c r="C9" i="5" s="1"/>
  <c r="J20" i="2"/>
  <c r="I20" i="2"/>
  <c r="H20" i="2"/>
  <c r="G20" i="2"/>
  <c r="F20" i="2"/>
  <c r="E20" i="2"/>
  <c r="D20" i="2"/>
  <c r="C20" i="2"/>
  <c r="N18" i="2"/>
  <c r="M18" i="2"/>
  <c r="L18" i="2"/>
  <c r="J17" i="2"/>
  <c r="J23" i="2" s="1"/>
  <c r="I17" i="2"/>
  <c r="H17" i="2"/>
  <c r="L19" i="2" s="1"/>
  <c r="G17" i="2"/>
  <c r="F17" i="2"/>
  <c r="F23" i="2" s="1"/>
  <c r="E17" i="2"/>
  <c r="D17" i="2"/>
  <c r="D23" i="2" s="1"/>
  <c r="C17" i="2"/>
  <c r="C23" i="2" s="1"/>
  <c r="N16" i="2"/>
  <c r="M16" i="2"/>
  <c r="L16" i="2"/>
  <c r="K16" i="2"/>
  <c r="J16" i="2"/>
  <c r="I16" i="2"/>
  <c r="H16" i="2"/>
  <c r="G16" i="2"/>
  <c r="J15" i="2"/>
  <c r="I15" i="2"/>
  <c r="H15" i="2"/>
  <c r="G15" i="2"/>
  <c r="F15" i="2"/>
  <c r="E15" i="2"/>
  <c r="D15" i="2"/>
  <c r="J6" i="2"/>
  <c r="J22" i="2" s="1"/>
  <c r="I6" i="2"/>
  <c r="I8" i="2" s="1"/>
  <c r="I10" i="2" s="1"/>
  <c r="H6" i="2"/>
  <c r="H21" i="2" s="1"/>
  <c r="G6" i="2"/>
  <c r="G22" i="2" s="1"/>
  <c r="F6" i="2"/>
  <c r="F21" i="2" s="1"/>
  <c r="E6" i="2"/>
  <c r="E21" i="2" s="1"/>
  <c r="D6" i="2"/>
  <c r="D21" i="2" s="1"/>
  <c r="C6" i="2"/>
  <c r="C22" i="2" s="1"/>
  <c r="N4" i="2"/>
  <c r="N23" i="2" s="1"/>
  <c r="M4" i="2"/>
  <c r="L4" i="2"/>
  <c r="L23" i="2" s="1"/>
  <c r="K4" i="2"/>
  <c r="K23" i="2" s="1"/>
  <c r="E18" i="2" l="1"/>
  <c r="I21" i="2"/>
  <c r="I18" i="2"/>
  <c r="E8" i="2"/>
  <c r="E10" i="2" s="1"/>
  <c r="G19" i="2"/>
  <c r="I22" i="2"/>
  <c r="H8" i="2"/>
  <c r="H10" i="2" s="1"/>
  <c r="D22" i="2"/>
  <c r="K5" i="2"/>
  <c r="K6" i="2" s="1"/>
  <c r="K21" i="2" s="1"/>
  <c r="G18" i="2"/>
  <c r="K19" i="2"/>
  <c r="E22" i="2"/>
  <c r="G23" i="2"/>
  <c r="D8" i="2"/>
  <c r="D10" i="2" s="1"/>
  <c r="H22" i="2"/>
  <c r="L9" i="9"/>
  <c r="D10" i="5"/>
  <c r="D12" i="5" s="1"/>
  <c r="C10" i="5"/>
  <c r="C31" i="5" s="1"/>
  <c r="C53" i="5"/>
  <c r="M13" i="5" s="1"/>
  <c r="M14" i="5" s="1"/>
  <c r="E10" i="5"/>
  <c r="E31" i="5" s="1"/>
  <c r="H10" i="5"/>
  <c r="H12" i="5" s="1"/>
  <c r="H53" i="5"/>
  <c r="F10" i="5"/>
  <c r="F31" i="5" s="1"/>
  <c r="G10" i="5"/>
  <c r="G31" i="5" s="1"/>
  <c r="G53" i="5"/>
  <c r="C12" i="5"/>
  <c r="D18" i="2"/>
  <c r="H18" i="2"/>
  <c r="H19" i="2"/>
  <c r="J21" i="2"/>
  <c r="H23" i="2"/>
  <c r="M5" i="2"/>
  <c r="M6" i="2" s="1"/>
  <c r="F8" i="2"/>
  <c r="F10" i="2" s="1"/>
  <c r="J8" i="2"/>
  <c r="J10" i="2" s="1"/>
  <c r="F18" i="2"/>
  <c r="J18" i="2"/>
  <c r="I19" i="2"/>
  <c r="M19" i="2"/>
  <c r="C21" i="2"/>
  <c r="G21" i="2"/>
  <c r="F22" i="2"/>
  <c r="E23" i="2"/>
  <c r="I23" i="2"/>
  <c r="M23" i="2"/>
  <c r="L5" i="2"/>
  <c r="L6" i="2" s="1"/>
  <c r="N5" i="2"/>
  <c r="N6" i="2" s="1"/>
  <c r="C8" i="2"/>
  <c r="C10" i="2" s="1"/>
  <c r="G8" i="2"/>
  <c r="G10" i="2" s="1"/>
  <c r="K18" i="2"/>
  <c r="J19" i="2"/>
  <c r="N19" i="2"/>
  <c r="K7" i="2" l="1"/>
  <c r="K8" i="2" s="1"/>
  <c r="K10" i="2" s="1"/>
  <c r="L10" i="9"/>
  <c r="L12" i="9" s="1"/>
  <c r="L23" i="9"/>
  <c r="D31" i="5"/>
  <c r="D36" i="5" s="1"/>
  <c r="C26" i="5"/>
  <c r="E12" i="5"/>
  <c r="G12" i="5"/>
  <c r="H31" i="5"/>
  <c r="H36" i="5" s="1"/>
  <c r="M21" i="5" s="1"/>
  <c r="F12" i="5"/>
  <c r="G36" i="5"/>
  <c r="F36" i="5"/>
  <c r="E36" i="5"/>
  <c r="E54" i="5" s="1"/>
  <c r="E56" i="5" s="1"/>
  <c r="M21" i="2"/>
  <c r="M7" i="2"/>
  <c r="M8" i="2" s="1"/>
  <c r="M10" i="2" s="1"/>
  <c r="L21" i="2"/>
  <c r="L7" i="2"/>
  <c r="L8" i="2" s="1"/>
  <c r="L10" i="2" s="1"/>
  <c r="N7" i="2"/>
  <c r="N8" i="2" s="1"/>
  <c r="N10" i="2" s="1"/>
  <c r="N21" i="2"/>
  <c r="D26" i="5" l="1"/>
  <c r="E26" i="5" s="1"/>
  <c r="F26" i="5" s="1"/>
  <c r="G26" i="5" s="1"/>
  <c r="H26" i="5" s="1"/>
  <c r="D41" i="5"/>
  <c r="D54" i="5"/>
  <c r="D56" i="5" s="1"/>
  <c r="H41" i="5"/>
  <c r="H54" i="5"/>
  <c r="H56" i="5" s="1"/>
  <c r="E41" i="5"/>
  <c r="F41" i="5"/>
  <c r="F54" i="5"/>
  <c r="F56" i="5" s="1"/>
  <c r="G41" i="5"/>
  <c r="G54" i="5"/>
  <c r="G56" i="5" s="1"/>
  <c r="C20" i="1"/>
  <c r="D17" i="1"/>
  <c r="E17" i="1"/>
  <c r="C17" i="1"/>
  <c r="E14" i="1"/>
  <c r="E20" i="1" s="1"/>
  <c r="D14" i="1"/>
  <c r="D20" i="1" s="1"/>
  <c r="C14" i="1"/>
  <c r="E6" i="1"/>
  <c r="E16" i="1" s="1"/>
  <c r="D6" i="1"/>
  <c r="D16" i="1" s="1"/>
  <c r="C6" i="1"/>
  <c r="C16" i="1" s="1"/>
  <c r="F4" i="1"/>
  <c r="F5" i="1" l="1"/>
  <c r="F6" i="1" s="1"/>
  <c r="F7" i="1"/>
  <c r="D8" i="1"/>
  <c r="D19" i="1" s="1"/>
  <c r="F20" i="1"/>
  <c r="M16" i="5"/>
  <c r="C8" i="1"/>
  <c r="E8" i="1"/>
  <c r="D10" i="1" l="1"/>
  <c r="F8" i="1"/>
  <c r="D18" i="1"/>
  <c r="C10" i="1"/>
  <c r="C19" i="1"/>
  <c r="C18" i="1"/>
  <c r="E19" i="1"/>
  <c r="E18" i="1"/>
  <c r="E10" i="1"/>
  <c r="F9" i="1" l="1"/>
  <c r="F10" i="1" s="1"/>
  <c r="F18" i="1"/>
  <c r="C36" i="5" l="1"/>
  <c r="C54" i="5" s="1"/>
  <c r="C41" i="5" l="1"/>
  <c r="C43" i="5" s="1"/>
  <c r="D42" i="5" s="1"/>
  <c r="D43" i="5" s="1"/>
  <c r="D18" i="5"/>
  <c r="C16" i="5" l="1"/>
  <c r="M22" i="5" s="1"/>
  <c r="M23" i="5" s="1"/>
  <c r="M24" i="5" s="1"/>
  <c r="E18" i="5"/>
  <c r="D16" i="5"/>
  <c r="D20" i="5" s="1"/>
  <c r="D25" i="5" s="1"/>
  <c r="D27" i="5" s="1"/>
  <c r="D28" i="5" s="1"/>
  <c r="E42" i="5"/>
  <c r="E43" i="5" s="1"/>
  <c r="C20" i="5"/>
  <c r="C25" i="5" l="1"/>
  <c r="C27" i="5" s="1"/>
  <c r="C28" i="5" s="1"/>
  <c r="F18" i="5"/>
  <c r="F42" i="5"/>
  <c r="F43" i="5" s="1"/>
  <c r="E16" i="5"/>
  <c r="E20" i="5" s="1"/>
  <c r="E25" i="5" l="1"/>
  <c r="E27" i="5" s="1"/>
  <c r="E28" i="5" s="1"/>
  <c r="G18" i="5"/>
  <c r="F16" i="5"/>
  <c r="F20" i="5" s="1"/>
  <c r="G42" i="5"/>
  <c r="G43" i="5" s="1"/>
  <c r="F25" i="5" l="1"/>
  <c r="F27" i="5" s="1"/>
  <c r="F28" i="5" s="1"/>
  <c r="H18" i="5"/>
  <c r="H42" i="5"/>
  <c r="H43" i="5" s="1"/>
  <c r="H16" i="5" s="1"/>
  <c r="H20" i="5" s="1"/>
  <c r="G16" i="5"/>
  <c r="G20" i="5" s="1"/>
  <c r="H25" i="5" l="1"/>
  <c r="H27" i="5" s="1"/>
  <c r="H28" i="5" s="1"/>
  <c r="G25" i="5"/>
  <c r="G27" i="5" s="1"/>
  <c r="G28" i="5" s="1"/>
</calcChain>
</file>

<file path=xl/sharedStrings.xml><?xml version="1.0" encoding="utf-8"?>
<sst xmlns="http://schemas.openxmlformats.org/spreadsheetml/2006/main" count="347" uniqueCount="174">
  <si>
    <t>Income Statement</t>
  </si>
  <si>
    <t>(Dollars in millions)</t>
  </si>
  <si>
    <t>F</t>
  </si>
  <si>
    <t>Revenue</t>
  </si>
  <si>
    <t>Cost of Goods Sold</t>
  </si>
  <si>
    <t>Gross Margin</t>
  </si>
  <si>
    <t>Operating Expenses</t>
  </si>
  <si>
    <t>Operating Margin</t>
  </si>
  <si>
    <t>1Q2018</t>
  </si>
  <si>
    <t>2Q2018</t>
  </si>
  <si>
    <t>3Q2018</t>
  </si>
  <si>
    <t>4Q2018</t>
  </si>
  <si>
    <t>March-18</t>
  </si>
  <si>
    <t>June-18</t>
  </si>
  <si>
    <t>September-18</t>
  </si>
  <si>
    <t>December-18</t>
  </si>
  <si>
    <t>Income Tax</t>
  </si>
  <si>
    <t>Net Income</t>
  </si>
  <si>
    <t>Model Assumptions</t>
  </si>
  <si>
    <t>Effective tax rate</t>
  </si>
  <si>
    <t>4Q2018E</t>
  </si>
  <si>
    <t>check</t>
  </si>
  <si>
    <t>Average Selling Price (ASP) per unit</t>
  </si>
  <si>
    <t>Diluted shares outstanding</t>
  </si>
  <si>
    <t>Diluted Earnings Per Share</t>
  </si>
  <si>
    <t>(Dollars in millions, except share data)</t>
  </si>
  <si>
    <t>1Q2019E</t>
  </si>
  <si>
    <t>2Q2019E</t>
  </si>
  <si>
    <t>3Q2019E</t>
  </si>
  <si>
    <t>4Q2019E</t>
  </si>
  <si>
    <t>March-19</t>
  </si>
  <si>
    <t>June-19</t>
  </si>
  <si>
    <t>September-19</t>
  </si>
  <si>
    <t>December-19</t>
  </si>
  <si>
    <t>4Q2017</t>
  </si>
  <si>
    <t>3Q2017</t>
  </si>
  <si>
    <t>2Q2017</t>
  </si>
  <si>
    <t>1Q2017</t>
  </si>
  <si>
    <t>June-17</t>
  </si>
  <si>
    <t>Revenue per MAU user (in $)</t>
  </si>
  <si>
    <t>Operating expenses to revenue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</si>
  <si>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</si>
  <si>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</si>
  <si>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</si>
  <si>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</si>
  <si>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</si>
  <si>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</si>
  <si>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</si>
  <si>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</si>
  <si>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</si>
  <si>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</si>
  <si>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Significance F</t>
  </si>
  <si>
    <t>Regression</t>
  </si>
  <si>
    <t>Residual</t>
  </si>
  <si>
    <t>Total</t>
  </si>
  <si>
    <t>Coefficients</t>
  </si>
  <si>
    <t>t Stat</t>
  </si>
  <si>
    <t>P-value</t>
  </si>
  <si>
    <t>S&amp;P500 % Chg</t>
  </si>
  <si>
    <t>December-20</t>
  </si>
  <si>
    <t>December-21</t>
  </si>
  <si>
    <t>December-2022</t>
  </si>
  <si>
    <t>December-23</t>
  </si>
  <si>
    <t>FY2019E</t>
  </si>
  <si>
    <t>FY2020E</t>
  </si>
  <si>
    <t>FY2021E</t>
  </si>
  <si>
    <t>FY2022E</t>
  </si>
  <si>
    <t>FY2023E</t>
  </si>
  <si>
    <t>FY2018</t>
  </si>
  <si>
    <t>Balance Sheet</t>
  </si>
  <si>
    <t>Cash</t>
  </si>
  <si>
    <t>All other Assets</t>
  </si>
  <si>
    <t>Total Assets</t>
  </si>
  <si>
    <t>Accounts payable</t>
  </si>
  <si>
    <t>Long-term debt</t>
  </si>
  <si>
    <t>All other liabilities</t>
  </si>
  <si>
    <t>Total Liabilities</t>
  </si>
  <si>
    <t>Total Shareholders' Equity</t>
  </si>
  <si>
    <t>Cash Flow Statement</t>
  </si>
  <si>
    <t>Property, Plant &amp; Equipment (PP&amp;E)</t>
  </si>
  <si>
    <t>Interest expense</t>
  </si>
  <si>
    <t>Pre-tax income</t>
  </si>
  <si>
    <t>Changes in operating Assets &amp; liabilities</t>
  </si>
  <si>
    <t>Net Cash provided by operations</t>
  </si>
  <si>
    <t>Capital expenditures</t>
  </si>
  <si>
    <t>Net Cash provided by investing activities</t>
  </si>
  <si>
    <t>Net Cash provided by financing activities</t>
  </si>
  <si>
    <t>Cash and equivalents</t>
  </si>
  <si>
    <t>Cash and equivalents at beginning of period</t>
  </si>
  <si>
    <t>Cash and equivalents at end of period</t>
  </si>
  <si>
    <t>Net increase in cash and equivalents</t>
  </si>
  <si>
    <t>Net cash/(debt) per share</t>
  </si>
  <si>
    <t>Free Cash Flow to Firm (FCFF)</t>
  </si>
  <si>
    <t>Proceeds from debt issuance/(principle paydown)</t>
  </si>
  <si>
    <t>Operating Expenses (including Depreciation)</t>
  </si>
  <si>
    <t>Interest expense to average debt</t>
  </si>
  <si>
    <t xml:space="preserve">Depreciation expense </t>
  </si>
  <si>
    <t>Ratios and Assumptions</t>
  </si>
  <si>
    <t>Common equity and APIC</t>
  </si>
  <si>
    <t>Retained earnings</t>
  </si>
  <si>
    <t>Operating margin</t>
  </si>
  <si>
    <t>Discounted FCFF</t>
  </si>
  <si>
    <t>Number of years to discount</t>
  </si>
  <si>
    <t>Average debt balance ($ in millions)</t>
  </si>
  <si>
    <t>($ in millions)</t>
  </si>
  <si>
    <t>Capex to revenue</t>
  </si>
  <si>
    <t>Other Information</t>
  </si>
  <si>
    <t xml:space="preserve">Beta </t>
  </si>
  <si>
    <t>Fed Funds Rate</t>
  </si>
  <si>
    <t>10yr U.S. Treasury Rate</t>
  </si>
  <si>
    <t>Required return on equity</t>
  </si>
  <si>
    <t>After tax cost of debt</t>
  </si>
  <si>
    <t>Equity to total capital</t>
  </si>
  <si>
    <t>Tickets sold (in millions)</t>
  </si>
  <si>
    <t>Average Selling Price per ticket (in $)</t>
  </si>
  <si>
    <t>Accounts receivable</t>
  </si>
  <si>
    <t>PP&amp;E</t>
  </si>
  <si>
    <t>Debt</t>
  </si>
  <si>
    <t>December-2017 Balances ($M):</t>
  </si>
  <si>
    <t>Stage-1 WACC</t>
  </si>
  <si>
    <t>Stage-2 WACC</t>
  </si>
  <si>
    <t>Stage-1 NPV of cash flows</t>
  </si>
  <si>
    <t>Stage-2 NPV  (terminal value)</t>
  </si>
  <si>
    <t>DCF valuation per share</t>
  </si>
  <si>
    <t>Market capitalization ($M)</t>
  </si>
  <si>
    <t>Constant Sharpe ratio</t>
  </si>
  <si>
    <t>Volatility</t>
  </si>
  <si>
    <t>Equity Risk Premium</t>
  </si>
  <si>
    <t>Revenue growth (in perpetuity)</t>
  </si>
  <si>
    <t>Constant CFO growth rate</t>
  </si>
  <si>
    <t>Average CapEx (% of sales)</t>
  </si>
  <si>
    <t>Constant Growth Stage Assumptions</t>
  </si>
  <si>
    <t>Unit growth quarter-over-quarter</t>
  </si>
  <si>
    <t>Unit growth year-over-year</t>
  </si>
  <si>
    <t>Cost of goods sold</t>
  </si>
  <si>
    <t>Cones sold (units in millions)</t>
  </si>
  <si>
    <t>Average revenue per cone (in $)</t>
  </si>
  <si>
    <t>Gross margin</t>
  </si>
  <si>
    <t xml:space="preserve">Gross margin </t>
  </si>
  <si>
    <t>($ in millions, except share data)</t>
  </si>
  <si>
    <t>Sensitivity Analysis</t>
  </si>
  <si>
    <t>F1Q2019E Cone Growth year-over-year</t>
  </si>
  <si>
    <t>1Q2019E EPS Sensitivity to Cone Growth and Gross Margin</t>
  </si>
  <si>
    <t>1Q2019E Gross Margin</t>
  </si>
  <si>
    <t>Graphic card units sold</t>
  </si>
  <si>
    <t>Monthly Average Users (MAU, in $M)</t>
  </si>
  <si>
    <t>MAU growth (QoQ)</t>
  </si>
  <si>
    <t>MAU growth (YoY)</t>
  </si>
  <si>
    <t>Revenue/MAU growth (QoQ)</t>
  </si>
  <si>
    <t>Revenue/MAU growth (YoY)</t>
  </si>
  <si>
    <t>Sept-17</t>
  </si>
  <si>
    <t>Sept-18</t>
  </si>
  <si>
    <t>Sept-19</t>
  </si>
  <si>
    <t>Dec-19</t>
  </si>
  <si>
    <t>Dec-18</t>
  </si>
  <si>
    <t>Dec-17</t>
  </si>
  <si>
    <t>Mar-18</t>
  </si>
  <si>
    <t>Mar-17</t>
  </si>
  <si>
    <t>Mar-19</t>
  </si>
  <si>
    <t>Overnight</t>
  </si>
  <si>
    <t>3-mo</t>
  </si>
  <si>
    <t>6-mo</t>
  </si>
  <si>
    <t>1-yr</t>
  </si>
  <si>
    <t>2-yr</t>
  </si>
  <si>
    <t>3-yr</t>
  </si>
  <si>
    <t>5-yr</t>
  </si>
  <si>
    <t>7-yr</t>
  </si>
  <si>
    <t>10-yr</t>
  </si>
  <si>
    <t>20-yr</t>
  </si>
  <si>
    <t>30-yr</t>
  </si>
  <si>
    <t>Intercept</t>
  </si>
  <si>
    <t>Gold Price (%, chg)</t>
  </si>
  <si>
    <t>Target FTI share price</t>
  </si>
  <si>
    <t>DCF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</si>
</sst>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5" formatCode="&quot;$&quot;#,##0_);\(&quot;$&quot;#,##0\)"/>
    <numFmt numFmtId="7" formatCode="&quot;$&quot;#,##0.00_);\(&quot;$&quot;#,##0.00\)"/>
    <numFmt numFmtId="8" formatCode="&quot;$&quot;#,##0.00_);[Red]\(&quot;$&quot;#,##0.00\)"/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_(* #,##0.000_);_(* \(#,##0.000\);_(* &quot;-&quot;??_);_(@_)"/>
    <numFmt numFmtId="167" formatCode="0.0%"/>
    <numFmt numFmtId="168" formatCode="0.0000"/>
    <numFmt numFmtId="169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theme="2"/>
      <name val="Calibri"/>
      <family val="2"/>
      <scheme val="minor"/>
    </font>
    <font>
      <b/>
      <u/>
      <sz val="12"/>
      <color theme="2"/>
      <name val="Calibri"/>
      <family val="2"/>
      <scheme val="minor"/>
    </font>
    <font>
      <b/>
      <sz val="11"/>
      <color theme="2"/>
      <name val="Calibri"/>
      <family val="2"/>
      <scheme val="minor"/>
    </font>
    <font>
      <b/>
      <u val="singleAccounting"/>
      <sz val="11"/>
      <color theme="2"/>
      <name val="Calibri"/>
      <family val="2"/>
      <scheme val="minor"/>
    </font>
    <font>
      <b/>
      <u val="singleAccounting"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0"/>
      <name val="Arial"/>
      <family val="2"/>
    </font>
    <font>
      <b/>
      <i/>
      <u/>
      <sz val="11"/>
      <color theme="1"/>
      <name val="Calibri"/>
      <family val="2"/>
      <scheme val="minor"/>
    </font>
    <font>
      <sz val="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5B3D7"/>
        <bgColor indexed="64"/>
      </patternFill>
    </fill>
  </fills>
  <borders count="5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auto="1"/>
      </right>
      <top style="thin">
        <color theme="0" tint="-0.499984740745262"/>
      </top>
      <bottom style="thin">
        <color theme="0" tint="-0.499984740745262"/>
      </bottom>
      <diagonal/>
    </border>
    <border>
      <left style="hair">
        <color theme="0" tint="-0.499984740745262"/>
      </left>
      <right/>
      <top style="thin">
        <color theme="0" tint="-0.499984740745262"/>
      </top>
      <bottom style="hair">
        <color theme="0" tint="-0.499984740745262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hair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auto="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/>
      <bottom style="hair">
        <color theme="0" tint="-0.499984740745262"/>
      </bottom>
      <diagonal/>
    </border>
    <border>
      <left style="hair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thin">
        <color auto="1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/>
      <diagonal/>
    </border>
    <border>
      <left style="thin">
        <color auto="1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hair">
        <color theme="0" tint="-0.499984740745262"/>
      </right>
      <top style="hair">
        <color theme="0" tint="-0.499984740745262"/>
      </top>
      <bottom/>
      <diagonal/>
    </border>
    <border>
      <left/>
      <right style="hair">
        <color theme="0" tint="-0.499984740745262"/>
      </right>
      <top style="hair">
        <color theme="0" tint="-0.499984740745262"/>
      </top>
      <bottom/>
      <diagonal/>
    </border>
    <border>
      <left style="hair">
        <color theme="0" tint="-0.499984740745262"/>
      </left>
      <right style="hair">
        <color theme="0" tint="-0.499984740745262"/>
      </right>
      <top/>
      <bottom/>
      <diagonal/>
    </border>
    <border>
      <left style="hair">
        <color theme="0" tint="-0.499984740745262"/>
      </left>
      <right/>
      <top style="hair">
        <color theme="0" tint="-0.499984740745262"/>
      </top>
      <bottom/>
      <diagonal/>
    </border>
    <border>
      <left style="hair">
        <color theme="0" tint="-0.499984740745262"/>
      </left>
      <right style="thin">
        <color auto="1"/>
      </right>
      <top style="hair">
        <color theme="0" tint="-0.499984740745262"/>
      </top>
      <bottom/>
      <diagonal/>
    </border>
    <border>
      <left style="thin">
        <color auto="1"/>
      </left>
      <right/>
      <top style="thin">
        <color auto="1"/>
      </top>
      <bottom style="thin">
        <color theme="0" tint="-0.499984740745262"/>
      </bottom>
      <diagonal/>
    </border>
    <border>
      <left/>
      <right style="thin">
        <color auto="1"/>
      </right>
      <top style="thin">
        <color auto="1"/>
      </top>
      <bottom style="thin">
        <color theme="0" tint="-0.499984740745262"/>
      </bottom>
      <diagonal/>
    </border>
    <border>
      <left/>
      <right style="thin">
        <color auto="1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auto="1"/>
      </left>
      <right style="thin">
        <color theme="0" tint="-0.499984740745262"/>
      </right>
      <top style="thin">
        <color theme="0" tint="-0.499984740745262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thin">
        <color auto="1"/>
      </bottom>
      <diagonal/>
    </border>
    <border>
      <left style="thin">
        <color theme="0" tint="-0.499984740745262"/>
      </left>
      <right style="hair">
        <color theme="0" tint="-0.499984740745262"/>
      </right>
      <top style="hair">
        <color theme="0" tint="-0.499984740745262"/>
      </top>
      <bottom style="thin">
        <color auto="1"/>
      </bottom>
      <diagonal/>
    </border>
    <border>
      <left/>
      <right style="hair">
        <color theme="0" tint="-0.499984740745262"/>
      </right>
      <top style="hair">
        <color theme="0" tint="-0.499984740745262"/>
      </top>
      <bottom style="thin">
        <color auto="1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thin">
        <color auto="1"/>
      </bottom>
      <diagonal/>
    </border>
    <border>
      <left style="hair">
        <color theme="0" tint="-0.499984740745262"/>
      </left>
      <right/>
      <top style="hair">
        <color theme="0" tint="-0.499984740745262"/>
      </top>
      <bottom style="thin">
        <color auto="1"/>
      </bottom>
      <diagonal/>
    </border>
    <border>
      <left style="hair">
        <color theme="0" tint="-0.499984740745262"/>
      </left>
      <right style="thin">
        <color auto="1"/>
      </right>
      <top style="hair">
        <color theme="0" tint="-0.499984740745262"/>
      </top>
      <bottom style="thin">
        <color auto="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/>
  </cellStyleXfs>
  <cellXfs count="216">
    <xf numFmtId="0" fontId="0" fillId="0" borderId="0" xfId="0"/>
    <xf numFmtId="0" fontId="2" fillId="0" borderId="0" xfId="0" applyFont="1"/>
    <xf numFmtId="164" fontId="8" fillId="2" borderId="5" xfId="1" quotePrefix="1" applyNumberFormat="1" applyFont="1" applyFill="1" applyBorder="1" applyAlignment="1">
      <alignment horizontal="right"/>
    </xf>
    <xf numFmtId="164" fontId="3" fillId="3" borderId="5" xfId="1" quotePrefix="1" applyNumberFormat="1" applyFont="1" applyFill="1" applyBorder="1" applyAlignment="1">
      <alignment horizontal="right"/>
    </xf>
    <xf numFmtId="164" fontId="9" fillId="2" borderId="0" xfId="1" quotePrefix="1" applyNumberFormat="1" applyFont="1" applyFill="1" applyBorder="1" applyAlignment="1">
      <alignment horizontal="right"/>
    </xf>
    <xf numFmtId="164" fontId="10" fillId="3" borderId="0" xfId="1" quotePrefix="1" applyNumberFormat="1" applyFont="1" applyFill="1" applyBorder="1" applyAlignment="1">
      <alignment horizontal="right"/>
    </xf>
    <xf numFmtId="0" fontId="5" fillId="0" borderId="0" xfId="0" applyFont="1" applyBorder="1" applyAlignment="1">
      <alignment horizontal="left" vertical="top" wrapText="1"/>
    </xf>
    <xf numFmtId="0" fontId="7" fillId="2" borderId="2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left"/>
    </xf>
    <xf numFmtId="164" fontId="3" fillId="3" borderId="3" xfId="1" quotePrefix="1" applyNumberFormat="1" applyFont="1" applyFill="1" applyBorder="1" applyAlignment="1">
      <alignment horizontal="right"/>
    </xf>
    <xf numFmtId="164" fontId="10" fillId="3" borderId="1" xfId="1" quotePrefix="1" applyNumberFormat="1" applyFont="1" applyFill="1" applyBorder="1" applyAlignment="1">
      <alignment horizontal="right"/>
    </xf>
    <xf numFmtId="0" fontId="0" fillId="0" borderId="4" xfId="0" applyBorder="1"/>
    <xf numFmtId="0" fontId="0" fillId="0" borderId="0" xfId="0" applyBorder="1"/>
    <xf numFmtId="0" fontId="0" fillId="0" borderId="1" xfId="0" applyBorder="1"/>
    <xf numFmtId="0" fontId="3" fillId="0" borderId="4" xfId="0" applyFont="1" applyBorder="1" applyAlignment="1">
      <alignment horizontal="left" indent="2"/>
    </xf>
    <xf numFmtId="0" fontId="3" fillId="0" borderId="4" xfId="0" applyFont="1" applyBorder="1"/>
    <xf numFmtId="0" fontId="0" fillId="0" borderId="4" xfId="0" applyFont="1" applyBorder="1"/>
    <xf numFmtId="165" fontId="11" fillId="0" borderId="0" xfId="1" applyNumberFormat="1" applyFont="1" applyBorder="1"/>
    <xf numFmtId="165" fontId="0" fillId="0" borderId="0" xfId="1" applyNumberFormat="1" applyFont="1" applyBorder="1"/>
    <xf numFmtId="165" fontId="0" fillId="0" borderId="1" xfId="1" applyNumberFormat="1" applyFont="1" applyBorder="1"/>
    <xf numFmtId="165" fontId="11" fillId="0" borderId="1" xfId="1" applyNumberFormat="1" applyFont="1" applyBorder="1"/>
    <xf numFmtId="165" fontId="3" fillId="0" borderId="0" xfId="1" applyNumberFormat="1" applyFont="1" applyBorder="1"/>
    <xf numFmtId="165" fontId="3" fillId="0" borderId="1" xfId="1" applyNumberFormat="1" applyFont="1" applyBorder="1"/>
    <xf numFmtId="165" fontId="3" fillId="0" borderId="7" xfId="1" applyNumberFormat="1" applyFont="1" applyBorder="1"/>
    <xf numFmtId="165" fontId="3" fillId="0" borderId="8" xfId="1" applyNumberFormat="1" applyFont="1" applyBorder="1"/>
    <xf numFmtId="9" fontId="0" fillId="0" borderId="0" xfId="2" applyFont="1" applyBorder="1"/>
    <xf numFmtId="9" fontId="0" fillId="4" borderId="1" xfId="2" applyFont="1" applyFill="1" applyBorder="1"/>
    <xf numFmtId="165" fontId="13" fillId="0" borderId="0" xfId="1" applyNumberFormat="1" applyFont="1" applyBorder="1"/>
    <xf numFmtId="165" fontId="13" fillId="0" borderId="1" xfId="1" applyNumberFormat="1" applyFont="1" applyBorder="1"/>
    <xf numFmtId="0" fontId="0" fillId="0" borderId="4" xfId="0" applyFont="1" applyBorder="1" applyAlignment="1">
      <alignment horizontal="left"/>
    </xf>
    <xf numFmtId="0" fontId="3" fillId="0" borderId="6" xfId="0" applyFont="1" applyBorder="1" applyAlignment="1">
      <alignment horizontal="left" indent="2"/>
    </xf>
    <xf numFmtId="0" fontId="3" fillId="0" borderId="6" xfId="0" applyFont="1" applyBorder="1" applyAlignment="1">
      <alignment horizontal="left" indent="3"/>
    </xf>
    <xf numFmtId="0" fontId="3" fillId="0" borderId="4" xfId="0" applyFont="1" applyBorder="1" applyAlignment="1">
      <alignment horizontal="left" indent="3"/>
    </xf>
    <xf numFmtId="5" fontId="0" fillId="0" borderId="0" xfId="1" applyNumberFormat="1" applyFont="1" applyBorder="1"/>
    <xf numFmtId="9" fontId="1" fillId="0" borderId="0" xfId="2" applyFont="1" applyBorder="1"/>
    <xf numFmtId="37" fontId="0" fillId="0" borderId="0" xfId="2" applyNumberFormat="1" applyFont="1" applyBorder="1"/>
    <xf numFmtId="165" fontId="0" fillId="4" borderId="1" xfId="1" applyNumberFormat="1" applyFont="1" applyFill="1" applyBorder="1"/>
    <xf numFmtId="5" fontId="0" fillId="4" borderId="1" xfId="1" applyNumberFormat="1" applyFont="1" applyFill="1" applyBorder="1"/>
    <xf numFmtId="0" fontId="0" fillId="0" borderId="6" xfId="0" applyFont="1" applyBorder="1" applyAlignment="1">
      <alignment horizontal="left"/>
    </xf>
    <xf numFmtId="9" fontId="0" fillId="0" borderId="7" xfId="2" applyFont="1" applyBorder="1"/>
    <xf numFmtId="9" fontId="1" fillId="4" borderId="8" xfId="2" applyFont="1" applyFill="1" applyBorder="1"/>
    <xf numFmtId="0" fontId="15" fillId="0" borderId="5" xfId="0" applyFont="1" applyFill="1" applyBorder="1" applyAlignment="1">
      <alignment horizontal="right"/>
    </xf>
    <xf numFmtId="43" fontId="15" fillId="0" borderId="0" xfId="1" applyFont="1"/>
    <xf numFmtId="9" fontId="0" fillId="4" borderId="0" xfId="2" applyFont="1" applyFill="1" applyBorder="1"/>
    <xf numFmtId="9" fontId="1" fillId="0" borderId="1" xfId="2" applyFont="1" applyBorder="1"/>
    <xf numFmtId="165" fontId="1" fillId="0" borderId="0" xfId="1" applyNumberFormat="1" applyFont="1" applyBorder="1"/>
    <xf numFmtId="165" fontId="1" fillId="0" borderId="1" xfId="1" applyNumberFormat="1" applyFont="1" applyBorder="1"/>
    <xf numFmtId="164" fontId="8" fillId="2" borderId="2" xfId="1" quotePrefix="1" applyNumberFormat="1" applyFont="1" applyFill="1" applyBorder="1" applyAlignment="1">
      <alignment horizontal="right"/>
    </xf>
    <xf numFmtId="164" fontId="8" fillId="2" borderId="3" xfId="1" quotePrefix="1" applyNumberFormat="1" applyFont="1" applyFill="1" applyBorder="1" applyAlignment="1">
      <alignment horizontal="right"/>
    </xf>
    <xf numFmtId="164" fontId="9" fillId="2" borderId="4" xfId="1" quotePrefix="1" applyNumberFormat="1" applyFont="1" applyFill="1" applyBorder="1" applyAlignment="1">
      <alignment horizontal="right"/>
    </xf>
    <xf numFmtId="164" fontId="9" fillId="2" borderId="1" xfId="1" quotePrefix="1" applyNumberFormat="1" applyFont="1" applyFill="1" applyBorder="1" applyAlignment="1">
      <alignment horizontal="right"/>
    </xf>
    <xf numFmtId="165" fontId="0" fillId="0" borderId="4" xfId="1" applyNumberFormat="1" applyFont="1" applyBorder="1"/>
    <xf numFmtId="165" fontId="13" fillId="0" borderId="4" xfId="1" applyNumberFormat="1" applyFont="1" applyBorder="1"/>
    <xf numFmtId="165" fontId="3" fillId="0" borderId="4" xfId="1" applyNumberFormat="1" applyFont="1" applyBorder="1"/>
    <xf numFmtId="165" fontId="1" fillId="0" borderId="4" xfId="1" applyNumberFormat="1" applyFont="1" applyBorder="1"/>
    <xf numFmtId="164" fontId="3" fillId="3" borderId="2" xfId="1" quotePrefix="1" applyNumberFormat="1" applyFont="1" applyFill="1" applyBorder="1" applyAlignment="1">
      <alignment horizontal="right"/>
    </xf>
    <xf numFmtId="164" fontId="10" fillId="3" borderId="4" xfId="1" quotePrefix="1" applyNumberFormat="1" applyFont="1" applyFill="1" applyBorder="1" applyAlignment="1">
      <alignment horizontal="right"/>
    </xf>
    <xf numFmtId="165" fontId="0" fillId="0" borderId="1" xfId="1" applyNumberFormat="1" applyFont="1" applyFill="1" applyBorder="1"/>
    <xf numFmtId="37" fontId="0" fillId="0" borderId="0" xfId="2" applyNumberFormat="1" applyFont="1" applyFill="1" applyBorder="1"/>
    <xf numFmtId="9" fontId="0" fillId="0" borderId="1" xfId="2" applyFont="1" applyFill="1" applyBorder="1"/>
    <xf numFmtId="9" fontId="0" fillId="0" borderId="0" xfId="2" applyFont="1" applyFill="1" applyBorder="1"/>
    <xf numFmtId="43" fontId="3" fillId="0" borderId="6" xfId="1" applyNumberFormat="1" applyFont="1" applyBorder="1"/>
    <xf numFmtId="43" fontId="3" fillId="0" borderId="7" xfId="1" applyNumberFormat="1" applyFont="1" applyBorder="1"/>
    <xf numFmtId="43" fontId="3" fillId="0" borderId="8" xfId="1" applyNumberFormat="1" applyFont="1" applyBorder="1"/>
    <xf numFmtId="165" fontId="0" fillId="4" borderId="4" xfId="1" applyNumberFormat="1" applyFont="1" applyFill="1" applyBorder="1"/>
    <xf numFmtId="165" fontId="0" fillId="4" borderId="0" xfId="1" applyNumberFormat="1" applyFont="1" applyFill="1" applyBorder="1"/>
    <xf numFmtId="7" fontId="0" fillId="0" borderId="0" xfId="1" applyNumberFormat="1" applyFont="1" applyBorder="1"/>
    <xf numFmtId="165" fontId="0" fillId="0" borderId="0" xfId="1" applyNumberFormat="1" applyFont="1" applyFill="1" applyBorder="1"/>
    <xf numFmtId="0" fontId="0" fillId="0" borderId="4" xfId="0" applyFont="1" applyBorder="1" applyAlignment="1">
      <alignment horizontal="left" indent="1"/>
    </xf>
    <xf numFmtId="167" fontId="0" fillId="0" borderId="0" xfId="2" applyNumberFormat="1" applyFont="1" applyBorder="1"/>
    <xf numFmtId="0" fontId="0" fillId="0" borderId="0" xfId="0" applyFill="1"/>
    <xf numFmtId="37" fontId="0" fillId="0" borderId="4" xfId="2" applyNumberFormat="1" applyFont="1" applyBorder="1"/>
    <xf numFmtId="167" fontId="0" fillId="0" borderId="1" xfId="2" applyNumberFormat="1" applyFont="1" applyBorder="1"/>
    <xf numFmtId="7" fontId="0" fillId="0" borderId="4" xfId="1" applyNumberFormat="1" applyFont="1" applyBorder="1"/>
    <xf numFmtId="7" fontId="0" fillId="0" borderId="1" xfId="1" applyNumberFormat="1" applyFont="1" applyBorder="1"/>
    <xf numFmtId="5" fontId="0" fillId="0" borderId="4" xfId="1" applyNumberFormat="1" applyFont="1" applyBorder="1"/>
    <xf numFmtId="9" fontId="0" fillId="0" borderId="4" xfId="2" applyFont="1" applyBorder="1"/>
    <xf numFmtId="9" fontId="1" fillId="0" borderId="4" xfId="2" applyFont="1" applyBorder="1"/>
    <xf numFmtId="9" fontId="0" fillId="0" borderId="6" xfId="2" applyFont="1" applyBorder="1"/>
    <xf numFmtId="9" fontId="0" fillId="0" borderId="8" xfId="2" applyFont="1" applyBorder="1"/>
    <xf numFmtId="37" fontId="0" fillId="0" borderId="4" xfId="2" applyNumberFormat="1" applyFont="1" applyFill="1" applyBorder="1"/>
    <xf numFmtId="167" fontId="0" fillId="0" borderId="4" xfId="2" applyNumberFormat="1" applyFont="1" applyBorder="1"/>
    <xf numFmtId="9" fontId="0" fillId="0" borderId="4" xfId="2" applyFont="1" applyFill="1" applyBorder="1"/>
    <xf numFmtId="167" fontId="0" fillId="4" borderId="0" xfId="2" applyNumberFormat="1" applyFont="1" applyFill="1" applyBorder="1"/>
    <xf numFmtId="167" fontId="0" fillId="4" borderId="1" xfId="2" applyNumberFormat="1" applyFont="1" applyFill="1" applyBorder="1"/>
    <xf numFmtId="7" fontId="0" fillId="4" borderId="0" xfId="1" applyNumberFormat="1" applyFont="1" applyFill="1" applyBorder="1"/>
    <xf numFmtId="7" fontId="0" fillId="4" borderId="1" xfId="1" applyNumberFormat="1" applyFont="1" applyFill="1" applyBorder="1"/>
    <xf numFmtId="9" fontId="0" fillId="4" borderId="7" xfId="2" applyFont="1" applyFill="1" applyBorder="1"/>
    <xf numFmtId="0" fontId="14" fillId="0" borderId="13" xfId="0" applyFont="1" applyFill="1" applyBorder="1" applyAlignment="1">
      <alignment horizontal="centerContinuous"/>
    </xf>
    <xf numFmtId="0" fontId="0" fillId="0" borderId="0" xfId="0" applyFill="1" applyBorder="1" applyAlignment="1"/>
    <xf numFmtId="0" fontId="0" fillId="0" borderId="14" xfId="0" applyFill="1" applyBorder="1" applyAlignment="1"/>
    <xf numFmtId="0" fontId="14" fillId="0" borderId="13" xfId="0" applyFont="1" applyFill="1" applyBorder="1" applyAlignment="1">
      <alignment horizontal="center"/>
    </xf>
    <xf numFmtId="0" fontId="16" fillId="0" borderId="0" xfId="3"/>
    <xf numFmtId="168" fontId="0" fillId="0" borderId="0" xfId="0" applyNumberFormat="1" applyFill="1" applyBorder="1" applyAlignment="1"/>
    <xf numFmtId="168" fontId="0" fillId="0" borderId="14" xfId="0" applyNumberFormat="1" applyFill="1" applyBorder="1" applyAlignment="1"/>
    <xf numFmtId="2" fontId="0" fillId="0" borderId="14" xfId="0" applyNumberFormat="1" applyFill="1" applyBorder="1" applyAlignment="1"/>
    <xf numFmtId="164" fontId="8" fillId="2" borderId="11" xfId="1" quotePrefix="1" applyNumberFormat="1" applyFont="1" applyFill="1" applyBorder="1" applyAlignment="1">
      <alignment horizontal="right"/>
    </xf>
    <xf numFmtId="164" fontId="9" fillId="2" borderId="12" xfId="1" quotePrefix="1" applyNumberFormat="1" applyFont="1" applyFill="1" applyBorder="1" applyAlignment="1">
      <alignment horizontal="right"/>
    </xf>
    <xf numFmtId="165" fontId="0" fillId="0" borderId="12" xfId="1" applyNumberFormat="1" applyFont="1" applyBorder="1"/>
    <xf numFmtId="165" fontId="13" fillId="0" borderId="12" xfId="1" applyNumberFormat="1" applyFont="1" applyBorder="1"/>
    <xf numFmtId="165" fontId="3" fillId="0" borderId="12" xfId="1" applyNumberFormat="1" applyFont="1" applyBorder="1"/>
    <xf numFmtId="165" fontId="1" fillId="0" borderId="12" xfId="1" applyNumberFormat="1" applyFont="1" applyBorder="1"/>
    <xf numFmtId="43" fontId="3" fillId="0" borderId="10" xfId="1" applyNumberFormat="1" applyFont="1" applyBorder="1"/>
    <xf numFmtId="165" fontId="0" fillId="0" borderId="12" xfId="1" applyNumberFormat="1" applyFont="1" applyFill="1" applyBorder="1"/>
    <xf numFmtId="167" fontId="0" fillId="0" borderId="12" xfId="2" applyNumberFormat="1" applyFont="1" applyBorder="1"/>
    <xf numFmtId="7" fontId="0" fillId="0" borderId="12" xfId="1" applyNumberFormat="1" applyFont="1" applyBorder="1"/>
    <xf numFmtId="165" fontId="0" fillId="0" borderId="4" xfId="1" applyNumberFormat="1" applyFont="1" applyFill="1" applyBorder="1"/>
    <xf numFmtId="0" fontId="0" fillId="0" borderId="5" xfId="0" applyBorder="1"/>
    <xf numFmtId="0" fontId="17" fillId="0" borderId="4" xfId="0" applyFont="1" applyBorder="1"/>
    <xf numFmtId="164" fontId="13" fillId="0" borderId="12" xfId="1" applyNumberFormat="1" applyFont="1" applyFill="1" applyBorder="1"/>
    <xf numFmtId="164" fontId="13" fillId="0" borderId="4" xfId="1" applyNumberFormat="1" applyFont="1" applyFill="1" applyBorder="1"/>
    <xf numFmtId="164" fontId="13" fillId="0" borderId="0" xfId="1" applyNumberFormat="1" applyFont="1" applyFill="1" applyBorder="1"/>
    <xf numFmtId="164" fontId="13" fillId="0" borderId="1" xfId="1" applyNumberFormat="1" applyFont="1" applyFill="1" applyBorder="1"/>
    <xf numFmtId="0" fontId="7" fillId="2" borderId="11" xfId="0" applyFont="1" applyFill="1" applyBorder="1" applyAlignment="1">
      <alignment horizontal="left"/>
    </xf>
    <xf numFmtId="0" fontId="0" fillId="0" borderId="12" xfId="0" applyBorder="1"/>
    <xf numFmtId="0" fontId="0" fillId="0" borderId="10" xfId="0" applyBorder="1"/>
    <xf numFmtId="0" fontId="0" fillId="0" borderId="6" xfId="0" applyBorder="1"/>
    <xf numFmtId="169" fontId="0" fillId="0" borderId="0" xfId="0" applyNumberFormat="1" applyBorder="1"/>
    <xf numFmtId="169" fontId="0" fillId="0" borderId="1" xfId="0" applyNumberFormat="1" applyBorder="1"/>
    <xf numFmtId="169" fontId="0" fillId="0" borderId="12" xfId="0" applyNumberFormat="1" applyBorder="1"/>
    <xf numFmtId="165" fontId="0" fillId="0" borderId="11" xfId="1" applyNumberFormat="1" applyFont="1" applyBorder="1"/>
    <xf numFmtId="165" fontId="11" fillId="0" borderId="12" xfId="1" applyNumberFormat="1" applyFont="1" applyBorder="1"/>
    <xf numFmtId="165" fontId="3" fillId="0" borderId="10" xfId="1" applyNumberFormat="1" applyFont="1" applyBorder="1"/>
    <xf numFmtId="0" fontId="3" fillId="0" borderId="6" xfId="0" applyFont="1" applyBorder="1"/>
    <xf numFmtId="0" fontId="0" fillId="0" borderId="0" xfId="0" applyFill="1" applyBorder="1"/>
    <xf numFmtId="0" fontId="0" fillId="0" borderId="4" xfId="0" applyFill="1" applyBorder="1"/>
    <xf numFmtId="0" fontId="0" fillId="0" borderId="2" xfId="0" applyBorder="1"/>
    <xf numFmtId="0" fontId="0" fillId="0" borderId="4" xfId="0" applyBorder="1" applyAlignment="1">
      <alignment horizontal="left"/>
    </xf>
    <xf numFmtId="0" fontId="0" fillId="0" borderId="6" xfId="0" applyFill="1" applyBorder="1"/>
    <xf numFmtId="10" fontId="0" fillId="0" borderId="1" xfId="0" applyNumberFormat="1" applyBorder="1"/>
    <xf numFmtId="7" fontId="0" fillId="0" borderId="12" xfId="1" applyNumberFormat="1" applyFont="1" applyFill="1" applyBorder="1"/>
    <xf numFmtId="7" fontId="0" fillId="0" borderId="0" xfId="1" applyNumberFormat="1" applyFont="1" applyFill="1" applyBorder="1"/>
    <xf numFmtId="7" fontId="0" fillId="0" borderId="1" xfId="1" applyNumberFormat="1" applyFont="1" applyFill="1" applyBorder="1"/>
    <xf numFmtId="165" fontId="0" fillId="0" borderId="4" xfId="1" applyNumberFormat="1" applyFont="1" applyBorder="1" applyAlignment="1">
      <alignment horizontal="left"/>
    </xf>
    <xf numFmtId="10" fontId="0" fillId="4" borderId="1" xfId="0" applyNumberFormat="1" applyFill="1" applyBorder="1"/>
    <xf numFmtId="165" fontId="0" fillId="0" borderId="7" xfId="1" applyNumberFormat="1" applyFont="1" applyBorder="1"/>
    <xf numFmtId="165" fontId="0" fillId="0" borderId="8" xfId="1" applyNumberFormat="1" applyFont="1" applyBorder="1"/>
    <xf numFmtId="165" fontId="0" fillId="4" borderId="7" xfId="1" applyNumberFormat="1" applyFont="1" applyFill="1" applyBorder="1"/>
    <xf numFmtId="0" fontId="7" fillId="0" borderId="12" xfId="0" applyFont="1" applyFill="1" applyBorder="1" applyAlignment="1">
      <alignment horizontal="left"/>
    </xf>
    <xf numFmtId="165" fontId="0" fillId="0" borderId="3" xfId="1" applyNumberFormat="1" applyFont="1" applyBorder="1"/>
    <xf numFmtId="165" fontId="0" fillId="0" borderId="1" xfId="1" applyNumberFormat="1" applyFont="1" applyBorder="1" applyAlignment="1">
      <alignment horizontal="left"/>
    </xf>
    <xf numFmtId="165" fontId="0" fillId="0" borderId="8" xfId="1" applyNumberFormat="1" applyFont="1" applyFill="1" applyBorder="1"/>
    <xf numFmtId="165" fontId="18" fillId="0" borderId="0" xfId="0" applyNumberFormat="1" applyFont="1"/>
    <xf numFmtId="0" fontId="12" fillId="0" borderId="4" xfId="0" applyFont="1" applyFill="1" applyBorder="1"/>
    <xf numFmtId="8" fontId="0" fillId="0" borderId="3" xfId="0" applyNumberFormat="1" applyBorder="1"/>
    <xf numFmtId="10" fontId="0" fillId="4" borderId="1" xfId="2" applyNumberFormat="1" applyFont="1" applyFill="1" applyBorder="1"/>
    <xf numFmtId="165" fontId="0" fillId="4" borderId="1" xfId="0" applyNumberFormat="1" applyFill="1" applyBorder="1"/>
    <xf numFmtId="165" fontId="0" fillId="0" borderId="1" xfId="0" applyNumberFormat="1" applyFill="1" applyBorder="1"/>
    <xf numFmtId="167" fontId="0" fillId="0" borderId="1" xfId="2" applyNumberFormat="1" applyFont="1" applyFill="1" applyBorder="1"/>
    <xf numFmtId="165" fontId="0" fillId="0" borderId="1" xfId="1" quotePrefix="1" applyNumberFormat="1" applyFont="1" applyBorder="1"/>
    <xf numFmtId="43" fontId="0" fillId="0" borderId="1" xfId="0" applyNumberFormat="1" applyBorder="1"/>
    <xf numFmtId="8" fontId="0" fillId="4" borderId="8" xfId="0" applyNumberFormat="1" applyFill="1" applyBorder="1"/>
    <xf numFmtId="167" fontId="0" fillId="0" borderId="0" xfId="2" applyNumberFormat="1" applyFont="1" applyFill="1" applyBorder="1"/>
    <xf numFmtId="166" fontId="0" fillId="0" borderId="0" xfId="0" applyNumberFormat="1"/>
    <xf numFmtId="43" fontId="15" fillId="0" borderId="0" xfId="1" applyFont="1" applyFill="1"/>
    <xf numFmtId="167" fontId="0" fillId="0" borderId="4" xfId="2" applyNumberFormat="1" applyFont="1" applyFill="1" applyBorder="1"/>
    <xf numFmtId="167" fontId="0" fillId="0" borderId="12" xfId="2" applyNumberFormat="1" applyFont="1" applyFill="1" applyBorder="1"/>
    <xf numFmtId="167" fontId="1" fillId="0" borderId="4" xfId="2" applyNumberFormat="1" applyFont="1" applyBorder="1"/>
    <xf numFmtId="167" fontId="1" fillId="0" borderId="0" xfId="2" applyNumberFormat="1" applyFont="1" applyBorder="1"/>
    <xf numFmtId="167" fontId="1" fillId="0" borderId="1" xfId="2" applyNumberFormat="1" applyFont="1" applyBorder="1"/>
    <xf numFmtId="167" fontId="0" fillId="0" borderId="6" xfId="2" applyNumberFormat="1" applyFont="1" applyBorder="1"/>
    <xf numFmtId="167" fontId="0" fillId="0" borderId="7" xfId="2" applyNumberFormat="1" applyFont="1" applyBorder="1"/>
    <xf numFmtId="167" fontId="0" fillId="0" borderId="8" xfId="2" applyNumberFormat="1" applyFont="1" applyBorder="1"/>
    <xf numFmtId="167" fontId="1" fillId="0" borderId="8" xfId="2" applyNumberFormat="1" applyFont="1" applyFill="1" applyBorder="1"/>
    <xf numFmtId="167" fontId="0" fillId="4" borderId="7" xfId="2" applyNumberFormat="1" applyFont="1" applyFill="1" applyBorder="1"/>
    <xf numFmtId="167" fontId="1" fillId="4" borderId="8" xfId="2" applyNumberFormat="1" applyFont="1" applyFill="1" applyBorder="1"/>
    <xf numFmtId="43" fontId="4" fillId="0" borderId="0" xfId="0" applyNumberFormat="1" applyFont="1" applyFill="1" applyBorder="1"/>
    <xf numFmtId="167" fontId="0" fillId="0" borderId="20" xfId="2" applyNumberFormat="1" applyFont="1" applyFill="1" applyBorder="1" applyAlignment="1">
      <alignment horizontal="center" vertical="center"/>
    </xf>
    <xf numFmtId="167" fontId="0" fillId="0" borderId="21" xfId="2" applyNumberFormat="1" applyFont="1" applyFill="1" applyBorder="1" applyAlignment="1">
      <alignment horizontal="center" vertical="center"/>
    </xf>
    <xf numFmtId="167" fontId="0" fillId="0" borderId="22" xfId="2" applyNumberFormat="1" applyFont="1" applyFill="1" applyBorder="1" applyAlignment="1">
      <alignment horizontal="center" vertical="center"/>
    </xf>
    <xf numFmtId="167" fontId="0" fillId="0" borderId="24" xfId="2" applyNumberFormat="1" applyFont="1" applyFill="1" applyBorder="1" applyAlignment="1">
      <alignment horizontal="right" vertical="center"/>
    </xf>
    <xf numFmtId="7" fontId="0" fillId="0" borderId="25" xfId="0" applyNumberFormat="1" applyFill="1" applyBorder="1" applyAlignment="1">
      <alignment horizontal="center"/>
    </xf>
    <xf numFmtId="7" fontId="0" fillId="0" borderId="26" xfId="0" applyNumberFormat="1" applyFill="1" applyBorder="1" applyAlignment="1">
      <alignment horizontal="center"/>
    </xf>
    <xf numFmtId="7" fontId="0" fillId="0" borderId="27" xfId="0" applyNumberFormat="1" applyFill="1" applyBorder="1" applyAlignment="1">
      <alignment horizontal="center"/>
    </xf>
    <xf numFmtId="7" fontId="0" fillId="0" borderId="28" xfId="0" applyNumberFormat="1" applyFill="1" applyBorder="1" applyAlignment="1">
      <alignment horizontal="center"/>
    </xf>
    <xf numFmtId="7" fontId="0" fillId="0" borderId="29" xfId="0" applyNumberFormat="1" applyFill="1" applyBorder="1" applyAlignment="1">
      <alignment horizontal="center"/>
    </xf>
    <xf numFmtId="7" fontId="0" fillId="0" borderId="30" xfId="0" applyNumberFormat="1" applyFill="1" applyBorder="1" applyAlignment="1">
      <alignment horizontal="center"/>
    </xf>
    <xf numFmtId="167" fontId="0" fillId="0" borderId="31" xfId="2" applyNumberFormat="1" applyFont="1" applyFill="1" applyBorder="1" applyAlignment="1">
      <alignment horizontal="right" vertical="center"/>
    </xf>
    <xf numFmtId="7" fontId="0" fillId="0" borderId="32" xfId="0" applyNumberFormat="1" applyFill="1" applyBorder="1" applyAlignment="1">
      <alignment horizontal="center"/>
    </xf>
    <xf numFmtId="167" fontId="0" fillId="0" borderId="33" xfId="2" applyNumberFormat="1" applyFont="1" applyFill="1" applyBorder="1" applyAlignment="1">
      <alignment horizontal="right" vertical="center"/>
    </xf>
    <xf numFmtId="167" fontId="0" fillId="0" borderId="21" xfId="2" applyNumberFormat="1" applyFont="1" applyFill="1" applyBorder="1" applyAlignment="1">
      <alignment horizontal="right" vertical="center"/>
    </xf>
    <xf numFmtId="7" fontId="0" fillId="0" borderId="35" xfId="0" applyNumberFormat="1" applyFill="1" applyBorder="1" applyAlignment="1">
      <alignment horizontal="center"/>
    </xf>
    <xf numFmtId="7" fontId="0" fillId="0" borderId="21" xfId="0" applyNumberFormat="1" applyFill="1" applyBorder="1" applyAlignment="1">
      <alignment horizontal="center"/>
    </xf>
    <xf numFmtId="7" fontId="0" fillId="0" borderId="36" xfId="0" applyNumberFormat="1" applyFill="1" applyBorder="1" applyAlignment="1">
      <alignment horizontal="center"/>
    </xf>
    <xf numFmtId="7" fontId="0" fillId="0" borderId="37" xfId="0" applyNumberFormat="1" applyFill="1" applyBorder="1" applyAlignment="1">
      <alignment horizontal="center"/>
    </xf>
    <xf numFmtId="7" fontId="0" fillId="0" borderId="38" xfId="0" applyNumberFormat="1" applyFill="1" applyBorder="1" applyAlignment="1">
      <alignment horizontal="center"/>
    </xf>
    <xf numFmtId="7" fontId="0" fillId="0" borderId="39" xfId="0" applyNumberFormat="1" applyFill="1" applyBorder="1" applyAlignment="1">
      <alignment horizontal="center"/>
    </xf>
    <xf numFmtId="7" fontId="0" fillId="0" borderId="40" xfId="0" applyNumberFormat="1" applyFill="1" applyBorder="1" applyAlignment="1">
      <alignment horizontal="center"/>
    </xf>
    <xf numFmtId="0" fontId="3" fillId="0" borderId="0" xfId="0" applyFont="1"/>
    <xf numFmtId="10" fontId="0" fillId="0" borderId="0" xfId="2" applyNumberFormat="1" applyFont="1"/>
    <xf numFmtId="167" fontId="0" fillId="0" borderId="43" xfId="2" applyNumberFormat="1" applyFont="1" applyFill="1" applyBorder="1" applyAlignment="1">
      <alignment horizontal="center" vertical="center"/>
    </xf>
    <xf numFmtId="167" fontId="0" fillId="0" borderId="45" xfId="2" applyNumberFormat="1" applyFont="1" applyFill="1" applyBorder="1" applyAlignment="1">
      <alignment horizontal="right" vertical="center"/>
    </xf>
    <xf numFmtId="7" fontId="0" fillId="0" borderId="46" xfId="0" applyNumberFormat="1" applyFill="1" applyBorder="1" applyAlignment="1">
      <alignment horizontal="center"/>
    </xf>
    <xf numFmtId="7" fontId="0" fillId="0" borderId="47" xfId="0" applyNumberFormat="1" applyFill="1" applyBorder="1" applyAlignment="1">
      <alignment horizontal="center"/>
    </xf>
    <xf numFmtId="7" fontId="0" fillId="0" borderId="48" xfId="0" applyNumberFormat="1" applyFill="1" applyBorder="1" applyAlignment="1">
      <alignment horizontal="center"/>
    </xf>
    <xf numFmtId="7" fontId="0" fillId="0" borderId="49" xfId="0" applyNumberFormat="1" applyFill="1" applyBorder="1" applyAlignment="1">
      <alignment horizontal="center"/>
    </xf>
    <xf numFmtId="7" fontId="0" fillId="0" borderId="50" xfId="0" applyNumberForma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168" fontId="0" fillId="0" borderId="0" xfId="0" applyNumberFormat="1" applyFont="1" applyFill="1" applyBorder="1" applyAlignment="1">
      <alignment horizontal="right"/>
    </xf>
    <xf numFmtId="168" fontId="0" fillId="0" borderId="14" xfId="0" applyNumberFormat="1" applyFont="1" applyFill="1" applyBorder="1" applyAlignment="1">
      <alignment horizontal="right"/>
    </xf>
    <xf numFmtId="0" fontId="6" fillId="0" borderId="0" xfId="0" applyFont="1" applyFill="1" applyBorder="1" applyAlignment="1">
      <alignment horizontal="center" wrapText="1"/>
    </xf>
    <xf numFmtId="0" fontId="7" fillId="2" borderId="15" xfId="0" applyFont="1" applyFill="1" applyBorder="1" applyAlignment="1">
      <alignment horizontal="left"/>
    </xf>
    <xf numFmtId="0" fontId="7" fillId="2" borderId="9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left"/>
    </xf>
    <xf numFmtId="0" fontId="7" fillId="2" borderId="5" xfId="0" applyFont="1" applyFill="1" applyBorder="1" applyAlignment="1">
      <alignment horizontal="left"/>
    </xf>
    <xf numFmtId="0" fontId="7" fillId="2" borderId="41" xfId="0" applyFont="1" applyFill="1" applyBorder="1" applyAlignment="1">
      <alignment horizontal="center"/>
    </xf>
    <xf numFmtId="0" fontId="7" fillId="2" borderId="16" xfId="0" applyFont="1" applyFill="1" applyBorder="1" applyAlignment="1">
      <alignment horizontal="center"/>
    </xf>
    <xf numFmtId="0" fontId="7" fillId="2" borderId="42" xfId="0" applyFont="1" applyFill="1" applyBorder="1" applyAlignment="1">
      <alignment horizontal="center"/>
    </xf>
    <xf numFmtId="164" fontId="8" fillId="2" borderId="17" xfId="1" quotePrefix="1" applyNumberFormat="1" applyFont="1" applyFill="1" applyBorder="1" applyAlignment="1">
      <alignment horizontal="center" vertical="center" wrapText="1"/>
    </xf>
    <xf numFmtId="164" fontId="8" fillId="2" borderId="18" xfId="1" quotePrefix="1" applyNumberFormat="1" applyFont="1" applyFill="1" applyBorder="1" applyAlignment="1">
      <alignment horizontal="center" vertical="center" wrapText="1"/>
    </xf>
    <xf numFmtId="164" fontId="8" fillId="2" borderId="19" xfId="1" quotePrefix="1" applyNumberFormat="1" applyFont="1" applyFill="1" applyBorder="1" applyAlignment="1">
      <alignment horizontal="center" vertical="center" wrapText="1"/>
    </xf>
    <xf numFmtId="164" fontId="8" fillId="2" borderId="23" xfId="1" quotePrefix="1" applyNumberFormat="1" applyFont="1" applyFill="1" applyBorder="1" applyAlignment="1">
      <alignment horizontal="center" vertical="center" wrapText="1"/>
    </xf>
    <xf numFmtId="164" fontId="8" fillId="2" borderId="34" xfId="1" quotePrefix="1" applyNumberFormat="1" applyFont="1" applyFill="1" applyBorder="1" applyAlignment="1">
      <alignment horizontal="center" vertical="center" wrapText="1"/>
    </xf>
    <xf numFmtId="164" fontId="8" fillId="2" borderId="44" xfId="1" quotePrefix="1" applyNumberFormat="1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right"/>
    </xf>
    <xf numFmtId="165" fontId="14" fillId="0" borderId="0" xfId="1" applyNumberFormat="1" applyFont="1"/>
  </cellXfs>
  <cellStyles count="5">
    <cellStyle name="Comma" xfId="1" builtinId="3"/>
    <cellStyle name="Normal" xfId="0" builtinId="0"/>
    <cellStyle name="Normal 2" xfId="3" xr:uid="{0AD3A065-2E8F-4AB5-BC5A-4963F10F968D}"/>
    <cellStyle name="Normal 3" xfId="4" xr:uid="{E2903071-2DFF-460F-9FF0-2938A78C8223}"/>
    <cellStyle name="Percent" xfId="2" builtinId="5"/>
  </cellStyles>
  <dxfs count="0"/>
  <tableStyles count="0" defaultTableStyle="TableStyleMedium2" defaultPivotStyle="PivotStyleLight16"/>
  <colors>
    <mruColors>
      <color rgb="FF595959"/>
      <color rgb="FF95B3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v>Yield Curve</c:v>
          </c:tx>
          <c:spPr>
            <a:ln>
              <a:solidFill>
                <a:srgbClr val="595959"/>
              </a:solidFill>
            </a:ln>
          </c:spPr>
          <c:marker>
            <c:symbol val="none"/>
          </c:marker>
          <c:cat>
            <c:strRef>
              <c:f>'Class 5'!$B$2:$L$2</c:f>
              <c:strCache>
                <c:ptCount val="11"/>
                <c:pt idx="0">
                  <c:v>Overnight</c:v>
                </c:pt>
                <c:pt idx="1">
                  <c:v>3-mo</c:v>
                </c:pt>
                <c:pt idx="2">
                  <c:v>6-mo</c:v>
                </c:pt>
                <c:pt idx="3">
                  <c:v>1-yr</c:v>
                </c:pt>
                <c:pt idx="4">
                  <c:v>2-yr</c:v>
                </c:pt>
                <c:pt idx="5">
                  <c:v>3-yr</c:v>
                </c:pt>
                <c:pt idx="6">
                  <c:v>5-yr</c:v>
                </c:pt>
                <c:pt idx="7">
                  <c:v>7-yr</c:v>
                </c:pt>
                <c:pt idx="8">
                  <c:v>10-yr</c:v>
                </c:pt>
                <c:pt idx="9">
                  <c:v>20-yr</c:v>
                </c:pt>
                <c:pt idx="10">
                  <c:v>30-yr</c:v>
                </c:pt>
              </c:strCache>
            </c:strRef>
          </c:cat>
          <c:val>
            <c:numRef>
              <c:f>'Class 5'!$B$3:$L$3</c:f>
              <c:numCache>
                <c:formatCode>0.00%</c:formatCode>
                <c:ptCount val="11"/>
                <c:pt idx="0">
                  <c:v>2.2499999999999999E-2</c:v>
                </c:pt>
                <c:pt idx="1">
                  <c:v>2.5000000000000001E-2</c:v>
                </c:pt>
                <c:pt idx="2">
                  <c:v>2.6499999999999999E-2</c:v>
                </c:pt>
                <c:pt idx="3">
                  <c:v>2.8000000000000001E-2</c:v>
                </c:pt>
                <c:pt idx="4">
                  <c:v>2.9000000000000001E-2</c:v>
                </c:pt>
                <c:pt idx="5">
                  <c:v>0.03</c:v>
                </c:pt>
                <c:pt idx="6">
                  <c:v>3.1E-2</c:v>
                </c:pt>
                <c:pt idx="7">
                  <c:v>3.15E-2</c:v>
                </c:pt>
                <c:pt idx="8">
                  <c:v>3.2500000000000001E-2</c:v>
                </c:pt>
                <c:pt idx="9">
                  <c:v>3.5000000000000003E-2</c:v>
                </c:pt>
                <c:pt idx="10">
                  <c:v>3.7499999999999999E-2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E3-4C9E-90F7-C96CA8E81A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572416"/>
        <c:axId val="167176832"/>
      </c:lineChart>
      <c:catAx>
        <c:axId val="166572416"/>
        <c:scaling>
          <c:orientation val="minMax"/>
        </c:scaling>
        <c:delete val="0"/>
        <c:axPos val="b"/>
        <c:numFmt formatCode="[$-409]mmm\-yy;@" sourceLinked="0"/>
        <c:majorTickMark val="none"/>
        <c:minorTickMark val="none"/>
        <c:tickLblPos val="low"/>
        <c:txPr>
          <a:bodyPr rot="-4440000"/>
          <a:lstStyle/>
          <a:p>
            <a:pPr>
              <a:defRPr/>
            </a:pPr>
            <a:endParaRPr lang="en-US"/>
          </a:p>
        </c:txPr>
        <c:crossAx val="167176832"/>
        <c:crosses val="autoZero"/>
        <c:auto val="1"/>
        <c:lblAlgn val="ctr"/>
        <c:lblOffset val="100"/>
        <c:noMultiLvlLbl val="0"/>
      </c:catAx>
      <c:valAx>
        <c:axId val="167176832"/>
        <c:scaling>
          <c:orientation val="minMax"/>
          <c:min val="2.0000000000000004E-2"/>
        </c:scaling>
        <c:delete val="0"/>
        <c:axPos val="l"/>
        <c:majorGridlines>
          <c:spPr>
            <a:ln>
              <a:prstDash val="dash"/>
            </a:ln>
          </c:spPr>
        </c:majorGridlines>
        <c:numFmt formatCode="0.0%" sourceLinked="0"/>
        <c:majorTickMark val="out"/>
        <c:minorTickMark val="none"/>
        <c:tickLblPos val="nextTo"/>
        <c:spPr>
          <a:ln>
            <a:noFill/>
          </a:ln>
        </c:spPr>
        <c:crossAx val="166572416"/>
        <c:crosses val="autoZero"/>
        <c:crossBetween val="between"/>
        <c:majorUnit val="4.000000000000001E-3"/>
      </c:valAx>
    </c:plotArea>
    <c:legend>
      <c:legendPos val="b"/>
      <c:layout>
        <c:manualLayout>
          <c:xMode val="edge"/>
          <c:yMode val="edge"/>
          <c:x val="0.43903561065658159"/>
          <c:y val="0.80792896478430998"/>
          <c:w val="0.11907391971686992"/>
          <c:h val="7.7040360369064295E-2"/>
        </c:manualLayout>
      </c:layout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91439</xdr:colOff>
      <xdr:row>4</xdr:row>
      <xdr:rowOff>45720</xdr:rowOff>
    </xdr:from>
    <xdr:to>
      <xdr:col>16</xdr:col>
      <xdr:colOff>454151</xdr:colOff>
      <xdr:row>20</xdr:row>
      <xdr:rowOff>100584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678A67-56C5-4B91-85EA-BD40BB8180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B17E3-AB61-4D90-BAAA-9A5322873FB4}">
  <dimension ref="A1:H21"/>
  <sheetViews>
    <sheetView showGridLines="0" tabSelected="1" workbookViewId="0">
      <selection activeCell="G2" sqref="G2"/>
    </sheetView>
  </sheetViews>
  <sheetFormatPr defaultRowHeight="15" x14ac:dyDescent="0.25"/>
  <cols>
    <col min="1" max="1" width="0.7109375" customWidth="1"/>
    <col min="2" max="2" width="28.5703125" customWidth="1"/>
    <col min="3" max="6" width="13.85546875" customWidth="1"/>
  </cols>
  <sheetData>
    <row r="1" spans="1:8" ht="4.1500000000000004" customHeight="1" x14ac:dyDescent="0.25">
      <c r="A1" s="1"/>
      <c r="B1" s="6"/>
      <c r="H1" s="70"/>
    </row>
    <row r="2" spans="1:8" ht="15.75" x14ac:dyDescent="0.25">
      <c r="A2" s="200"/>
      <c r="B2" s="7" t="s">
        <v>0</v>
      </c>
      <c r="C2" s="2" t="s">
        <v>12</v>
      </c>
      <c r="D2" s="2" t="s">
        <v>13</v>
      </c>
      <c r="E2" s="2" t="s">
        <v>14</v>
      </c>
      <c r="F2" s="9" t="s">
        <v>15</v>
      </c>
      <c r="H2" s="70"/>
    </row>
    <row r="3" spans="1:8" ht="17.25" x14ac:dyDescent="0.4">
      <c r="A3" s="200"/>
      <c r="B3" s="8" t="s">
        <v>1</v>
      </c>
      <c r="C3" s="4" t="s">
        <v>8</v>
      </c>
      <c r="D3" s="4" t="s">
        <v>9</v>
      </c>
      <c r="E3" s="4" t="s">
        <v>10</v>
      </c>
      <c r="F3" s="10" t="s">
        <v>20</v>
      </c>
      <c r="H3" s="70"/>
    </row>
    <row r="4" spans="1:8" x14ac:dyDescent="0.25">
      <c r="B4" s="11" t="s">
        <v>3</v>
      </c>
      <c r="C4" s="18">
        <v>500</v>
      </c>
      <c r="D4" s="18">
        <v>750</v>
      </c>
      <c r="E4" s="18">
        <v>200</v>
      </c>
      <c r="F4" s="19">
        <f>+F14/1000000*F15</f>
        <v>150</v>
      </c>
      <c r="H4" s="70"/>
    </row>
    <row r="5" spans="1:8" x14ac:dyDescent="0.25">
      <c r="B5" s="11" t="s">
        <v>4</v>
      </c>
      <c r="C5" s="17">
        <v>200</v>
      </c>
      <c r="D5" s="17">
        <v>260</v>
      </c>
      <c r="E5" s="17">
        <v>90</v>
      </c>
      <c r="F5" s="20">
        <f>+(1-F16)*F4</f>
        <v>75</v>
      </c>
      <c r="H5" s="70"/>
    </row>
    <row r="6" spans="1:8" x14ac:dyDescent="0.25">
      <c r="B6" s="32" t="s">
        <v>137</v>
      </c>
      <c r="C6" s="21">
        <f>+C4-C5</f>
        <v>300</v>
      </c>
      <c r="D6" s="21">
        <f t="shared" ref="D6" si="0">+D4-D5</f>
        <v>490</v>
      </c>
      <c r="E6" s="21">
        <f t="shared" ref="E6" si="1">+E4-E5</f>
        <v>110</v>
      </c>
      <c r="F6" s="22">
        <f>+F4-F5</f>
        <v>75</v>
      </c>
      <c r="H6" s="70"/>
    </row>
    <row r="7" spans="1:8" ht="17.25" x14ac:dyDescent="0.4">
      <c r="B7" s="11" t="s">
        <v>6</v>
      </c>
      <c r="C7" s="27">
        <v>100</v>
      </c>
      <c r="D7" s="27">
        <v>125</v>
      </c>
      <c r="E7" s="27">
        <v>90</v>
      </c>
      <c r="F7" s="28">
        <f>+F4*F17</f>
        <v>30</v>
      </c>
      <c r="H7" s="70"/>
    </row>
    <row r="8" spans="1:8" x14ac:dyDescent="0.25">
      <c r="B8" s="32" t="s">
        <v>100</v>
      </c>
      <c r="C8" s="21">
        <f>+C6-C7</f>
        <v>200</v>
      </c>
      <c r="D8" s="21">
        <f t="shared" ref="D8" si="2">+D6-D7</f>
        <v>365</v>
      </c>
      <c r="E8" s="21">
        <f t="shared" ref="E8" si="3">+E6-E7</f>
        <v>20</v>
      </c>
      <c r="F8" s="22">
        <f>+F6-F7</f>
        <v>45</v>
      </c>
      <c r="H8" s="70"/>
    </row>
    <row r="9" spans="1:8" ht="17.25" x14ac:dyDescent="0.4">
      <c r="B9" s="11" t="s">
        <v>16</v>
      </c>
      <c r="C9" s="27">
        <v>50</v>
      </c>
      <c r="D9" s="27">
        <v>91.25</v>
      </c>
      <c r="E9" s="27">
        <v>5</v>
      </c>
      <c r="F9" s="28">
        <f>F8*F19</f>
        <v>11.25</v>
      </c>
      <c r="H9" s="70"/>
    </row>
    <row r="10" spans="1:8" x14ac:dyDescent="0.25">
      <c r="B10" s="31" t="s">
        <v>17</v>
      </c>
      <c r="C10" s="23">
        <f>+C8-C9</f>
        <v>150</v>
      </c>
      <c r="D10" s="23">
        <f t="shared" ref="D10" si="4">+D8-D9</f>
        <v>273.75</v>
      </c>
      <c r="E10" s="23">
        <f>+E8-E9</f>
        <v>15</v>
      </c>
      <c r="F10" s="24">
        <f t="shared" ref="F10" si="5">+F8-F9</f>
        <v>33.75</v>
      </c>
      <c r="H10" s="70"/>
    </row>
    <row r="11" spans="1:8" x14ac:dyDescent="0.25">
      <c r="H11" s="70"/>
    </row>
    <row r="12" spans="1:8" ht="15.75" x14ac:dyDescent="0.25">
      <c r="B12" s="7" t="s">
        <v>18</v>
      </c>
      <c r="C12" s="2" t="s">
        <v>12</v>
      </c>
      <c r="D12" s="2" t="s">
        <v>13</v>
      </c>
      <c r="E12" s="2" t="s">
        <v>14</v>
      </c>
      <c r="F12" s="9" t="s">
        <v>15</v>
      </c>
      <c r="H12" s="70"/>
    </row>
    <row r="13" spans="1:8" ht="17.25" x14ac:dyDescent="0.4">
      <c r="B13" s="8"/>
      <c r="C13" s="4" t="s">
        <v>8</v>
      </c>
      <c r="D13" s="4" t="s">
        <v>9</v>
      </c>
      <c r="E13" s="4" t="s">
        <v>10</v>
      </c>
      <c r="F13" s="10" t="s">
        <v>20</v>
      </c>
      <c r="H13" s="70"/>
    </row>
    <row r="14" spans="1:8" x14ac:dyDescent="0.25">
      <c r="B14" s="16" t="s">
        <v>144</v>
      </c>
      <c r="C14" s="35">
        <f>+C4/C15*1000000</f>
        <v>2000000</v>
      </c>
      <c r="D14" s="35">
        <f t="shared" ref="D14" si="6">+D4/D15*1000000</f>
        <v>3000000</v>
      </c>
      <c r="E14" s="35">
        <f t="shared" ref="E14" si="7">+E4/E15*1000000</f>
        <v>888888.88888888888</v>
      </c>
      <c r="F14" s="36">
        <v>750000</v>
      </c>
      <c r="H14" s="70"/>
    </row>
    <row r="15" spans="1:8" x14ac:dyDescent="0.25">
      <c r="B15" s="16" t="s">
        <v>22</v>
      </c>
      <c r="C15" s="33">
        <v>250</v>
      </c>
      <c r="D15" s="33">
        <v>250</v>
      </c>
      <c r="E15" s="33">
        <v>225</v>
      </c>
      <c r="F15" s="37">
        <v>200</v>
      </c>
      <c r="H15" s="70"/>
    </row>
    <row r="16" spans="1:8" x14ac:dyDescent="0.25">
      <c r="B16" s="16" t="s">
        <v>138</v>
      </c>
      <c r="C16" s="25">
        <f>+C6/C4</f>
        <v>0.6</v>
      </c>
      <c r="D16" s="25">
        <f>+D6/D4</f>
        <v>0.65333333333333332</v>
      </c>
      <c r="E16" s="25">
        <f>+E6/E4</f>
        <v>0.55000000000000004</v>
      </c>
      <c r="F16" s="26">
        <v>0.5</v>
      </c>
      <c r="H16" s="70"/>
    </row>
    <row r="17" spans="2:8" x14ac:dyDescent="0.25">
      <c r="B17" s="16" t="s">
        <v>40</v>
      </c>
      <c r="C17" s="25">
        <f>+C7/C4</f>
        <v>0.2</v>
      </c>
      <c r="D17" s="25">
        <f t="shared" ref="D17:E17" si="8">+D7/D4</f>
        <v>0.16666666666666666</v>
      </c>
      <c r="E17" s="25">
        <f t="shared" si="8"/>
        <v>0.45</v>
      </c>
      <c r="F17" s="26">
        <v>0.2</v>
      </c>
      <c r="H17" s="70"/>
    </row>
    <row r="18" spans="2:8" x14ac:dyDescent="0.25">
      <c r="B18" s="16" t="s">
        <v>100</v>
      </c>
      <c r="C18" s="34">
        <f>+C8/C4</f>
        <v>0.4</v>
      </c>
      <c r="D18" s="34">
        <f>+D8/D4</f>
        <v>0.48666666666666669</v>
      </c>
      <c r="E18" s="34">
        <f>+E8/E4</f>
        <v>0.1</v>
      </c>
      <c r="F18" s="44">
        <f>+F8/F4</f>
        <v>0.3</v>
      </c>
      <c r="H18" s="70"/>
    </row>
    <row r="19" spans="2:8" x14ac:dyDescent="0.25">
      <c r="B19" s="38" t="s">
        <v>19</v>
      </c>
      <c r="C19" s="39">
        <f>+C9/C8</f>
        <v>0.25</v>
      </c>
      <c r="D19" s="39">
        <f>+D9/D8</f>
        <v>0.25</v>
      </c>
      <c r="E19" s="39">
        <f>+E9/E8</f>
        <v>0.25</v>
      </c>
      <c r="F19" s="40">
        <v>0.25</v>
      </c>
      <c r="H19" s="70"/>
    </row>
    <row r="20" spans="2:8" x14ac:dyDescent="0.25">
      <c r="B20" s="41" t="s">
        <v>21</v>
      </c>
      <c r="C20" s="42">
        <f>+C4-C14/1000000*C15</f>
        <v>0</v>
      </c>
      <c r="D20" s="42">
        <f t="shared" ref="D20:F20" si="9">+D4-D14/1000000*D15</f>
        <v>0</v>
      </c>
      <c r="E20" s="42">
        <f t="shared" si="9"/>
        <v>0</v>
      </c>
      <c r="F20" s="42">
        <f t="shared" si="9"/>
        <v>0</v>
      </c>
      <c r="H20" s="70"/>
    </row>
    <row r="21" spans="2:8" x14ac:dyDescent="0.25">
      <c r="H21" s="70"/>
    </row>
  </sheetData>
  <mergeCells count="1">
    <mergeCell ref="A2:A3"/>
  </mergeCells>
  <pageMargins left="0.25" right="0.25" top="0.75" bottom="0.75" header="0.3" footer="0.3"/>
  <pageSetup orientation="landscape" r:id="rId1"/>
  <ignoredErrors>
    <ignoredError sqref="F7 F9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1FB3E-1229-4395-B778-CC357C28E56D}">
  <sheetPr>
    <pageSetUpPr fitToPage="1"/>
  </sheetPr>
  <dimension ref="A1:P23"/>
  <sheetViews>
    <sheetView showGridLines="0" workbookViewId="0"/>
  </sheetViews>
  <sheetFormatPr defaultRowHeight="15" x14ac:dyDescent="0.25"/>
  <cols>
    <col min="1" max="1" width="0.7109375" customWidth="1"/>
    <col min="2" max="2" width="31" customWidth="1"/>
    <col min="3" max="14" width="9.140625" customWidth="1"/>
    <col min="16" max="16" width="8.85546875" style="70"/>
  </cols>
  <sheetData>
    <row r="1" spans="1:14" ht="7.15" customHeight="1" x14ac:dyDescent="0.25">
      <c r="A1" s="1"/>
      <c r="B1" s="6"/>
    </row>
    <row r="2" spans="1:14" ht="15.75" x14ac:dyDescent="0.25">
      <c r="A2" s="200"/>
      <c r="B2" s="7" t="s">
        <v>0</v>
      </c>
      <c r="C2" s="47" t="s">
        <v>157</v>
      </c>
      <c r="D2" s="2" t="s">
        <v>38</v>
      </c>
      <c r="E2" s="2" t="s">
        <v>150</v>
      </c>
      <c r="F2" s="48" t="s">
        <v>155</v>
      </c>
      <c r="G2" s="47" t="s">
        <v>156</v>
      </c>
      <c r="H2" s="2" t="s">
        <v>13</v>
      </c>
      <c r="I2" s="2" t="s">
        <v>151</v>
      </c>
      <c r="J2" s="48" t="s">
        <v>154</v>
      </c>
      <c r="K2" s="55" t="s">
        <v>158</v>
      </c>
      <c r="L2" s="3" t="s">
        <v>31</v>
      </c>
      <c r="M2" s="3" t="s">
        <v>152</v>
      </c>
      <c r="N2" s="9" t="s">
        <v>153</v>
      </c>
    </row>
    <row r="3" spans="1:14" ht="17.25" x14ac:dyDescent="0.4">
      <c r="A3" s="200"/>
      <c r="B3" s="8" t="s">
        <v>25</v>
      </c>
      <c r="C3" s="49" t="s">
        <v>37</v>
      </c>
      <c r="D3" s="4" t="s">
        <v>36</v>
      </c>
      <c r="E3" s="4" t="s">
        <v>35</v>
      </c>
      <c r="F3" s="50" t="s">
        <v>34</v>
      </c>
      <c r="G3" s="49" t="s">
        <v>8</v>
      </c>
      <c r="H3" s="4" t="s">
        <v>9</v>
      </c>
      <c r="I3" s="4" t="s">
        <v>10</v>
      </c>
      <c r="J3" s="50" t="s">
        <v>11</v>
      </c>
      <c r="K3" s="56" t="s">
        <v>26</v>
      </c>
      <c r="L3" s="5" t="s">
        <v>27</v>
      </c>
      <c r="M3" s="5" t="s">
        <v>28</v>
      </c>
      <c r="N3" s="10" t="s">
        <v>29</v>
      </c>
    </row>
    <row r="4" spans="1:14" x14ac:dyDescent="0.25">
      <c r="B4" s="11" t="s">
        <v>3</v>
      </c>
      <c r="C4" s="51">
        <v>950</v>
      </c>
      <c r="D4" s="18">
        <v>975</v>
      </c>
      <c r="E4" s="18">
        <v>1000</v>
      </c>
      <c r="F4" s="19">
        <v>1200</v>
      </c>
      <c r="G4" s="51">
        <v>1150</v>
      </c>
      <c r="H4" s="18">
        <v>1200</v>
      </c>
      <c r="I4" s="18">
        <v>1250</v>
      </c>
      <c r="J4" s="19">
        <v>1400</v>
      </c>
      <c r="K4" s="51">
        <f>+K14*K17</f>
        <v>1496</v>
      </c>
      <c r="L4" s="18">
        <f t="shared" ref="L4:N4" si="0">+L14*L17</f>
        <v>1539</v>
      </c>
      <c r="M4" s="18">
        <f t="shared" si="0"/>
        <v>1589.25</v>
      </c>
      <c r="N4" s="19">
        <f t="shared" si="0"/>
        <v>1870</v>
      </c>
    </row>
    <row r="5" spans="1:14" ht="17.25" x14ac:dyDescent="0.4">
      <c r="B5" s="11" t="s">
        <v>6</v>
      </c>
      <c r="C5" s="52">
        <v>350</v>
      </c>
      <c r="D5" s="27">
        <v>360</v>
      </c>
      <c r="E5" s="27">
        <v>380</v>
      </c>
      <c r="F5" s="28">
        <v>400</v>
      </c>
      <c r="G5" s="52">
        <v>375</v>
      </c>
      <c r="H5" s="27">
        <v>365</v>
      </c>
      <c r="I5" s="27">
        <v>400</v>
      </c>
      <c r="J5" s="28">
        <v>450</v>
      </c>
      <c r="K5" s="52">
        <f t="shared" ref="K5" si="1">+K4*K20</f>
        <v>523.6</v>
      </c>
      <c r="L5" s="27">
        <f t="shared" ref="L5" si="2">+L4*L20</f>
        <v>523.26</v>
      </c>
      <c r="M5" s="27">
        <f t="shared" ref="M5" si="3">+M4*M20</f>
        <v>524.45249999999999</v>
      </c>
      <c r="N5" s="28">
        <f>+N4*N20</f>
        <v>598.4</v>
      </c>
    </row>
    <row r="6" spans="1:14" x14ac:dyDescent="0.25">
      <c r="B6" s="32" t="s">
        <v>7</v>
      </c>
      <c r="C6" s="53">
        <f>+C4-C5</f>
        <v>600</v>
      </c>
      <c r="D6" s="21">
        <f t="shared" ref="D6" si="4">+D4-D5</f>
        <v>615</v>
      </c>
      <c r="E6" s="21">
        <f t="shared" ref="E6" si="5">+E4-E5</f>
        <v>620</v>
      </c>
      <c r="F6" s="22">
        <f t="shared" ref="F6" si="6">+F4-F5</f>
        <v>800</v>
      </c>
      <c r="G6" s="53">
        <f>+G4-G5</f>
        <v>775</v>
      </c>
      <c r="H6" s="21">
        <f t="shared" ref="H6" si="7">+H4-H5</f>
        <v>835</v>
      </c>
      <c r="I6" s="21">
        <f t="shared" ref="I6" si="8">+I4-I5</f>
        <v>850</v>
      </c>
      <c r="J6" s="22">
        <f t="shared" ref="J6" si="9">+J4-J5</f>
        <v>950</v>
      </c>
      <c r="K6" s="53">
        <f>+K4-K5</f>
        <v>972.4</v>
      </c>
      <c r="L6" s="21">
        <f t="shared" ref="L6" si="10">+L4-L5</f>
        <v>1015.74</v>
      </c>
      <c r="M6" s="21">
        <f t="shared" ref="M6" si="11">+M4-M5</f>
        <v>1064.7975000000001</v>
      </c>
      <c r="N6" s="22">
        <f t="shared" ref="N6" si="12">+N4-N5</f>
        <v>1271.5999999999999</v>
      </c>
    </row>
    <row r="7" spans="1:14" ht="17.25" x14ac:dyDescent="0.4">
      <c r="B7" s="11" t="s">
        <v>16</v>
      </c>
      <c r="C7" s="52">
        <v>120</v>
      </c>
      <c r="D7" s="27">
        <v>123</v>
      </c>
      <c r="E7" s="27">
        <v>124</v>
      </c>
      <c r="F7" s="28">
        <v>160</v>
      </c>
      <c r="G7" s="52">
        <v>155</v>
      </c>
      <c r="H7" s="27">
        <v>167</v>
      </c>
      <c r="I7" s="27">
        <v>170</v>
      </c>
      <c r="J7" s="28">
        <v>190</v>
      </c>
      <c r="K7" s="52">
        <f>K6*K22</f>
        <v>194.48000000000002</v>
      </c>
      <c r="L7" s="27">
        <f>L6*L22</f>
        <v>203.14800000000002</v>
      </c>
      <c r="M7" s="27">
        <f>M6*M22</f>
        <v>212.95950000000005</v>
      </c>
      <c r="N7" s="28">
        <f>N6*N22</f>
        <v>254.32</v>
      </c>
    </row>
    <row r="8" spans="1:14" x14ac:dyDescent="0.25">
      <c r="B8" s="32" t="s">
        <v>17</v>
      </c>
      <c r="C8" s="53">
        <f>+C6-C7</f>
        <v>480</v>
      </c>
      <c r="D8" s="21">
        <f t="shared" ref="D8" si="13">+D6-D7</f>
        <v>492</v>
      </c>
      <c r="E8" s="21">
        <f>+E6-E7</f>
        <v>496</v>
      </c>
      <c r="F8" s="22">
        <f t="shared" ref="F8" si="14">+F6-F7</f>
        <v>640</v>
      </c>
      <c r="G8" s="53">
        <f>+G6-G7</f>
        <v>620</v>
      </c>
      <c r="H8" s="21">
        <f t="shared" ref="H8" si="15">+H6-H7</f>
        <v>668</v>
      </c>
      <c r="I8" s="21">
        <f>+I6-I7</f>
        <v>680</v>
      </c>
      <c r="J8" s="22">
        <f t="shared" ref="J8" si="16">+J6-J7</f>
        <v>760</v>
      </c>
      <c r="K8" s="53">
        <f>+K6-K7</f>
        <v>777.92</v>
      </c>
      <c r="L8" s="21">
        <f t="shared" ref="L8" si="17">+L6-L7</f>
        <v>812.59199999999998</v>
      </c>
      <c r="M8" s="21">
        <f>+M6-M7</f>
        <v>851.83800000000008</v>
      </c>
      <c r="N8" s="22">
        <f t="shared" ref="N8" si="18">+N6-N7</f>
        <v>1017.28</v>
      </c>
    </row>
    <row r="9" spans="1:14" x14ac:dyDescent="0.25">
      <c r="B9" s="29" t="s">
        <v>23</v>
      </c>
      <c r="C9" s="54">
        <v>100</v>
      </c>
      <c r="D9" s="45">
        <v>99</v>
      </c>
      <c r="E9" s="45">
        <v>98</v>
      </c>
      <c r="F9" s="46">
        <v>97</v>
      </c>
      <c r="G9" s="54">
        <v>96</v>
      </c>
      <c r="H9" s="45">
        <v>95</v>
      </c>
      <c r="I9" s="45">
        <v>94</v>
      </c>
      <c r="J9" s="46">
        <v>93</v>
      </c>
      <c r="K9" s="64">
        <v>92</v>
      </c>
      <c r="L9" s="65">
        <v>91</v>
      </c>
      <c r="M9" s="65">
        <v>90</v>
      </c>
      <c r="N9" s="36">
        <v>89</v>
      </c>
    </row>
    <row r="10" spans="1:14" x14ac:dyDescent="0.25">
      <c r="B10" s="38" t="s">
        <v>24</v>
      </c>
      <c r="C10" s="61">
        <f>+C8/C9</f>
        <v>4.8</v>
      </c>
      <c r="D10" s="62">
        <f t="shared" ref="D10" si="19">+D8/D9</f>
        <v>4.9696969696969697</v>
      </c>
      <c r="E10" s="62">
        <f t="shared" ref="E10" si="20">+E8/E9</f>
        <v>5.0612244897959187</v>
      </c>
      <c r="F10" s="63">
        <f t="shared" ref="F10" si="21">+F8/F9</f>
        <v>6.5979381443298966</v>
      </c>
      <c r="G10" s="61">
        <f t="shared" ref="G10" si="22">+G8/G9</f>
        <v>6.458333333333333</v>
      </c>
      <c r="H10" s="62">
        <f t="shared" ref="H10" si="23">+H8/H9</f>
        <v>7.0315789473684207</v>
      </c>
      <c r="I10" s="62">
        <f t="shared" ref="I10" si="24">+I8/I9</f>
        <v>7.2340425531914896</v>
      </c>
      <c r="J10" s="63">
        <f t="shared" ref="J10" si="25">+J8/J9</f>
        <v>8.172043010752688</v>
      </c>
      <c r="K10" s="61">
        <f t="shared" ref="K10" si="26">+K8/K9</f>
        <v>8.4556521739130428</v>
      </c>
      <c r="L10" s="62">
        <f t="shared" ref="L10" si="27">+L8/L9</f>
        <v>8.9295824175824166</v>
      </c>
      <c r="M10" s="62">
        <f t="shared" ref="M10" si="28">+M8/M9</f>
        <v>9.4648666666666674</v>
      </c>
      <c r="N10" s="63">
        <f t="shared" ref="N10" si="29">+N8/N9</f>
        <v>11.430112359550561</v>
      </c>
    </row>
    <row r="12" spans="1:14" ht="15.75" x14ac:dyDescent="0.25">
      <c r="B12" s="7" t="s">
        <v>18</v>
      </c>
      <c r="C12" s="47" t="s">
        <v>157</v>
      </c>
      <c r="D12" s="2" t="s">
        <v>38</v>
      </c>
      <c r="E12" s="2" t="s">
        <v>150</v>
      </c>
      <c r="F12" s="48" t="s">
        <v>155</v>
      </c>
      <c r="G12" s="47" t="s">
        <v>156</v>
      </c>
      <c r="H12" s="2" t="s">
        <v>13</v>
      </c>
      <c r="I12" s="2" t="s">
        <v>151</v>
      </c>
      <c r="J12" s="48" t="s">
        <v>154</v>
      </c>
      <c r="K12" s="55" t="s">
        <v>158</v>
      </c>
      <c r="L12" s="3" t="s">
        <v>31</v>
      </c>
      <c r="M12" s="3" t="s">
        <v>152</v>
      </c>
      <c r="N12" s="9" t="s">
        <v>153</v>
      </c>
    </row>
    <row r="13" spans="1:14" ht="17.25" x14ac:dyDescent="0.4">
      <c r="B13" s="8"/>
      <c r="C13" s="49" t="s">
        <v>37</v>
      </c>
      <c r="D13" s="4" t="s">
        <v>36</v>
      </c>
      <c r="E13" s="4" t="s">
        <v>35</v>
      </c>
      <c r="F13" s="50" t="s">
        <v>34</v>
      </c>
      <c r="G13" s="49" t="s">
        <v>8</v>
      </c>
      <c r="H13" s="4" t="s">
        <v>9</v>
      </c>
      <c r="I13" s="4" t="s">
        <v>10</v>
      </c>
      <c r="J13" s="50" t="s">
        <v>11</v>
      </c>
      <c r="K13" s="56" t="s">
        <v>26</v>
      </c>
      <c r="L13" s="5" t="s">
        <v>27</v>
      </c>
      <c r="M13" s="5" t="s">
        <v>28</v>
      </c>
      <c r="N13" s="10" t="s">
        <v>29</v>
      </c>
    </row>
    <row r="14" spans="1:14" x14ac:dyDescent="0.25">
      <c r="B14" s="16" t="s">
        <v>145</v>
      </c>
      <c r="C14" s="71">
        <v>150</v>
      </c>
      <c r="D14" s="35">
        <v>152</v>
      </c>
      <c r="E14" s="35">
        <v>153</v>
      </c>
      <c r="F14" s="67">
        <v>160</v>
      </c>
      <c r="G14" s="80">
        <v>158</v>
      </c>
      <c r="H14" s="58">
        <v>160</v>
      </c>
      <c r="I14" s="58">
        <v>161</v>
      </c>
      <c r="J14" s="57">
        <v>165</v>
      </c>
      <c r="K14" s="58">
        <v>160</v>
      </c>
      <c r="L14" s="58">
        <v>162</v>
      </c>
      <c r="M14" s="58">
        <v>163</v>
      </c>
      <c r="N14" s="57">
        <v>170</v>
      </c>
    </row>
    <row r="15" spans="1:14" x14ac:dyDescent="0.25">
      <c r="B15" s="68" t="s">
        <v>146</v>
      </c>
      <c r="C15" s="71"/>
      <c r="D15" s="69">
        <f>+D14/C14-1</f>
        <v>1.3333333333333419E-2</v>
      </c>
      <c r="E15" s="69">
        <f t="shared" ref="E15" si="30">+E14/D14-1</f>
        <v>6.5789473684210176E-3</v>
      </c>
      <c r="F15" s="69">
        <f t="shared" ref="F15" si="31">+F14/E14-1</f>
        <v>4.5751633986928164E-2</v>
      </c>
      <c r="G15" s="81">
        <f t="shared" ref="G15" si="32">+G14/F14-1</f>
        <v>-1.2499999999999956E-2</v>
      </c>
      <c r="H15" s="69">
        <f t="shared" ref="H15" si="33">+H14/G14-1</f>
        <v>1.2658227848101333E-2</v>
      </c>
      <c r="I15" s="69">
        <f t="shared" ref="I15" si="34">+I14/H14-1</f>
        <v>6.2500000000000888E-3</v>
      </c>
      <c r="J15" s="72">
        <f t="shared" ref="J15" si="35">+J14/I14-1</f>
        <v>2.4844720496894457E-2</v>
      </c>
      <c r="K15" s="83">
        <v>-1.4999999999999999E-2</v>
      </c>
      <c r="L15" s="83">
        <v>0.01</v>
      </c>
      <c r="M15" s="83">
        <v>5.0000000000000001E-3</v>
      </c>
      <c r="N15" s="84">
        <v>0.03</v>
      </c>
    </row>
    <row r="16" spans="1:14" x14ac:dyDescent="0.25">
      <c r="B16" s="68" t="s">
        <v>147</v>
      </c>
      <c r="C16" s="71"/>
      <c r="D16" s="69"/>
      <c r="E16" s="69"/>
      <c r="F16" s="69"/>
      <c r="G16" s="81">
        <f>G14/C14-1</f>
        <v>5.3333333333333233E-2</v>
      </c>
      <c r="H16" s="69">
        <f t="shared" ref="H16" si="36">H14/D14-1</f>
        <v>5.2631578947368363E-2</v>
      </c>
      <c r="I16" s="69">
        <f t="shared" ref="I16" si="37">I14/E14-1</f>
        <v>5.2287581699346442E-2</v>
      </c>
      <c r="J16" s="72">
        <f t="shared" ref="J16" si="38">J14/F14-1</f>
        <v>3.125E-2</v>
      </c>
      <c r="K16" s="69">
        <f>K14/G14-1</f>
        <v>1.2658227848101333E-2</v>
      </c>
      <c r="L16" s="69">
        <f t="shared" ref="L16" si="39">L14/H14-1</f>
        <v>1.2499999999999956E-2</v>
      </c>
      <c r="M16" s="69">
        <f t="shared" ref="M16" si="40">M14/I14-1</f>
        <v>1.2422360248447228E-2</v>
      </c>
      <c r="N16" s="72">
        <f t="shared" ref="N16" si="41">N14/J14-1</f>
        <v>3.0303030303030276E-2</v>
      </c>
    </row>
    <row r="17" spans="2:14" x14ac:dyDescent="0.25">
      <c r="B17" s="16" t="s">
        <v>39</v>
      </c>
      <c r="C17" s="73">
        <f>+C4/C14</f>
        <v>6.333333333333333</v>
      </c>
      <c r="D17" s="66">
        <f t="shared" ref="D17" si="42">+D4/D14</f>
        <v>6.4144736842105265</v>
      </c>
      <c r="E17" s="66">
        <f t="shared" ref="E17" si="43">+E4/E14</f>
        <v>6.5359477124183005</v>
      </c>
      <c r="F17" s="66">
        <f t="shared" ref="F17" si="44">+F4/F14</f>
        <v>7.5</v>
      </c>
      <c r="G17" s="73">
        <f t="shared" ref="G17" si="45">+G4/G14</f>
        <v>7.2784810126582276</v>
      </c>
      <c r="H17" s="66">
        <f t="shared" ref="H17" si="46">+H4/H14</f>
        <v>7.5</v>
      </c>
      <c r="I17" s="66">
        <f t="shared" ref="I17" si="47">+I4/I14</f>
        <v>7.7639751552795033</v>
      </c>
      <c r="J17" s="74">
        <f t="shared" ref="J17" si="48">+J4/J14</f>
        <v>8.4848484848484844</v>
      </c>
      <c r="K17" s="85">
        <v>9.35</v>
      </c>
      <c r="L17" s="85">
        <v>9.5</v>
      </c>
      <c r="M17" s="85">
        <v>9.75</v>
      </c>
      <c r="N17" s="86">
        <v>11</v>
      </c>
    </row>
    <row r="18" spans="2:14" x14ac:dyDescent="0.25">
      <c r="B18" s="68" t="s">
        <v>148</v>
      </c>
      <c r="C18" s="75"/>
      <c r="D18" s="69">
        <f>+D17/C17-1</f>
        <v>1.2811634349030543E-2</v>
      </c>
      <c r="E18" s="69">
        <f t="shared" ref="E18" si="49">+E17/D17-1</f>
        <v>1.8937489525724827E-2</v>
      </c>
      <c r="F18" s="69">
        <f t="shared" ref="F18" si="50">+F17/E17-1</f>
        <v>0.14749999999999996</v>
      </c>
      <c r="G18" s="81">
        <f t="shared" ref="G18" si="51">+G17/F17-1</f>
        <v>-2.9535864978903037E-2</v>
      </c>
      <c r="H18" s="69">
        <f t="shared" ref="H18" si="52">+H17/G17-1</f>
        <v>3.0434782608695699E-2</v>
      </c>
      <c r="I18" s="69">
        <f t="shared" ref="I18" si="53">+I17/H17-1</f>
        <v>3.5196687370600444E-2</v>
      </c>
      <c r="J18" s="72">
        <f t="shared" ref="J18" si="54">+J17/I17-1</f>
        <v>9.2848484848484736E-2</v>
      </c>
      <c r="K18" s="81">
        <f t="shared" ref="K18" si="55">+K17/J17-1</f>
        <v>0.10196428571428573</v>
      </c>
      <c r="L18" s="69">
        <f t="shared" ref="L18" si="56">+L17/K17-1</f>
        <v>1.6042780748663166E-2</v>
      </c>
      <c r="M18" s="69">
        <f t="shared" ref="M18" si="57">+M17/L17-1</f>
        <v>2.6315789473684292E-2</v>
      </c>
      <c r="N18" s="72">
        <f t="shared" ref="N18" si="58">+N17/M17-1</f>
        <v>0.12820512820512819</v>
      </c>
    </row>
    <row r="19" spans="2:14" x14ac:dyDescent="0.25">
      <c r="B19" s="68" t="s">
        <v>149</v>
      </c>
      <c r="C19" s="75"/>
      <c r="D19" s="69"/>
      <c r="E19" s="69"/>
      <c r="F19" s="69"/>
      <c r="G19" s="81">
        <f>G17/C17-1</f>
        <v>0.1492338441039307</v>
      </c>
      <c r="H19" s="69">
        <f t="shared" ref="H19" si="59">H17/D17-1</f>
        <v>0.1692307692307693</v>
      </c>
      <c r="I19" s="69">
        <f t="shared" ref="I19" si="60">I17/E17-1</f>
        <v>0.18788819875776408</v>
      </c>
      <c r="J19" s="72">
        <f t="shared" ref="J19" si="61">J17/F17-1</f>
        <v>0.13131313131313127</v>
      </c>
      <c r="K19" s="81">
        <f>K17/G17-1</f>
        <v>0.28460869565217384</v>
      </c>
      <c r="L19" s="69">
        <f t="shared" ref="L19" si="62">L17/H17-1</f>
        <v>0.26666666666666661</v>
      </c>
      <c r="M19" s="69">
        <f t="shared" ref="M19" si="63">M17/I17-1</f>
        <v>0.25580000000000003</v>
      </c>
      <c r="N19" s="72">
        <f t="shared" ref="N19" si="64">N17/J17-1</f>
        <v>0.29642857142857149</v>
      </c>
    </row>
    <row r="20" spans="2:14" x14ac:dyDescent="0.25">
      <c r="B20" s="16" t="s">
        <v>40</v>
      </c>
      <c r="C20" s="76">
        <f>+C5/C4</f>
        <v>0.36842105263157893</v>
      </c>
      <c r="D20" s="25">
        <f t="shared" ref="D20:J20" si="65">+D5/D4</f>
        <v>0.36923076923076925</v>
      </c>
      <c r="E20" s="25">
        <f t="shared" si="65"/>
        <v>0.38</v>
      </c>
      <c r="F20" s="60">
        <f t="shared" si="65"/>
        <v>0.33333333333333331</v>
      </c>
      <c r="G20" s="82">
        <f t="shared" si="65"/>
        <v>0.32608695652173914</v>
      </c>
      <c r="H20" s="60">
        <f t="shared" si="65"/>
        <v>0.30416666666666664</v>
      </c>
      <c r="I20" s="60">
        <f t="shared" si="65"/>
        <v>0.32</v>
      </c>
      <c r="J20" s="59">
        <f t="shared" si="65"/>
        <v>0.32142857142857145</v>
      </c>
      <c r="K20" s="43">
        <v>0.35</v>
      </c>
      <c r="L20" s="43">
        <v>0.34</v>
      </c>
      <c r="M20" s="43">
        <v>0.33</v>
      </c>
      <c r="N20" s="26">
        <v>0.32</v>
      </c>
    </row>
    <row r="21" spans="2:14" x14ac:dyDescent="0.25">
      <c r="B21" s="16" t="s">
        <v>100</v>
      </c>
      <c r="C21" s="77">
        <f>+C6/C4</f>
        <v>0.63157894736842102</v>
      </c>
      <c r="D21" s="34">
        <f t="shared" ref="D21:N21" si="66">+D6/D4</f>
        <v>0.63076923076923075</v>
      </c>
      <c r="E21" s="34">
        <f t="shared" si="66"/>
        <v>0.62</v>
      </c>
      <c r="F21" s="34">
        <f t="shared" si="66"/>
        <v>0.66666666666666663</v>
      </c>
      <c r="G21" s="77">
        <f t="shared" si="66"/>
        <v>0.67391304347826086</v>
      </c>
      <c r="H21" s="34">
        <f t="shared" si="66"/>
        <v>0.6958333333333333</v>
      </c>
      <c r="I21" s="34">
        <f t="shared" si="66"/>
        <v>0.68</v>
      </c>
      <c r="J21" s="44">
        <f t="shared" si="66"/>
        <v>0.6785714285714286</v>
      </c>
      <c r="K21" s="34">
        <f t="shared" si="66"/>
        <v>0.65</v>
      </c>
      <c r="L21" s="34">
        <f t="shared" si="66"/>
        <v>0.66</v>
      </c>
      <c r="M21" s="34">
        <f t="shared" si="66"/>
        <v>0.67</v>
      </c>
      <c r="N21" s="44">
        <f t="shared" si="66"/>
        <v>0.67999999999999994</v>
      </c>
    </row>
    <row r="22" spans="2:14" x14ac:dyDescent="0.25">
      <c r="B22" s="38" t="s">
        <v>19</v>
      </c>
      <c r="C22" s="78">
        <f>+C7/C6</f>
        <v>0.2</v>
      </c>
      <c r="D22" s="39">
        <f t="shared" ref="D22:J22" si="67">+D7/D6</f>
        <v>0.2</v>
      </c>
      <c r="E22" s="39">
        <f t="shared" si="67"/>
        <v>0.2</v>
      </c>
      <c r="F22" s="39">
        <f t="shared" si="67"/>
        <v>0.2</v>
      </c>
      <c r="G22" s="78">
        <f t="shared" si="67"/>
        <v>0.2</v>
      </c>
      <c r="H22" s="39">
        <f t="shared" si="67"/>
        <v>0.2</v>
      </c>
      <c r="I22" s="39">
        <f t="shared" si="67"/>
        <v>0.2</v>
      </c>
      <c r="J22" s="79">
        <f t="shared" si="67"/>
        <v>0.2</v>
      </c>
      <c r="K22" s="87">
        <v>0.2</v>
      </c>
      <c r="L22" s="87">
        <v>0.2</v>
      </c>
      <c r="M22" s="87">
        <v>0.2</v>
      </c>
      <c r="N22" s="40">
        <v>0.2</v>
      </c>
    </row>
    <row r="23" spans="2:14" x14ac:dyDescent="0.25">
      <c r="B23" s="41" t="s">
        <v>21</v>
      </c>
      <c r="C23" s="42">
        <f>+C4-(C14*C17)</f>
        <v>0</v>
      </c>
      <c r="D23" s="42">
        <f t="shared" ref="D23:N23" si="68">+D4-(D14*D17)</f>
        <v>0</v>
      </c>
      <c r="E23" s="42">
        <f t="shared" si="68"/>
        <v>0</v>
      </c>
      <c r="F23" s="42">
        <f t="shared" si="68"/>
        <v>0</v>
      </c>
      <c r="G23" s="42">
        <f t="shared" si="68"/>
        <v>0</v>
      </c>
      <c r="H23" s="42">
        <f t="shared" si="68"/>
        <v>0</v>
      </c>
      <c r="I23" s="42">
        <f t="shared" si="68"/>
        <v>0</v>
      </c>
      <c r="J23" s="42">
        <f t="shared" si="68"/>
        <v>0</v>
      </c>
      <c r="K23" s="42">
        <f t="shared" si="68"/>
        <v>0</v>
      </c>
      <c r="L23" s="42">
        <f t="shared" si="68"/>
        <v>0</v>
      </c>
      <c r="M23" s="42">
        <f t="shared" si="68"/>
        <v>0</v>
      </c>
      <c r="N23" s="42">
        <f t="shared" si="68"/>
        <v>0</v>
      </c>
    </row>
  </sheetData>
  <mergeCells count="1">
    <mergeCell ref="A2:A3"/>
  </mergeCells>
  <pageMargins left="0.25" right="0.25" top="0.75" bottom="0.75" header="0.3" footer="0.3"/>
  <pageSetup scale="92" orientation="landscape" r:id="rId1"/>
  <ignoredErrors>
    <ignoredError sqref="K6:N7 C21:J21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FB3E7-FD16-4684-BBFC-67734718F655}">
  <sheetPr>
    <pageSetUpPr fitToPage="1"/>
  </sheetPr>
  <dimension ref="B2:L3"/>
  <sheetViews>
    <sheetView showGridLines="0" workbookViewId="0"/>
  </sheetViews>
  <sheetFormatPr defaultRowHeight="15" x14ac:dyDescent="0.25"/>
  <cols>
    <col min="1" max="1" width="1.7109375" customWidth="1"/>
  </cols>
  <sheetData>
    <row r="2" spans="2:12" x14ac:dyDescent="0.25">
      <c r="B2" s="188" t="s">
        <v>159</v>
      </c>
      <c r="C2" s="188" t="s">
        <v>160</v>
      </c>
      <c r="D2" s="188" t="s">
        <v>161</v>
      </c>
      <c r="E2" s="188" t="s">
        <v>162</v>
      </c>
      <c r="F2" s="188" t="s">
        <v>163</v>
      </c>
      <c r="G2" s="188" t="s">
        <v>164</v>
      </c>
      <c r="H2" s="188" t="s">
        <v>165</v>
      </c>
      <c r="I2" s="188" t="s">
        <v>166</v>
      </c>
      <c r="J2" s="188" t="s">
        <v>167</v>
      </c>
      <c r="K2" s="188" t="s">
        <v>168</v>
      </c>
      <c r="L2" s="188" t="s">
        <v>169</v>
      </c>
    </row>
    <row r="3" spans="2:12" x14ac:dyDescent="0.25">
      <c r="B3" s="189">
        <v>2.2499999999999999E-2</v>
      </c>
      <c r="C3" s="189">
        <v>2.5000000000000001E-2</v>
      </c>
      <c r="D3" s="189">
        <v>2.6499999999999999E-2</v>
      </c>
      <c r="E3" s="189">
        <v>2.8000000000000001E-2</v>
      </c>
      <c r="F3" s="189">
        <v>2.9000000000000001E-2</v>
      </c>
      <c r="G3" s="189">
        <v>0.03</v>
      </c>
      <c r="H3" s="189">
        <v>3.1E-2</v>
      </c>
      <c r="I3" s="189">
        <v>3.15E-2</v>
      </c>
      <c r="J3" s="189">
        <v>3.2500000000000001E-2</v>
      </c>
      <c r="K3" s="189">
        <v>3.5000000000000003E-2</v>
      </c>
      <c r="L3" s="189">
        <v>3.7499999999999999E-2</v>
      </c>
    </row>
  </sheetData>
  <pageMargins left="0.25" right="0.25" top="0.75" bottom="0.75" header="0.3" footer="0.3"/>
  <pageSetup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626AC-2FF7-43F6-A392-A4FB2D06124A}">
  <sheetPr>
    <pageSetUpPr fitToPage="1"/>
  </sheetPr>
  <dimension ref="A1:G16"/>
  <sheetViews>
    <sheetView showGridLines="0" workbookViewId="0"/>
  </sheetViews>
  <sheetFormatPr defaultRowHeight="15" x14ac:dyDescent="0.25"/>
  <cols>
    <col min="1" max="1" width="0.7109375" customWidth="1"/>
    <col min="2" max="2" width="16.28515625" customWidth="1"/>
    <col min="3" max="3" width="11" customWidth="1"/>
    <col min="4" max="4" width="12.5703125" customWidth="1"/>
    <col min="5" max="6" width="13.28515625" customWidth="1"/>
    <col min="7" max="8" width="11" customWidth="1"/>
    <col min="9" max="10" width="13.28515625" customWidth="1"/>
    <col min="11" max="12" width="11" customWidth="1"/>
    <col min="13" max="14" width="13.28515625" customWidth="1"/>
  </cols>
  <sheetData>
    <row r="1" spans="1:7" ht="7.15" customHeight="1" thickBot="1" x14ac:dyDescent="0.3">
      <c r="A1" s="1"/>
      <c r="B1" s="6"/>
    </row>
    <row r="2" spans="1:7" x14ac:dyDescent="0.25">
      <c r="A2" s="200"/>
      <c r="B2" s="88" t="s">
        <v>41</v>
      </c>
      <c r="C2" s="88"/>
    </row>
    <row r="3" spans="1:7" x14ac:dyDescent="0.25">
      <c r="A3" s="200"/>
      <c r="B3" s="89" t="s">
        <v>42</v>
      </c>
      <c r="C3" s="93">
        <v>0.50078938527220052</v>
      </c>
    </row>
    <row r="4" spans="1:7" x14ac:dyDescent="0.25">
      <c r="B4" s="89" t="s">
        <v>43</v>
      </c>
      <c r="C4" s="93">
        <v>0.2507900084013085</v>
      </c>
    </row>
    <row r="5" spans="1:7" x14ac:dyDescent="0.25">
      <c r="B5" s="89" t="s">
        <v>44</v>
      </c>
      <c r="C5" s="93">
        <v>0.24079000840130849</v>
      </c>
    </row>
    <row r="6" spans="1:7" x14ac:dyDescent="0.25">
      <c r="B6" s="89" t="s">
        <v>45</v>
      </c>
      <c r="C6" s="93">
        <v>8.773804853540082E-3</v>
      </c>
    </row>
    <row r="7" spans="1:7" ht="15.75" thickBot="1" x14ac:dyDescent="0.3">
      <c r="B7" s="90" t="s">
        <v>46</v>
      </c>
      <c r="C7" s="90">
        <v>101</v>
      </c>
    </row>
    <row r="8" spans="1:7" ht="5.45" customHeight="1" x14ac:dyDescent="0.25"/>
    <row r="9" spans="1:7" ht="15.75" thickBot="1" x14ac:dyDescent="0.3">
      <c r="B9" t="s">
        <v>47</v>
      </c>
    </row>
    <row r="10" spans="1:7" x14ac:dyDescent="0.25">
      <c r="B10" s="91"/>
      <c r="C10" s="91" t="s">
        <v>48</v>
      </c>
      <c r="D10" s="91" t="s">
        <v>49</v>
      </c>
      <c r="E10" s="91" t="s">
        <v>50</v>
      </c>
      <c r="F10" s="91" t="s">
        <v>2</v>
      </c>
      <c r="G10" s="91" t="s">
        <v>51</v>
      </c>
    </row>
    <row r="11" spans="1:7" x14ac:dyDescent="0.25">
      <c r="B11" s="89" t="s">
        <v>52</v>
      </c>
      <c r="C11" s="89">
        <v>1</v>
      </c>
      <c r="D11" s="93">
        <v>2.5768112665323284E-3</v>
      </c>
      <c r="E11" s="93">
        <v>2.5768112665323284E-3</v>
      </c>
      <c r="F11" s="93">
        <v>33.473927365298962</v>
      </c>
      <c r="G11" s="93">
        <v>8.4783363520014072E-8</v>
      </c>
    </row>
    <row r="12" spans="1:7" x14ac:dyDescent="0.25">
      <c r="B12" s="89" t="s">
        <v>53</v>
      </c>
      <c r="C12" s="89">
        <v>100</v>
      </c>
      <c r="D12" s="93">
        <v>7.6979651608003489E-3</v>
      </c>
      <c r="E12" s="93">
        <v>7.6979651608003485E-5</v>
      </c>
      <c r="F12" s="93"/>
      <c r="G12" s="93"/>
    </row>
    <row r="13" spans="1:7" ht="15.75" thickBot="1" x14ac:dyDescent="0.3">
      <c r="B13" s="90" t="s">
        <v>54</v>
      </c>
      <c r="C13" s="90">
        <v>101</v>
      </c>
      <c r="D13" s="94">
        <v>1.0274776427332677E-2</v>
      </c>
      <c r="E13" s="94"/>
      <c r="F13" s="94"/>
      <c r="G13" s="94"/>
    </row>
    <row r="14" spans="1:7" ht="15.75" thickBot="1" x14ac:dyDescent="0.3"/>
    <row r="15" spans="1:7" x14ac:dyDescent="0.25">
      <c r="B15" s="91"/>
      <c r="C15" s="91" t="s">
        <v>55</v>
      </c>
      <c r="D15" s="91" t="s">
        <v>45</v>
      </c>
      <c r="E15" s="91" t="s">
        <v>56</v>
      </c>
      <c r="F15" s="91" t="s">
        <v>57</v>
      </c>
      <c r="G15" s="92"/>
    </row>
    <row r="16" spans="1:7" ht="15.75" thickBot="1" x14ac:dyDescent="0.3">
      <c r="B16" s="90" t="s">
        <v>58</v>
      </c>
      <c r="C16" s="95">
        <v>1.1243443704750826</v>
      </c>
      <c r="D16" s="95">
        <v>0.19433275833496616</v>
      </c>
      <c r="E16" s="95">
        <v>5.7856656803948638</v>
      </c>
      <c r="F16" s="95">
        <v>8.3073293341850503E-8</v>
      </c>
      <c r="G16" s="92"/>
    </row>
  </sheetData>
  <mergeCells count="1">
    <mergeCell ref="A2:A3"/>
  </mergeCells>
  <pageMargins left="0.25" right="0.25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F43D8-0440-41A7-BD75-2C82BA5B7D7A}">
  <sheetPr>
    <pageSetUpPr fitToPage="1"/>
  </sheetPr>
  <dimension ref="A1:M56"/>
  <sheetViews>
    <sheetView showGridLines="0" zoomScaleNormal="100" workbookViewId="0">
      <selection activeCell="M3" sqref="M3"/>
    </sheetView>
  </sheetViews>
  <sheetFormatPr defaultRowHeight="15" x14ac:dyDescent="0.25"/>
  <cols>
    <col min="1" max="1" width="0.7109375" customWidth="1"/>
    <col min="2" max="2" width="43.42578125" customWidth="1"/>
    <col min="3" max="8" width="15.28515625" customWidth="1"/>
    <col min="9" max="9" width="18.28515625" customWidth="1"/>
    <col min="10" max="10" width="13" customWidth="1"/>
    <col min="11" max="11" width="2.140625" customWidth="1"/>
    <col min="12" max="12" width="28.42578125" customWidth="1"/>
    <col min="13" max="13" width="13.28515625" customWidth="1"/>
  </cols>
  <sheetData>
    <row r="1" spans="1:13" ht="7.15" customHeight="1" x14ac:dyDescent="0.25">
      <c r="A1" s="1"/>
      <c r="B1" s="6"/>
    </row>
    <row r="2" spans="1:13" ht="15.75" x14ac:dyDescent="0.25">
      <c r="A2" s="200"/>
      <c r="B2" s="7" t="s">
        <v>0</v>
      </c>
      <c r="C2" s="96" t="s">
        <v>15</v>
      </c>
      <c r="D2" s="55" t="s">
        <v>33</v>
      </c>
      <c r="E2" s="3" t="s">
        <v>59</v>
      </c>
      <c r="F2" s="3" t="s">
        <v>60</v>
      </c>
      <c r="G2" s="3" t="s">
        <v>61</v>
      </c>
      <c r="H2" s="9" t="s">
        <v>62</v>
      </c>
      <c r="I2" s="201" t="s">
        <v>118</v>
      </c>
      <c r="J2" s="202"/>
      <c r="K2" s="138"/>
      <c r="L2" s="113" t="s">
        <v>106</v>
      </c>
      <c r="M2" s="113"/>
    </row>
    <row r="3" spans="1:13" ht="17.25" x14ac:dyDescent="0.4">
      <c r="A3" s="200"/>
      <c r="B3" s="8" t="s">
        <v>104</v>
      </c>
      <c r="C3" s="97" t="s">
        <v>68</v>
      </c>
      <c r="D3" s="56" t="s">
        <v>63</v>
      </c>
      <c r="E3" s="5" t="s">
        <v>64</v>
      </c>
      <c r="F3" s="5" t="s">
        <v>65</v>
      </c>
      <c r="G3" s="5" t="s">
        <v>66</v>
      </c>
      <c r="H3" s="10" t="s">
        <v>67</v>
      </c>
      <c r="I3" s="126" t="s">
        <v>70</v>
      </c>
      <c r="J3" s="139">
        <v>500</v>
      </c>
      <c r="K3" s="51"/>
      <c r="L3" s="126" t="s">
        <v>172</v>
      </c>
      <c r="M3" s="144">
        <v>8.5590274435700593</v>
      </c>
    </row>
    <row r="4" spans="1:13" x14ac:dyDescent="0.25">
      <c r="B4" s="11" t="s">
        <v>3</v>
      </c>
      <c r="C4" s="98">
        <v>750</v>
      </c>
      <c r="D4" s="51">
        <v>800</v>
      </c>
      <c r="E4" s="18">
        <v>825</v>
      </c>
      <c r="F4" s="18">
        <v>900</v>
      </c>
      <c r="G4" s="18">
        <v>1200</v>
      </c>
      <c r="H4" s="19">
        <v>1400</v>
      </c>
      <c r="I4" s="11" t="s">
        <v>115</v>
      </c>
      <c r="J4" s="19">
        <v>225</v>
      </c>
      <c r="K4" s="51"/>
      <c r="L4" s="11" t="s">
        <v>107</v>
      </c>
      <c r="M4" s="13">
        <v>1.25</v>
      </c>
    </row>
    <row r="5" spans="1:13" ht="17.25" x14ac:dyDescent="0.4">
      <c r="B5" s="11" t="s">
        <v>94</v>
      </c>
      <c r="C5" s="99">
        <f>+(1-0.2)*C4</f>
        <v>600</v>
      </c>
      <c r="D5" s="52">
        <f>+(1-0.18)*D4</f>
        <v>656</v>
      </c>
      <c r="E5" s="27">
        <f>+(1-0.21)*E4</f>
        <v>651.75</v>
      </c>
      <c r="F5" s="27">
        <f>+(1-0.19)*F4</f>
        <v>729</v>
      </c>
      <c r="G5" s="27">
        <f>+(1-0.2)*G4</f>
        <v>960</v>
      </c>
      <c r="H5" s="28">
        <f>+(1-0.18)*H4</f>
        <v>1148</v>
      </c>
      <c r="I5" s="127" t="s">
        <v>116</v>
      </c>
      <c r="J5" s="140">
        <v>750</v>
      </c>
      <c r="K5" s="133"/>
      <c r="L5" s="11" t="s">
        <v>125</v>
      </c>
      <c r="M5" s="13">
        <v>0.32500000000000001</v>
      </c>
    </row>
    <row r="6" spans="1:13" x14ac:dyDescent="0.25">
      <c r="B6" s="32" t="s">
        <v>7</v>
      </c>
      <c r="C6" s="100">
        <f t="shared" ref="C6" si="0">+C4-C5</f>
        <v>150</v>
      </c>
      <c r="D6" s="53">
        <f t="shared" ref="D6" si="1">+D4-D5</f>
        <v>144</v>
      </c>
      <c r="E6" s="21">
        <f t="shared" ref="E6" si="2">+E4-E5</f>
        <v>173.25</v>
      </c>
      <c r="F6" s="21">
        <f t="shared" ref="F6" si="3">+F4-F5</f>
        <v>171</v>
      </c>
      <c r="G6" s="21">
        <f t="shared" ref="G6" si="4">+G4-G5</f>
        <v>240</v>
      </c>
      <c r="H6" s="22">
        <f t="shared" ref="H6" si="5">+H4-H5</f>
        <v>252</v>
      </c>
      <c r="I6" s="11" t="s">
        <v>73</v>
      </c>
      <c r="J6" s="19">
        <v>120</v>
      </c>
      <c r="K6" s="51"/>
      <c r="L6" s="11" t="s">
        <v>126</v>
      </c>
      <c r="M6" s="129">
        <v>0.155</v>
      </c>
    </row>
    <row r="7" spans="1:13" ht="17.25" x14ac:dyDescent="0.4">
      <c r="B7" s="29" t="s">
        <v>80</v>
      </c>
      <c r="C7" s="109">
        <v>15</v>
      </c>
      <c r="D7" s="110">
        <f>0.038*D22</f>
        <v>14.82</v>
      </c>
      <c r="E7" s="111">
        <f t="shared" ref="E7:H7" si="6">0.038*E22</f>
        <v>9.5</v>
      </c>
      <c r="F7" s="111">
        <f t="shared" si="6"/>
        <v>14.44</v>
      </c>
      <c r="G7" s="111">
        <f t="shared" si="6"/>
        <v>14.25</v>
      </c>
      <c r="H7" s="112">
        <f t="shared" si="6"/>
        <v>14.06</v>
      </c>
      <c r="I7" s="127" t="s">
        <v>117</v>
      </c>
      <c r="J7" s="140">
        <v>400</v>
      </c>
      <c r="K7" s="133"/>
      <c r="L7" s="11" t="s">
        <v>127</v>
      </c>
      <c r="M7" s="134">
        <f>+M5*M6</f>
        <v>5.0375000000000003E-2</v>
      </c>
    </row>
    <row r="8" spans="1:13" x14ac:dyDescent="0.25">
      <c r="B8" s="32" t="s">
        <v>81</v>
      </c>
      <c r="C8" s="100">
        <f>+C6-C7</f>
        <v>135</v>
      </c>
      <c r="D8" s="53">
        <f t="shared" ref="D8" si="7">+D6-D7</f>
        <v>129.18</v>
      </c>
      <c r="E8" s="21">
        <f t="shared" ref="E8" si="8">+E6-E7</f>
        <v>163.75</v>
      </c>
      <c r="F8" s="21">
        <f t="shared" ref="F8" si="9">+F6-F7</f>
        <v>156.56</v>
      </c>
      <c r="G8" s="21">
        <f t="shared" ref="G8" si="10">+G6-G7</f>
        <v>225.75</v>
      </c>
      <c r="H8" s="22">
        <f t="shared" ref="H8" si="11">+H6-H7</f>
        <v>237.94</v>
      </c>
      <c r="I8" s="128" t="s">
        <v>99</v>
      </c>
      <c r="J8" s="141">
        <v>100</v>
      </c>
      <c r="K8" s="106"/>
      <c r="L8" s="11" t="s">
        <v>108</v>
      </c>
      <c r="M8" s="129">
        <v>0.02</v>
      </c>
    </row>
    <row r="9" spans="1:13" ht="17.25" x14ac:dyDescent="0.4">
      <c r="B9" s="11" t="s">
        <v>16</v>
      </c>
      <c r="C9" s="99">
        <f>0.2*C8</f>
        <v>27</v>
      </c>
      <c r="D9" s="52">
        <f t="shared" ref="D9:H9" si="12">0.2*D8</f>
        <v>25.836000000000002</v>
      </c>
      <c r="E9" s="27">
        <f t="shared" si="12"/>
        <v>32.75</v>
      </c>
      <c r="F9" s="27">
        <f t="shared" si="12"/>
        <v>31.312000000000001</v>
      </c>
      <c r="G9" s="27">
        <f t="shared" si="12"/>
        <v>45.150000000000006</v>
      </c>
      <c r="H9" s="28">
        <f t="shared" si="12"/>
        <v>47.588000000000001</v>
      </c>
      <c r="L9" s="127" t="s">
        <v>109</v>
      </c>
      <c r="M9" s="129">
        <v>3.2500000000000001E-2</v>
      </c>
    </row>
    <row r="10" spans="1:13" x14ac:dyDescent="0.25">
      <c r="B10" s="32" t="s">
        <v>17</v>
      </c>
      <c r="C10" s="100">
        <f>+C6-C9</f>
        <v>123</v>
      </c>
      <c r="D10" s="53">
        <f t="shared" ref="D10" si="13">+D6-D9</f>
        <v>118.164</v>
      </c>
      <c r="E10" s="21">
        <f t="shared" ref="E10" si="14">+E6-E9</f>
        <v>140.5</v>
      </c>
      <c r="F10" s="21">
        <f t="shared" ref="F10" si="15">+F6-F9</f>
        <v>139.68799999999999</v>
      </c>
      <c r="G10" s="21">
        <f t="shared" ref="G10" si="16">+G6-G9</f>
        <v>194.85</v>
      </c>
      <c r="H10" s="22">
        <f t="shared" ref="H10" si="17">+H6-H9</f>
        <v>204.41200000000001</v>
      </c>
      <c r="L10" s="11" t="s">
        <v>110</v>
      </c>
      <c r="M10" s="134">
        <f>+M9+(M4*M7)</f>
        <v>9.5468750000000005E-2</v>
      </c>
    </row>
    <row r="11" spans="1:13" x14ac:dyDescent="0.25">
      <c r="B11" s="29" t="s">
        <v>23</v>
      </c>
      <c r="C11" s="101">
        <v>350</v>
      </c>
      <c r="D11" s="106">
        <v>348</v>
      </c>
      <c r="E11" s="67">
        <v>346</v>
      </c>
      <c r="F11" s="67">
        <v>344</v>
      </c>
      <c r="G11" s="67">
        <v>342</v>
      </c>
      <c r="H11" s="57">
        <v>340</v>
      </c>
      <c r="L11" s="127" t="s">
        <v>124</v>
      </c>
      <c r="M11" s="36">
        <f>+M3*C11</f>
        <v>2995.6596052495206</v>
      </c>
    </row>
    <row r="12" spans="1:13" x14ac:dyDescent="0.25">
      <c r="B12" s="38" t="s">
        <v>24</v>
      </c>
      <c r="C12" s="102">
        <f t="shared" ref="C12" si="18">+C10/C11</f>
        <v>0.35142857142857142</v>
      </c>
      <c r="D12" s="61">
        <f t="shared" ref="D12" si="19">+D10/D11</f>
        <v>0.33955172413793105</v>
      </c>
      <c r="E12" s="62">
        <f t="shared" ref="E12" si="20">+E10/E11</f>
        <v>0.40606936416184969</v>
      </c>
      <c r="F12" s="62">
        <f t="shared" ref="F12" si="21">+F10/F11</f>
        <v>0.40606976744186041</v>
      </c>
      <c r="G12" s="62">
        <f t="shared" ref="G12" si="22">+G10/G11</f>
        <v>0.5697368421052631</v>
      </c>
      <c r="H12" s="63">
        <f t="shared" ref="H12" si="23">+H10/H11</f>
        <v>0.60121176470588233</v>
      </c>
      <c r="L12" s="127" t="s">
        <v>112</v>
      </c>
      <c r="M12" s="84">
        <f>+M11/(M11+C22)</f>
        <v>0.88350349312905097</v>
      </c>
    </row>
    <row r="13" spans="1:13" x14ac:dyDescent="0.25">
      <c r="C13" s="107"/>
      <c r="L13" s="11" t="s">
        <v>111</v>
      </c>
      <c r="M13" s="129">
        <f>+C51*(1-C53)</f>
        <v>3.0188679245283019E-2</v>
      </c>
    </row>
    <row r="14" spans="1:13" ht="15.75" x14ac:dyDescent="0.25">
      <c r="B14" s="7" t="s">
        <v>69</v>
      </c>
      <c r="C14" s="96" t="s">
        <v>15</v>
      </c>
      <c r="D14" s="55" t="s">
        <v>33</v>
      </c>
      <c r="E14" s="3" t="s">
        <v>59</v>
      </c>
      <c r="F14" s="3" t="s">
        <v>60</v>
      </c>
      <c r="G14" s="3" t="s">
        <v>61</v>
      </c>
      <c r="H14" s="9" t="s">
        <v>62</v>
      </c>
      <c r="L14" s="11" t="s">
        <v>119</v>
      </c>
      <c r="M14" s="145">
        <f>+(M12*M10)+((1-M12)*M13)</f>
        <v>8.7863849788787085E-2</v>
      </c>
    </row>
    <row r="15" spans="1:13" ht="17.25" x14ac:dyDescent="0.4">
      <c r="B15" s="8" t="s">
        <v>104</v>
      </c>
      <c r="C15" s="97" t="s">
        <v>68</v>
      </c>
      <c r="D15" s="56" t="s">
        <v>63</v>
      </c>
      <c r="E15" s="5" t="s">
        <v>64</v>
      </c>
      <c r="F15" s="5" t="s">
        <v>65</v>
      </c>
      <c r="G15" s="5" t="s">
        <v>66</v>
      </c>
      <c r="H15" s="10" t="s">
        <v>67</v>
      </c>
      <c r="L15" s="125" t="s">
        <v>120</v>
      </c>
      <c r="M15" s="129">
        <v>0.12</v>
      </c>
    </row>
    <row r="16" spans="1:13" x14ac:dyDescent="0.25">
      <c r="B16" s="11" t="s">
        <v>87</v>
      </c>
      <c r="C16" s="120">
        <f>+C43</f>
        <v>610</v>
      </c>
      <c r="D16" s="18">
        <f t="shared" ref="D16:H16" si="24">+D43</f>
        <v>694.16399999999999</v>
      </c>
      <c r="E16" s="18">
        <f t="shared" si="24"/>
        <v>739.66399999999999</v>
      </c>
      <c r="F16" s="18">
        <f t="shared" si="24"/>
        <v>1018.352</v>
      </c>
      <c r="G16" s="18">
        <f t="shared" si="24"/>
        <v>1211.202</v>
      </c>
      <c r="H16" s="19">
        <f t="shared" si="24"/>
        <v>1407.614</v>
      </c>
      <c r="L16" s="125" t="s">
        <v>121</v>
      </c>
      <c r="M16" s="146">
        <f>+D56+E56+F56+G56+H56</f>
        <v>585.84490543158574</v>
      </c>
    </row>
    <row r="17" spans="2:13" x14ac:dyDescent="0.25">
      <c r="B17" s="11" t="s">
        <v>115</v>
      </c>
      <c r="C17" s="98">
        <v>250</v>
      </c>
      <c r="D17" s="18">
        <v>280</v>
      </c>
      <c r="E17" s="18">
        <v>275</v>
      </c>
      <c r="F17" s="18">
        <v>300</v>
      </c>
      <c r="G17" s="18">
        <v>325</v>
      </c>
      <c r="H17" s="19">
        <v>350</v>
      </c>
      <c r="L17" s="143" t="s">
        <v>131</v>
      </c>
      <c r="M17" s="147"/>
    </row>
    <row r="18" spans="2:13" x14ac:dyDescent="0.25">
      <c r="B18" s="11" t="s">
        <v>79</v>
      </c>
      <c r="C18" s="98">
        <f>J5-C37-C32</f>
        <v>738</v>
      </c>
      <c r="D18" s="18">
        <f>+C18-D37-D32</f>
        <v>732</v>
      </c>
      <c r="E18" s="18">
        <f t="shared" ref="E18:H18" si="25">+D18-E37-E32</f>
        <v>722</v>
      </c>
      <c r="F18" s="18">
        <f t="shared" si="25"/>
        <v>713</v>
      </c>
      <c r="G18" s="18">
        <f t="shared" si="25"/>
        <v>710</v>
      </c>
      <c r="H18" s="19">
        <f t="shared" si="25"/>
        <v>713</v>
      </c>
      <c r="L18" s="125" t="s">
        <v>128</v>
      </c>
      <c r="M18" s="148">
        <v>0.06</v>
      </c>
    </row>
    <row r="19" spans="2:13" ht="17.25" x14ac:dyDescent="0.4">
      <c r="B19" s="11" t="s">
        <v>71</v>
      </c>
      <c r="C19" s="99">
        <v>50</v>
      </c>
      <c r="D19" s="27">
        <v>75</v>
      </c>
      <c r="E19" s="27">
        <v>100</v>
      </c>
      <c r="F19" s="27">
        <v>125</v>
      </c>
      <c r="G19" s="27">
        <v>150</v>
      </c>
      <c r="H19" s="28">
        <v>175</v>
      </c>
      <c r="L19" s="125" t="s">
        <v>129</v>
      </c>
      <c r="M19" s="148">
        <v>0.06</v>
      </c>
    </row>
    <row r="20" spans="2:13" x14ac:dyDescent="0.25">
      <c r="B20" s="14" t="s">
        <v>72</v>
      </c>
      <c r="C20" s="100">
        <f>+SUM(C16:C19)</f>
        <v>1648</v>
      </c>
      <c r="D20" s="21">
        <f t="shared" ref="D20:H20" si="26">+SUM(D16:D19)</f>
        <v>1781.164</v>
      </c>
      <c r="E20" s="21">
        <f t="shared" si="26"/>
        <v>1836.664</v>
      </c>
      <c r="F20" s="21">
        <f t="shared" si="26"/>
        <v>2156.3519999999999</v>
      </c>
      <c r="G20" s="21">
        <f t="shared" si="26"/>
        <v>2396.2020000000002</v>
      </c>
      <c r="H20" s="22">
        <f t="shared" si="26"/>
        <v>2645.614</v>
      </c>
      <c r="L20" s="125" t="s">
        <v>130</v>
      </c>
      <c r="M20" s="148">
        <v>0.02</v>
      </c>
    </row>
    <row r="21" spans="2:13" x14ac:dyDescent="0.25">
      <c r="B21" s="11" t="s">
        <v>73</v>
      </c>
      <c r="C21" s="98">
        <v>125</v>
      </c>
      <c r="D21" s="18">
        <v>120</v>
      </c>
      <c r="E21" s="18">
        <v>150</v>
      </c>
      <c r="F21" s="18">
        <v>175</v>
      </c>
      <c r="G21" s="18">
        <v>200</v>
      </c>
      <c r="H21" s="19">
        <v>225</v>
      </c>
      <c r="L21" s="125" t="s">
        <v>122</v>
      </c>
      <c r="M21" s="149">
        <f>((((H36*(1+M19))-(M20*H4*(1+M18))+(M13*(H22))))/(M15-M18))/(1+M15)^5</f>
        <v>2194.8688453662012</v>
      </c>
    </row>
    <row r="22" spans="2:13" x14ac:dyDescent="0.25">
      <c r="B22" s="11" t="s">
        <v>74</v>
      </c>
      <c r="C22" s="98">
        <v>395</v>
      </c>
      <c r="D22" s="18">
        <v>390</v>
      </c>
      <c r="E22" s="18">
        <v>250</v>
      </c>
      <c r="F22" s="18">
        <v>380</v>
      </c>
      <c r="G22" s="18">
        <v>375</v>
      </c>
      <c r="H22" s="19">
        <v>370</v>
      </c>
      <c r="L22" s="125" t="s">
        <v>91</v>
      </c>
      <c r="M22" s="150">
        <f>+(C16-C22)/C11</f>
        <v>0.61428571428571432</v>
      </c>
    </row>
    <row r="23" spans="2:13" x14ac:dyDescent="0.25">
      <c r="B23" s="11" t="s">
        <v>75</v>
      </c>
      <c r="C23" s="121">
        <v>45</v>
      </c>
      <c r="D23" s="17">
        <v>50</v>
      </c>
      <c r="E23" s="17">
        <v>55</v>
      </c>
      <c r="F23" s="17">
        <v>60</v>
      </c>
      <c r="G23" s="17">
        <v>65</v>
      </c>
      <c r="H23" s="20">
        <v>70</v>
      </c>
      <c r="L23" s="128" t="s">
        <v>123</v>
      </c>
      <c r="M23" s="151">
        <f>+(M16+M21)/C11+M22</f>
        <v>8.5591821451365337</v>
      </c>
    </row>
    <row r="24" spans="2:13" x14ac:dyDescent="0.25">
      <c r="B24" s="14" t="s">
        <v>76</v>
      </c>
      <c r="C24" s="100">
        <f>SUM(C21:C23)</f>
        <v>565</v>
      </c>
      <c r="D24" s="21">
        <f t="shared" ref="D24:H24" si="27">SUM(D21:D23)</f>
        <v>560</v>
      </c>
      <c r="E24" s="21">
        <f t="shared" si="27"/>
        <v>455</v>
      </c>
      <c r="F24" s="21">
        <f t="shared" si="27"/>
        <v>615</v>
      </c>
      <c r="G24" s="21">
        <f t="shared" si="27"/>
        <v>640</v>
      </c>
      <c r="H24" s="22">
        <f t="shared" si="27"/>
        <v>665</v>
      </c>
      <c r="L24" s="214" t="s">
        <v>173</v>
      </c>
      <c r="M24" s="215">
        <f>ROUND((M3-M23),0)</f>
        <v>0</v>
      </c>
    </row>
    <row r="25" spans="2:13" x14ac:dyDescent="0.25">
      <c r="B25" s="11" t="s">
        <v>98</v>
      </c>
      <c r="C25" s="101">
        <f>+C20-C24-C26</f>
        <v>860</v>
      </c>
      <c r="D25" s="45">
        <f t="shared" ref="D25:H25" si="28">+D20-D24-D26</f>
        <v>880</v>
      </c>
      <c r="E25" s="45">
        <f t="shared" si="28"/>
        <v>900</v>
      </c>
      <c r="F25" s="45">
        <f t="shared" si="28"/>
        <v>919.99999999999989</v>
      </c>
      <c r="G25" s="45">
        <f t="shared" si="28"/>
        <v>940.00000000000023</v>
      </c>
      <c r="H25" s="46">
        <f t="shared" si="28"/>
        <v>960</v>
      </c>
    </row>
    <row r="26" spans="2:13" ht="17.25" x14ac:dyDescent="0.4">
      <c r="B26" s="11" t="s">
        <v>99</v>
      </c>
      <c r="C26" s="99">
        <f>+C31+J8</f>
        <v>223</v>
      </c>
      <c r="D26" s="27">
        <f>+C26+D31</f>
        <v>341.16399999999999</v>
      </c>
      <c r="E26" s="27">
        <f>+D26+E31</f>
        <v>481.66399999999999</v>
      </c>
      <c r="F26" s="27">
        <f t="shared" ref="F26:H26" si="29">+E26+F31</f>
        <v>621.35199999999998</v>
      </c>
      <c r="G26" s="27">
        <f t="shared" si="29"/>
        <v>816.202</v>
      </c>
      <c r="H26" s="28">
        <f t="shared" si="29"/>
        <v>1020.614</v>
      </c>
    </row>
    <row r="27" spans="2:13" x14ac:dyDescent="0.25">
      <c r="B27" s="30" t="s">
        <v>77</v>
      </c>
      <c r="C27" s="122">
        <f>SUM(C25:C26)</f>
        <v>1083</v>
      </c>
      <c r="D27" s="23">
        <f t="shared" ref="D27:H27" si="30">SUM(D25:D26)</f>
        <v>1221.164</v>
      </c>
      <c r="E27" s="23">
        <f t="shared" si="30"/>
        <v>1381.664</v>
      </c>
      <c r="F27" s="23">
        <f t="shared" si="30"/>
        <v>1541.3519999999999</v>
      </c>
      <c r="G27" s="23">
        <f t="shared" si="30"/>
        <v>1756.2020000000002</v>
      </c>
      <c r="H27" s="24">
        <f t="shared" si="30"/>
        <v>1980.614</v>
      </c>
    </row>
    <row r="28" spans="2:13" x14ac:dyDescent="0.25">
      <c r="C28" s="142">
        <f>+C20-C24-C27</f>
        <v>0</v>
      </c>
      <c r="D28" s="142">
        <f t="shared" ref="D28:H28" si="31">+D20-D24-D27</f>
        <v>0</v>
      </c>
      <c r="E28" s="142">
        <f t="shared" si="31"/>
        <v>0</v>
      </c>
      <c r="F28" s="142">
        <f t="shared" si="31"/>
        <v>0</v>
      </c>
      <c r="G28" s="142">
        <f t="shared" si="31"/>
        <v>0</v>
      </c>
      <c r="H28" s="142">
        <f t="shared" si="31"/>
        <v>0</v>
      </c>
    </row>
    <row r="29" spans="2:13" ht="15.75" x14ac:dyDescent="0.25">
      <c r="B29" s="7" t="s">
        <v>78</v>
      </c>
      <c r="C29" s="96" t="s">
        <v>15</v>
      </c>
      <c r="D29" s="55" t="s">
        <v>33</v>
      </c>
      <c r="E29" s="3" t="s">
        <v>59</v>
      </c>
      <c r="F29" s="3" t="s">
        <v>60</v>
      </c>
      <c r="G29" s="3" t="s">
        <v>61</v>
      </c>
      <c r="H29" s="9" t="s">
        <v>62</v>
      </c>
    </row>
    <row r="30" spans="2:13" ht="17.25" x14ac:dyDescent="0.4">
      <c r="B30" s="8" t="s">
        <v>1</v>
      </c>
      <c r="C30" s="97" t="s">
        <v>68</v>
      </c>
      <c r="D30" s="56" t="s">
        <v>63</v>
      </c>
      <c r="E30" s="5" t="s">
        <v>64</v>
      </c>
      <c r="F30" s="5" t="s">
        <v>65</v>
      </c>
      <c r="G30" s="5" t="s">
        <v>66</v>
      </c>
      <c r="H30" s="10" t="s">
        <v>67</v>
      </c>
    </row>
    <row r="31" spans="2:13" x14ac:dyDescent="0.25">
      <c r="B31" s="11" t="s">
        <v>17</v>
      </c>
      <c r="C31" s="120">
        <f>+C10</f>
        <v>123</v>
      </c>
      <c r="D31" s="18">
        <f t="shared" ref="D31:H31" si="32">+D10</f>
        <v>118.164</v>
      </c>
      <c r="E31" s="18">
        <f t="shared" si="32"/>
        <v>140.5</v>
      </c>
      <c r="F31" s="18">
        <f t="shared" si="32"/>
        <v>139.68799999999999</v>
      </c>
      <c r="G31" s="18">
        <f t="shared" si="32"/>
        <v>194.85</v>
      </c>
      <c r="H31" s="19">
        <f t="shared" si="32"/>
        <v>204.41200000000001</v>
      </c>
    </row>
    <row r="32" spans="2:13" x14ac:dyDescent="0.25">
      <c r="B32" s="11" t="s">
        <v>96</v>
      </c>
      <c r="C32" s="98">
        <v>37</v>
      </c>
      <c r="D32" s="18">
        <v>36</v>
      </c>
      <c r="E32" s="18">
        <v>35</v>
      </c>
      <c r="F32" s="18">
        <v>34</v>
      </c>
      <c r="G32" s="18">
        <v>33</v>
      </c>
      <c r="H32" s="19">
        <v>32</v>
      </c>
    </row>
    <row r="33" spans="2:8" x14ac:dyDescent="0.25">
      <c r="B33" s="108" t="s">
        <v>82</v>
      </c>
      <c r="C33" s="98"/>
      <c r="D33" s="18"/>
      <c r="E33" s="18"/>
      <c r="F33" s="18"/>
      <c r="G33" s="18"/>
      <c r="H33" s="19"/>
    </row>
    <row r="34" spans="2:8" x14ac:dyDescent="0.25">
      <c r="B34" s="11" t="s">
        <v>115</v>
      </c>
      <c r="C34" s="98">
        <f>-(C17-J4)</f>
        <v>-25</v>
      </c>
      <c r="D34" s="18">
        <f>-(D17-C17)</f>
        <v>-30</v>
      </c>
      <c r="E34" s="18">
        <f t="shared" ref="E34:H34" si="33">-(E17-D17)</f>
        <v>5</v>
      </c>
      <c r="F34" s="18">
        <f t="shared" si="33"/>
        <v>-25</v>
      </c>
      <c r="G34" s="18">
        <f t="shared" si="33"/>
        <v>-25</v>
      </c>
      <c r="H34" s="19">
        <f t="shared" si="33"/>
        <v>-25</v>
      </c>
    </row>
    <row r="35" spans="2:8" ht="17.25" x14ac:dyDescent="0.4">
      <c r="B35" s="11" t="s">
        <v>73</v>
      </c>
      <c r="C35" s="99">
        <f>+(C21-J6)</f>
        <v>5</v>
      </c>
      <c r="D35" s="27">
        <f>+(D21-C21)</f>
        <v>-5</v>
      </c>
      <c r="E35" s="27">
        <f t="shared" ref="E35:H35" si="34">+(E21-D21)</f>
        <v>30</v>
      </c>
      <c r="F35" s="27">
        <f t="shared" si="34"/>
        <v>25</v>
      </c>
      <c r="G35" s="27">
        <f t="shared" si="34"/>
        <v>25</v>
      </c>
      <c r="H35" s="28">
        <f t="shared" si="34"/>
        <v>25</v>
      </c>
    </row>
    <row r="36" spans="2:8" x14ac:dyDescent="0.25">
      <c r="B36" s="14" t="s">
        <v>83</v>
      </c>
      <c r="C36" s="100">
        <f>SUM(C31:C35)</f>
        <v>140</v>
      </c>
      <c r="D36" s="21">
        <f t="shared" ref="D36:H36" si="35">SUM(D31:D35)</f>
        <v>119.16399999999999</v>
      </c>
      <c r="E36" s="21">
        <f t="shared" si="35"/>
        <v>210.5</v>
      </c>
      <c r="F36" s="21">
        <f t="shared" si="35"/>
        <v>173.68799999999999</v>
      </c>
      <c r="G36" s="21">
        <f t="shared" si="35"/>
        <v>227.85</v>
      </c>
      <c r="H36" s="22">
        <f t="shared" si="35"/>
        <v>236.41200000000001</v>
      </c>
    </row>
    <row r="37" spans="2:8" ht="17.25" x14ac:dyDescent="0.4">
      <c r="B37" s="11" t="s">
        <v>84</v>
      </c>
      <c r="C37" s="99">
        <v>-25</v>
      </c>
      <c r="D37" s="27">
        <v>-30</v>
      </c>
      <c r="E37" s="27">
        <v>-25</v>
      </c>
      <c r="F37" s="27">
        <v>-25</v>
      </c>
      <c r="G37" s="27">
        <v>-30</v>
      </c>
      <c r="H37" s="28">
        <v>-35</v>
      </c>
    </row>
    <row r="38" spans="2:8" x14ac:dyDescent="0.25">
      <c r="B38" s="14" t="s">
        <v>85</v>
      </c>
      <c r="C38" s="100">
        <f>+C37</f>
        <v>-25</v>
      </c>
      <c r="D38" s="21">
        <f t="shared" ref="D38" si="36">+D37</f>
        <v>-30</v>
      </c>
      <c r="E38" s="21">
        <f t="shared" ref="E38" si="37">+E37</f>
        <v>-25</v>
      </c>
      <c r="F38" s="21">
        <f t="shared" ref="F38" si="38">+F37</f>
        <v>-25</v>
      </c>
      <c r="G38" s="21">
        <f t="shared" ref="G38" si="39">+G37</f>
        <v>-30</v>
      </c>
      <c r="H38" s="22">
        <f t="shared" ref="H38" si="40">+H37</f>
        <v>-35</v>
      </c>
    </row>
    <row r="39" spans="2:8" ht="17.25" x14ac:dyDescent="0.4">
      <c r="B39" s="11" t="s">
        <v>93</v>
      </c>
      <c r="C39" s="99">
        <f>(C22-J7)</f>
        <v>-5</v>
      </c>
      <c r="D39" s="27">
        <f>(D22-C22)</f>
        <v>-5</v>
      </c>
      <c r="E39" s="27">
        <f t="shared" ref="E39:H39" si="41">(E22-D22)</f>
        <v>-140</v>
      </c>
      <c r="F39" s="27">
        <f t="shared" si="41"/>
        <v>130</v>
      </c>
      <c r="G39" s="27">
        <f t="shared" si="41"/>
        <v>-5</v>
      </c>
      <c r="H39" s="28">
        <f t="shared" si="41"/>
        <v>-5</v>
      </c>
    </row>
    <row r="40" spans="2:8" x14ac:dyDescent="0.25">
      <c r="B40" s="14" t="s">
        <v>86</v>
      </c>
      <c r="C40" s="100">
        <f>+C39</f>
        <v>-5</v>
      </c>
      <c r="D40" s="21">
        <f t="shared" ref="D40:H40" si="42">+D39</f>
        <v>-5</v>
      </c>
      <c r="E40" s="21">
        <f>+E39</f>
        <v>-140</v>
      </c>
      <c r="F40" s="21">
        <f t="shared" si="42"/>
        <v>130</v>
      </c>
      <c r="G40" s="21">
        <f t="shared" si="42"/>
        <v>-5</v>
      </c>
      <c r="H40" s="22">
        <f t="shared" si="42"/>
        <v>-5</v>
      </c>
    </row>
    <row r="41" spans="2:8" x14ac:dyDescent="0.25">
      <c r="B41" s="15" t="s">
        <v>90</v>
      </c>
      <c r="C41" s="100">
        <f>+C40+C38+C36</f>
        <v>110</v>
      </c>
      <c r="D41" s="21">
        <f t="shared" ref="D41:H41" si="43">+D40+D38+D36</f>
        <v>84.163999999999987</v>
      </c>
      <c r="E41" s="21">
        <f t="shared" si="43"/>
        <v>45.5</v>
      </c>
      <c r="F41" s="21">
        <f t="shared" si="43"/>
        <v>278.68799999999999</v>
      </c>
      <c r="G41" s="21">
        <f t="shared" si="43"/>
        <v>192.85</v>
      </c>
      <c r="H41" s="22">
        <f t="shared" si="43"/>
        <v>196.41200000000001</v>
      </c>
    </row>
    <row r="42" spans="2:8" x14ac:dyDescent="0.25">
      <c r="B42" s="11" t="s">
        <v>88</v>
      </c>
      <c r="C42" s="98">
        <f>+J3</f>
        <v>500</v>
      </c>
      <c r="D42" s="18">
        <f>+C43</f>
        <v>610</v>
      </c>
      <c r="E42" s="18">
        <f t="shared" ref="E42:H42" si="44">+D43</f>
        <v>694.16399999999999</v>
      </c>
      <c r="F42" s="18">
        <f t="shared" si="44"/>
        <v>739.66399999999999</v>
      </c>
      <c r="G42" s="18">
        <f t="shared" si="44"/>
        <v>1018.352</v>
      </c>
      <c r="H42" s="19">
        <f t="shared" si="44"/>
        <v>1211.202</v>
      </c>
    </row>
    <row r="43" spans="2:8" x14ac:dyDescent="0.25">
      <c r="B43" s="123" t="s">
        <v>89</v>
      </c>
      <c r="C43" s="122">
        <f>+C42+C41</f>
        <v>610</v>
      </c>
      <c r="D43" s="23">
        <f>+D42+D41</f>
        <v>694.16399999999999</v>
      </c>
      <c r="E43" s="23">
        <f>+E42+E41</f>
        <v>739.66399999999999</v>
      </c>
      <c r="F43" s="23">
        <f t="shared" ref="F43:H43" si="45">+F42+F41</f>
        <v>1018.352</v>
      </c>
      <c r="G43" s="23">
        <f t="shared" si="45"/>
        <v>1211.202</v>
      </c>
      <c r="H43" s="24">
        <f t="shared" si="45"/>
        <v>1407.614</v>
      </c>
    </row>
    <row r="45" spans="2:8" ht="15.75" x14ac:dyDescent="0.25">
      <c r="B45" s="7" t="s">
        <v>97</v>
      </c>
      <c r="C45" s="96" t="s">
        <v>15</v>
      </c>
      <c r="D45" s="3" t="s">
        <v>33</v>
      </c>
      <c r="E45" s="3" t="s">
        <v>59</v>
      </c>
      <c r="F45" s="3" t="s">
        <v>60</v>
      </c>
      <c r="G45" s="3" t="s">
        <v>61</v>
      </c>
      <c r="H45" s="9" t="s">
        <v>62</v>
      </c>
    </row>
    <row r="46" spans="2:8" ht="17.25" x14ac:dyDescent="0.4">
      <c r="B46" s="8"/>
      <c r="C46" s="97" t="s">
        <v>68</v>
      </c>
      <c r="D46" s="5" t="s">
        <v>63</v>
      </c>
      <c r="E46" s="5" t="s">
        <v>64</v>
      </c>
      <c r="F46" s="5" t="s">
        <v>65</v>
      </c>
      <c r="G46" s="5" t="s">
        <v>66</v>
      </c>
      <c r="H46" s="10" t="s">
        <v>67</v>
      </c>
    </row>
    <row r="47" spans="2:8" x14ac:dyDescent="0.25">
      <c r="B47" s="125" t="s">
        <v>113</v>
      </c>
      <c r="C47" s="103">
        <v>25</v>
      </c>
      <c r="D47" s="67">
        <v>26</v>
      </c>
      <c r="E47" s="67">
        <v>27</v>
      </c>
      <c r="F47" s="67">
        <v>29</v>
      </c>
      <c r="G47" s="67">
        <v>36</v>
      </c>
      <c r="H47" s="57">
        <v>39</v>
      </c>
    </row>
    <row r="48" spans="2:8" x14ac:dyDescent="0.25">
      <c r="B48" s="125" t="s">
        <v>114</v>
      </c>
      <c r="C48" s="130">
        <f>+C4/C47</f>
        <v>30</v>
      </c>
      <c r="D48" s="131">
        <f t="shared" ref="D48:H48" si="46">+D4/D47</f>
        <v>30.76923076923077</v>
      </c>
      <c r="E48" s="131">
        <f t="shared" si="46"/>
        <v>30.555555555555557</v>
      </c>
      <c r="F48" s="131">
        <f t="shared" si="46"/>
        <v>31.03448275862069</v>
      </c>
      <c r="G48" s="131">
        <f t="shared" si="46"/>
        <v>33.333333333333336</v>
      </c>
      <c r="H48" s="132">
        <f t="shared" si="46"/>
        <v>35.897435897435898</v>
      </c>
    </row>
    <row r="49" spans="2:8" x14ac:dyDescent="0.25">
      <c r="B49" s="11" t="s">
        <v>100</v>
      </c>
      <c r="C49" s="104">
        <f t="shared" ref="C49:H49" si="47">+C6/C4</f>
        <v>0.2</v>
      </c>
      <c r="D49" s="69">
        <f t="shared" si="47"/>
        <v>0.18</v>
      </c>
      <c r="E49" s="69">
        <f t="shared" si="47"/>
        <v>0.21</v>
      </c>
      <c r="F49" s="69">
        <f t="shared" si="47"/>
        <v>0.19</v>
      </c>
      <c r="G49" s="69">
        <f t="shared" si="47"/>
        <v>0.2</v>
      </c>
      <c r="H49" s="72">
        <f t="shared" si="47"/>
        <v>0.18</v>
      </c>
    </row>
    <row r="50" spans="2:8" x14ac:dyDescent="0.25">
      <c r="B50" s="11" t="s">
        <v>103</v>
      </c>
      <c r="C50" s="119">
        <f>+(C22+400)/2</f>
        <v>397.5</v>
      </c>
      <c r="D50" s="117">
        <f>+(D22+C22)/2</f>
        <v>392.5</v>
      </c>
      <c r="E50" s="117">
        <f t="shared" ref="E50:H50" si="48">+(E22+D22)/2</f>
        <v>320</v>
      </c>
      <c r="F50" s="117">
        <f t="shared" si="48"/>
        <v>315</v>
      </c>
      <c r="G50" s="117">
        <f t="shared" si="48"/>
        <v>377.5</v>
      </c>
      <c r="H50" s="118">
        <f t="shared" si="48"/>
        <v>372.5</v>
      </c>
    </row>
    <row r="51" spans="2:8" x14ac:dyDescent="0.25">
      <c r="B51" s="11" t="s">
        <v>95</v>
      </c>
      <c r="C51" s="104">
        <f t="shared" ref="C51:H51" si="49">+C7/C50</f>
        <v>3.7735849056603772E-2</v>
      </c>
      <c r="D51" s="69">
        <f t="shared" si="49"/>
        <v>3.7757961783439493E-2</v>
      </c>
      <c r="E51" s="69">
        <f t="shared" si="49"/>
        <v>2.9687499999999999E-2</v>
      </c>
      <c r="F51" s="69">
        <f t="shared" si="49"/>
        <v>4.5841269841269842E-2</v>
      </c>
      <c r="G51" s="69">
        <f t="shared" si="49"/>
        <v>3.7748344370860928E-2</v>
      </c>
      <c r="H51" s="72">
        <f t="shared" si="49"/>
        <v>3.7744966442953019E-2</v>
      </c>
    </row>
    <row r="52" spans="2:8" x14ac:dyDescent="0.25">
      <c r="B52" s="11" t="s">
        <v>105</v>
      </c>
      <c r="C52" s="104">
        <f t="shared" ref="C52:H52" si="50">-C37/C4</f>
        <v>3.3333333333333333E-2</v>
      </c>
      <c r="D52" s="69">
        <f t="shared" si="50"/>
        <v>3.7499999999999999E-2</v>
      </c>
      <c r="E52" s="69">
        <f t="shared" si="50"/>
        <v>3.0303030303030304E-2</v>
      </c>
      <c r="F52" s="69">
        <f t="shared" si="50"/>
        <v>2.7777777777777776E-2</v>
      </c>
      <c r="G52" s="69">
        <f t="shared" si="50"/>
        <v>2.5000000000000001E-2</v>
      </c>
      <c r="H52" s="72">
        <f t="shared" si="50"/>
        <v>2.5000000000000001E-2</v>
      </c>
    </row>
    <row r="53" spans="2:8" x14ac:dyDescent="0.25">
      <c r="B53" s="11" t="s">
        <v>19</v>
      </c>
      <c r="C53" s="104">
        <f t="shared" ref="C53:H53" si="51">+C9/C8</f>
        <v>0.2</v>
      </c>
      <c r="D53" s="69">
        <f t="shared" si="51"/>
        <v>0.2</v>
      </c>
      <c r="E53" s="69">
        <f t="shared" si="51"/>
        <v>0.2</v>
      </c>
      <c r="F53" s="69">
        <f t="shared" si="51"/>
        <v>0.2</v>
      </c>
      <c r="G53" s="69">
        <f t="shared" si="51"/>
        <v>0.20000000000000004</v>
      </c>
      <c r="H53" s="72">
        <f t="shared" si="51"/>
        <v>0.2</v>
      </c>
    </row>
    <row r="54" spans="2:8" x14ac:dyDescent="0.25">
      <c r="B54" s="125" t="s">
        <v>92</v>
      </c>
      <c r="C54" s="103">
        <f>+C36-(-C37)-(C7*(1-C53))</f>
        <v>103</v>
      </c>
      <c r="D54" s="67">
        <f t="shared" ref="D54:H54" si="52">+D36-(-D37)-(D7*(1-D53))</f>
        <v>77.307999999999993</v>
      </c>
      <c r="E54" s="65">
        <f>+E36-(-E37)-(E7*(1-E53))</f>
        <v>177.9</v>
      </c>
      <c r="F54" s="67">
        <f t="shared" si="52"/>
        <v>137.136</v>
      </c>
      <c r="G54" s="67">
        <f t="shared" si="52"/>
        <v>186.45</v>
      </c>
      <c r="H54" s="57">
        <f t="shared" si="52"/>
        <v>190.16400000000002</v>
      </c>
    </row>
    <row r="55" spans="2:8" x14ac:dyDescent="0.25">
      <c r="B55" s="11" t="s">
        <v>102</v>
      </c>
      <c r="C55" s="114">
        <v>0</v>
      </c>
      <c r="D55" s="12">
        <v>1</v>
      </c>
      <c r="E55" s="12">
        <v>2</v>
      </c>
      <c r="F55" s="124">
        <v>3</v>
      </c>
      <c r="G55" s="124">
        <v>4</v>
      </c>
      <c r="H55" s="13">
        <v>5</v>
      </c>
    </row>
    <row r="56" spans="2:8" x14ac:dyDescent="0.25">
      <c r="B56" s="116" t="s">
        <v>101</v>
      </c>
      <c r="C56" s="115"/>
      <c r="D56" s="135">
        <f>+D54/(1+$M$14)^D55</f>
        <v>71.06403987503549</v>
      </c>
      <c r="E56" s="137">
        <f>+E54/(1+$M$14)^E55</f>
        <v>150.32349264813027</v>
      </c>
      <c r="F56" s="135">
        <f t="shared" ref="F56:H56" si="53">+F54/(1+$M$14)^F55</f>
        <v>106.5191867853392</v>
      </c>
      <c r="G56" s="135">
        <f t="shared" si="53"/>
        <v>133.12640580674699</v>
      </c>
      <c r="H56" s="136">
        <f t="shared" si="53"/>
        <v>124.81178031633377</v>
      </c>
    </row>
  </sheetData>
  <mergeCells count="2">
    <mergeCell ref="A2:A3"/>
    <mergeCell ref="I2:J2"/>
  </mergeCells>
  <pageMargins left="0.7" right="0.7" top="0.75" bottom="0.75" header="0.3" footer="0.3"/>
  <pageSetup scale="64" orientation="portrait" r:id="rId1"/>
  <ignoredErrors>
    <ignoredError sqref="D7:H7 C39:H39" 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F71D9-B6BD-44B6-BD77-508469F5C0DE}">
  <sheetPr>
    <pageSetUpPr fitToPage="1"/>
  </sheetPr>
  <dimension ref="A1:V25"/>
  <sheetViews>
    <sheetView showGridLines="0" zoomScale="80" zoomScaleNormal="80" workbookViewId="0"/>
  </sheetViews>
  <sheetFormatPr defaultRowHeight="15" x14ac:dyDescent="0.25"/>
  <cols>
    <col min="1" max="1" width="0.7109375" customWidth="1"/>
    <col min="2" max="2" width="31.28515625" customWidth="1"/>
    <col min="3" max="12" width="14.140625" customWidth="1"/>
    <col min="13" max="13" width="0.85546875" customWidth="1"/>
    <col min="14" max="14" width="15.85546875" customWidth="1"/>
    <col min="16" max="22" width="10.7109375" customWidth="1"/>
  </cols>
  <sheetData>
    <row r="1" spans="1:22" ht="6" customHeight="1" x14ac:dyDescent="0.25">
      <c r="A1" s="1"/>
      <c r="B1" s="6"/>
    </row>
    <row r="2" spans="1:22" ht="15.75" x14ac:dyDescent="0.25">
      <c r="A2" s="200"/>
      <c r="B2" s="7" t="s">
        <v>0</v>
      </c>
      <c r="C2" s="47" t="s">
        <v>12</v>
      </c>
      <c r="D2" s="2" t="s">
        <v>13</v>
      </c>
      <c r="E2" s="2" t="s">
        <v>14</v>
      </c>
      <c r="F2" s="48" t="s">
        <v>15</v>
      </c>
      <c r="G2" s="48" t="s">
        <v>15</v>
      </c>
      <c r="H2" s="55" t="s">
        <v>30</v>
      </c>
      <c r="I2" s="3" t="s">
        <v>31</v>
      </c>
      <c r="J2" s="3" t="s">
        <v>32</v>
      </c>
      <c r="K2" s="9" t="s">
        <v>33</v>
      </c>
      <c r="L2" s="9" t="s">
        <v>33</v>
      </c>
      <c r="N2" s="203" t="s">
        <v>140</v>
      </c>
      <c r="O2" s="204"/>
      <c r="P2" s="205" t="s">
        <v>142</v>
      </c>
      <c r="Q2" s="206"/>
      <c r="R2" s="206"/>
      <c r="S2" s="206"/>
      <c r="T2" s="206"/>
      <c r="U2" s="206"/>
      <c r="V2" s="207"/>
    </row>
    <row r="3" spans="1:22" ht="18" thickBot="1" x14ac:dyDescent="0.45">
      <c r="A3" s="200"/>
      <c r="B3" s="8" t="s">
        <v>139</v>
      </c>
      <c r="C3" s="49" t="s">
        <v>8</v>
      </c>
      <c r="D3" s="4" t="s">
        <v>9</v>
      </c>
      <c r="E3" s="4" t="s">
        <v>10</v>
      </c>
      <c r="F3" s="50" t="s">
        <v>11</v>
      </c>
      <c r="G3" s="50" t="s">
        <v>68</v>
      </c>
      <c r="H3" s="56" t="s">
        <v>26</v>
      </c>
      <c r="I3" s="5" t="s">
        <v>27</v>
      </c>
      <c r="J3" s="5" t="s">
        <v>28</v>
      </c>
      <c r="K3" s="10" t="s">
        <v>29</v>
      </c>
      <c r="L3" s="10" t="s">
        <v>63</v>
      </c>
      <c r="N3" s="11"/>
      <c r="O3" s="12"/>
      <c r="P3" s="208" t="s">
        <v>141</v>
      </c>
      <c r="Q3" s="208"/>
      <c r="R3" s="208"/>
      <c r="S3" s="209"/>
      <c r="T3" s="208"/>
      <c r="U3" s="208"/>
      <c r="V3" s="210"/>
    </row>
    <row r="4" spans="1:22" ht="15.75" thickBot="1" x14ac:dyDescent="0.3">
      <c r="B4" s="11" t="s">
        <v>3</v>
      </c>
      <c r="C4" s="51">
        <v>85</v>
      </c>
      <c r="D4" s="18">
        <v>135</v>
      </c>
      <c r="E4" s="18">
        <v>95</v>
      </c>
      <c r="F4" s="19">
        <v>65</v>
      </c>
      <c r="G4" s="19">
        <f>+SUM(C4:F4)</f>
        <v>380</v>
      </c>
      <c r="H4" s="51">
        <f>+H16*H19</f>
        <v>96.800000000000011</v>
      </c>
      <c r="I4" s="18">
        <f t="shared" ref="I4:K4" si="0">+I16*I19</f>
        <v>147.42000000000002</v>
      </c>
      <c r="J4" s="18">
        <f t="shared" si="0"/>
        <v>104.64000000000001</v>
      </c>
      <c r="K4" s="19">
        <f t="shared" si="0"/>
        <v>72.600000000000009</v>
      </c>
      <c r="L4" s="19">
        <f>+SUM(H4:K4)</f>
        <v>421.46000000000004</v>
      </c>
      <c r="N4" s="11"/>
      <c r="O4" s="166">
        <f>+H12</f>
        <v>0.2869152000000002</v>
      </c>
      <c r="P4" s="167">
        <f t="shared" ref="P4:Q4" si="1">+Q4-5%</f>
        <v>-0.05</v>
      </c>
      <c r="Q4" s="167">
        <f t="shared" si="1"/>
        <v>0</v>
      </c>
      <c r="R4" s="167">
        <f>+S4-5%</f>
        <v>0.05</v>
      </c>
      <c r="S4" s="168">
        <v>0.1</v>
      </c>
      <c r="T4" s="169">
        <f>+S4+5%</f>
        <v>0.15000000000000002</v>
      </c>
      <c r="U4" s="169">
        <f t="shared" ref="U4:V4" si="2">+T4+5%</f>
        <v>0.2</v>
      </c>
      <c r="V4" s="190">
        <f t="shared" si="2"/>
        <v>0.25</v>
      </c>
    </row>
    <row r="5" spans="1:22" ht="17.25" x14ac:dyDescent="0.4">
      <c r="B5" s="11" t="s">
        <v>134</v>
      </c>
      <c r="C5" s="52">
        <f>0.5*C4</f>
        <v>42.5</v>
      </c>
      <c r="D5" s="27">
        <f>0.47*D4</f>
        <v>63.449999999999996</v>
      </c>
      <c r="E5" s="27">
        <f>0.49*E4</f>
        <v>46.55</v>
      </c>
      <c r="F5" s="28">
        <f>0.54*F4</f>
        <v>35.1</v>
      </c>
      <c r="G5" s="28">
        <f>+SUM(C5:F5)</f>
        <v>187.6</v>
      </c>
      <c r="H5" s="52">
        <f>+H4*(1-H20)</f>
        <v>47.916000000000004</v>
      </c>
      <c r="I5" s="27">
        <f t="shared" ref="I5:K5" si="3">+I4*(1-I20)</f>
        <v>68.550300000000007</v>
      </c>
      <c r="J5" s="27">
        <f t="shared" si="3"/>
        <v>50.750400000000006</v>
      </c>
      <c r="K5" s="28">
        <f t="shared" si="3"/>
        <v>38.841000000000001</v>
      </c>
      <c r="L5" s="28">
        <f>+SUM(H5:K5)</f>
        <v>206.05770000000004</v>
      </c>
      <c r="N5" s="211" t="s">
        <v>143</v>
      </c>
      <c r="O5" s="170">
        <f t="shared" ref="O5:O6" si="4">+O6-0.5%</f>
        <v>0.49</v>
      </c>
      <c r="P5" s="171">
        <f t="dataTable" ref="P5:V11" dt2D="1" dtr="1" r1="H18" r2="H20"/>
        <v>0.20866560000000006</v>
      </c>
      <c r="Q5" s="172">
        <v>0.21964799999999995</v>
      </c>
      <c r="R5" s="173">
        <v>0.23063040000000007</v>
      </c>
      <c r="S5" s="174">
        <v>0.24161279999999999</v>
      </c>
      <c r="T5" s="173">
        <v>0.25259520000000013</v>
      </c>
      <c r="U5" s="175">
        <v>0.26357760000000002</v>
      </c>
      <c r="V5" s="176">
        <v>0.27456000000000014</v>
      </c>
    </row>
    <row r="6" spans="1:22" x14ac:dyDescent="0.25">
      <c r="B6" s="32" t="s">
        <v>5</v>
      </c>
      <c r="C6" s="53">
        <f t="shared" ref="C6:L6" si="5">+C4-C5</f>
        <v>42.5</v>
      </c>
      <c r="D6" s="21">
        <f t="shared" si="5"/>
        <v>71.550000000000011</v>
      </c>
      <c r="E6" s="21">
        <f t="shared" si="5"/>
        <v>48.45</v>
      </c>
      <c r="F6" s="22">
        <f t="shared" si="5"/>
        <v>29.9</v>
      </c>
      <c r="G6" s="22">
        <f t="shared" si="5"/>
        <v>192.4</v>
      </c>
      <c r="H6" s="53">
        <f t="shared" si="5"/>
        <v>48.884000000000007</v>
      </c>
      <c r="I6" s="21">
        <f t="shared" si="5"/>
        <v>78.869700000000009</v>
      </c>
      <c r="J6" s="21">
        <f t="shared" si="5"/>
        <v>53.889600000000009</v>
      </c>
      <c r="K6" s="22">
        <f t="shared" si="5"/>
        <v>33.759000000000007</v>
      </c>
      <c r="L6" s="22">
        <f t="shared" si="5"/>
        <v>215.4023</v>
      </c>
      <c r="N6" s="211"/>
      <c r="O6" s="177">
        <f t="shared" si="4"/>
        <v>0.495</v>
      </c>
      <c r="P6" s="171">
        <v>0.22170720000000008</v>
      </c>
      <c r="Q6" s="172">
        <v>0.23337600000000014</v>
      </c>
      <c r="R6" s="173">
        <v>0.24504479999999998</v>
      </c>
      <c r="S6" s="178">
        <v>0.25671360000000004</v>
      </c>
      <c r="T6" s="173">
        <v>0.26838240000000013</v>
      </c>
      <c r="U6" s="175">
        <v>0.28005120000000017</v>
      </c>
      <c r="V6" s="176">
        <v>0.29172000000000026</v>
      </c>
    </row>
    <row r="7" spans="1:22" ht="18" thickBot="1" x14ac:dyDescent="0.45">
      <c r="B7" s="11" t="s">
        <v>6</v>
      </c>
      <c r="C7" s="52">
        <v>35</v>
      </c>
      <c r="D7" s="27">
        <v>45</v>
      </c>
      <c r="E7" s="27">
        <v>40</v>
      </c>
      <c r="F7" s="28">
        <v>35</v>
      </c>
      <c r="G7" s="28">
        <f>+SUM(C7:F7)</f>
        <v>155</v>
      </c>
      <c r="H7" s="52">
        <f>+H4*H21</f>
        <v>39.688000000000002</v>
      </c>
      <c r="I7" s="27">
        <f>+I4*I21</f>
        <v>51.597000000000001</v>
      </c>
      <c r="J7" s="27">
        <f>+J4*J21</f>
        <v>42.9024</v>
      </c>
      <c r="K7" s="28">
        <f>+K4*K21</f>
        <v>38.478000000000009</v>
      </c>
      <c r="L7" s="28">
        <f>+SUM(H7:K7)</f>
        <v>172.66540000000001</v>
      </c>
      <c r="N7" s="211"/>
      <c r="O7" s="179">
        <f>+O8-0.5%</f>
        <v>0.5</v>
      </c>
      <c r="P7" s="171">
        <v>0.23474880000000004</v>
      </c>
      <c r="Q7" s="172">
        <v>0.24710400000000007</v>
      </c>
      <c r="R7" s="173">
        <v>0.25945920000000006</v>
      </c>
      <c r="S7" s="178">
        <v>0.27181440000000007</v>
      </c>
      <c r="T7" s="173">
        <v>0.28416960000000008</v>
      </c>
      <c r="U7" s="175">
        <v>0.29652480000000014</v>
      </c>
      <c r="V7" s="176">
        <v>0.30888000000000021</v>
      </c>
    </row>
    <row r="8" spans="1:22" ht="15.75" thickBot="1" x14ac:dyDescent="0.3">
      <c r="B8" s="32" t="s">
        <v>7</v>
      </c>
      <c r="C8" s="53">
        <f t="shared" ref="C8:L8" si="6">+C6-C7</f>
        <v>7.5</v>
      </c>
      <c r="D8" s="21">
        <f t="shared" si="6"/>
        <v>26.550000000000011</v>
      </c>
      <c r="E8" s="21">
        <f t="shared" si="6"/>
        <v>8.4500000000000028</v>
      </c>
      <c r="F8" s="22">
        <f t="shared" si="6"/>
        <v>-5.1000000000000014</v>
      </c>
      <c r="G8" s="22">
        <f t="shared" si="6"/>
        <v>37.400000000000006</v>
      </c>
      <c r="H8" s="53">
        <f t="shared" si="6"/>
        <v>9.1960000000000051</v>
      </c>
      <c r="I8" s="21">
        <f t="shared" si="6"/>
        <v>27.272700000000007</v>
      </c>
      <c r="J8" s="21">
        <f t="shared" si="6"/>
        <v>10.987200000000009</v>
      </c>
      <c r="K8" s="22">
        <f t="shared" si="6"/>
        <v>-4.7190000000000012</v>
      </c>
      <c r="L8" s="22">
        <f t="shared" si="6"/>
        <v>42.736899999999991</v>
      </c>
      <c r="N8" s="212"/>
      <c r="O8" s="180">
        <v>0.505</v>
      </c>
      <c r="P8" s="172">
        <v>0.24779040000000002</v>
      </c>
      <c r="Q8" s="181">
        <v>0.26083199999999995</v>
      </c>
      <c r="R8" s="175">
        <v>0.27387360000000016</v>
      </c>
      <c r="S8" s="182">
        <v>0.2869152000000002</v>
      </c>
      <c r="T8" s="172">
        <v>0.29995680000000013</v>
      </c>
      <c r="U8" s="181">
        <v>0.31299840000000012</v>
      </c>
      <c r="V8" s="176">
        <v>0.32604000000000005</v>
      </c>
    </row>
    <row r="9" spans="1:22" ht="17.25" x14ac:dyDescent="0.4">
      <c r="B9" s="11" t="s">
        <v>16</v>
      </c>
      <c r="C9" s="52">
        <f>0.22*C8</f>
        <v>1.65</v>
      </c>
      <c r="D9" s="27">
        <f>0.22*D8</f>
        <v>5.8410000000000029</v>
      </c>
      <c r="E9" s="27">
        <f>0.22*E8</f>
        <v>1.8590000000000007</v>
      </c>
      <c r="F9" s="28">
        <v>0</v>
      </c>
      <c r="G9" s="28">
        <f>+SUM(C9:F9)</f>
        <v>9.3500000000000032</v>
      </c>
      <c r="H9" s="52">
        <f>H8*H23</f>
        <v>2.0231200000000009</v>
      </c>
      <c r="I9" s="27">
        <f>I8*I23</f>
        <v>5.9999940000000018</v>
      </c>
      <c r="J9" s="27">
        <f>J8*J23</f>
        <v>2.417184000000002</v>
      </c>
      <c r="K9" s="28">
        <f>K8*K23</f>
        <v>0</v>
      </c>
      <c r="L9" s="28">
        <f>+SUM(H9:K9)</f>
        <v>10.440298000000006</v>
      </c>
      <c r="N9" s="211"/>
      <c r="O9" s="177">
        <f>+O8+0.5%</f>
        <v>0.51</v>
      </c>
      <c r="P9" s="171">
        <v>0.26083199999999995</v>
      </c>
      <c r="Q9" s="172">
        <v>0.27456000000000014</v>
      </c>
      <c r="R9" s="173">
        <v>0.2882880000000001</v>
      </c>
      <c r="S9" s="174">
        <v>0.30201600000000023</v>
      </c>
      <c r="T9" s="173">
        <v>0.31574400000000014</v>
      </c>
      <c r="U9" s="175">
        <v>0.32947200000000032</v>
      </c>
      <c r="V9" s="176">
        <v>0.34320000000000023</v>
      </c>
    </row>
    <row r="10" spans="1:22" x14ac:dyDescent="0.25">
      <c r="B10" s="32" t="s">
        <v>17</v>
      </c>
      <c r="C10" s="53">
        <f>+C8-C9</f>
        <v>5.85</v>
      </c>
      <c r="D10" s="21">
        <f t="shared" ref="D10" si="7">+D8-D9</f>
        <v>20.70900000000001</v>
      </c>
      <c r="E10" s="21">
        <f>+E8-E9</f>
        <v>6.591000000000002</v>
      </c>
      <c r="F10" s="22">
        <f t="shared" ref="F10:G10" si="8">+F8-F9</f>
        <v>-5.1000000000000014</v>
      </c>
      <c r="G10" s="22">
        <f t="shared" si="8"/>
        <v>28.050000000000004</v>
      </c>
      <c r="H10" s="53">
        <f>+H8-H9</f>
        <v>7.1728800000000046</v>
      </c>
      <c r="I10" s="21">
        <f t="shared" ref="I10" si="9">+I8-I9</f>
        <v>21.272706000000007</v>
      </c>
      <c r="J10" s="21">
        <f>+J8-J9</f>
        <v>8.5700160000000061</v>
      </c>
      <c r="K10" s="22">
        <f t="shared" ref="K10:L10" si="10">+K8-K9</f>
        <v>-4.7190000000000012</v>
      </c>
      <c r="L10" s="22">
        <f t="shared" si="10"/>
        <v>32.296601999999986</v>
      </c>
      <c r="N10" s="211"/>
      <c r="O10" s="179">
        <f t="shared" ref="O10:O11" si="11">+O9+0.5%</f>
        <v>0.51500000000000001</v>
      </c>
      <c r="P10" s="183">
        <v>0.27387359999999994</v>
      </c>
      <c r="Q10" s="184">
        <v>0.2882880000000001</v>
      </c>
      <c r="R10" s="178">
        <v>0.30270240000000015</v>
      </c>
      <c r="S10" s="185">
        <v>0.31711680000000003</v>
      </c>
      <c r="T10" s="178">
        <v>0.33153120000000014</v>
      </c>
      <c r="U10" s="186">
        <v>0.34594560000000024</v>
      </c>
      <c r="V10" s="187">
        <v>0.36036000000000018</v>
      </c>
    </row>
    <row r="11" spans="1:22" x14ac:dyDescent="0.25">
      <c r="B11" s="29" t="s">
        <v>23</v>
      </c>
      <c r="C11" s="54">
        <v>25</v>
      </c>
      <c r="D11" s="45">
        <v>25</v>
      </c>
      <c r="E11" s="45">
        <v>25</v>
      </c>
      <c r="F11" s="46">
        <v>25</v>
      </c>
      <c r="G11" s="46">
        <f>AVERAGE(C11:F11)</f>
        <v>25</v>
      </c>
      <c r="H11" s="64">
        <v>25</v>
      </c>
      <c r="I11" s="65">
        <v>25</v>
      </c>
      <c r="J11" s="65">
        <v>25</v>
      </c>
      <c r="K11" s="36">
        <v>25</v>
      </c>
      <c r="L11" s="46">
        <f>AVERAGE(H11:K11)</f>
        <v>25</v>
      </c>
      <c r="N11" s="213"/>
      <c r="O11" s="191">
        <f t="shared" si="11"/>
        <v>0.52</v>
      </c>
      <c r="P11" s="192">
        <v>0.2869152000000002</v>
      </c>
      <c r="Q11" s="193">
        <v>0.30201600000000023</v>
      </c>
      <c r="R11" s="194">
        <v>0.31711680000000003</v>
      </c>
      <c r="S11" s="194">
        <v>0.33221760000000011</v>
      </c>
      <c r="T11" s="194">
        <v>0.34731840000000019</v>
      </c>
      <c r="U11" s="195">
        <v>0.36241920000000022</v>
      </c>
      <c r="V11" s="196">
        <v>0.37752000000000024</v>
      </c>
    </row>
    <row r="12" spans="1:22" x14ac:dyDescent="0.25">
      <c r="B12" s="38" t="s">
        <v>24</v>
      </c>
      <c r="C12" s="61">
        <f t="shared" ref="C12:L12" si="12">+C10/C11</f>
        <v>0.23399999999999999</v>
      </c>
      <c r="D12" s="62">
        <f t="shared" si="12"/>
        <v>0.82836000000000043</v>
      </c>
      <c r="E12" s="62">
        <f t="shared" si="12"/>
        <v>0.2636400000000001</v>
      </c>
      <c r="F12" s="63">
        <f t="shared" si="12"/>
        <v>-0.20400000000000007</v>
      </c>
      <c r="G12" s="63">
        <f t="shared" si="12"/>
        <v>1.1220000000000001</v>
      </c>
      <c r="H12" s="61">
        <f t="shared" si="12"/>
        <v>0.2869152000000002</v>
      </c>
      <c r="I12" s="62">
        <f t="shared" si="12"/>
        <v>0.85090824000000032</v>
      </c>
      <c r="J12" s="62">
        <f t="shared" si="12"/>
        <v>0.34280064000000027</v>
      </c>
      <c r="K12" s="63">
        <f t="shared" si="12"/>
        <v>-0.18876000000000004</v>
      </c>
      <c r="L12" s="63">
        <f t="shared" si="12"/>
        <v>1.2918640799999994</v>
      </c>
    </row>
    <row r="14" spans="1:22" ht="15.75" x14ac:dyDescent="0.25">
      <c r="B14" s="7" t="s">
        <v>18</v>
      </c>
      <c r="C14" s="47" t="s">
        <v>12</v>
      </c>
      <c r="D14" s="2" t="s">
        <v>13</v>
      </c>
      <c r="E14" s="2" t="s">
        <v>14</v>
      </c>
      <c r="F14" s="48" t="s">
        <v>15</v>
      </c>
      <c r="G14" s="48" t="s">
        <v>15</v>
      </c>
      <c r="H14" s="55" t="s">
        <v>30</v>
      </c>
      <c r="I14" s="3" t="s">
        <v>31</v>
      </c>
      <c r="J14" s="3" t="s">
        <v>32</v>
      </c>
      <c r="K14" s="9" t="s">
        <v>33</v>
      </c>
      <c r="L14" s="9" t="s">
        <v>33</v>
      </c>
    </row>
    <row r="15" spans="1:22" ht="17.25" x14ac:dyDescent="0.4">
      <c r="B15" s="8"/>
      <c r="C15" s="49" t="s">
        <v>8</v>
      </c>
      <c r="D15" s="4" t="s">
        <v>9</v>
      </c>
      <c r="E15" s="4" t="s">
        <v>10</v>
      </c>
      <c r="F15" s="50" t="s">
        <v>11</v>
      </c>
      <c r="G15" s="50" t="s">
        <v>68</v>
      </c>
      <c r="H15" s="56" t="s">
        <v>26</v>
      </c>
      <c r="I15" s="5" t="s">
        <v>27</v>
      </c>
      <c r="J15" s="5" t="s">
        <v>28</v>
      </c>
      <c r="K15" s="10" t="s">
        <v>29</v>
      </c>
      <c r="L15" s="10" t="s">
        <v>63</v>
      </c>
    </row>
    <row r="16" spans="1:22" x14ac:dyDescent="0.25">
      <c r="B16" s="16" t="s">
        <v>135</v>
      </c>
      <c r="C16" s="80">
        <v>55</v>
      </c>
      <c r="D16" s="58">
        <v>65</v>
      </c>
      <c r="E16" s="58">
        <v>60</v>
      </c>
      <c r="F16" s="57">
        <v>55</v>
      </c>
      <c r="G16" s="103"/>
      <c r="H16" s="58">
        <f>+(1+H18)*C16</f>
        <v>60.500000000000007</v>
      </c>
      <c r="I16" s="58">
        <f>+(1+I18)*D16</f>
        <v>70.2</v>
      </c>
      <c r="J16" s="58">
        <f>+(1+J18)*E16</f>
        <v>65.400000000000006</v>
      </c>
      <c r="K16" s="57">
        <f>+(1+K18)*F16</f>
        <v>60.500000000000007</v>
      </c>
      <c r="L16" s="57"/>
    </row>
    <row r="17" spans="2:12" x14ac:dyDescent="0.25">
      <c r="B17" s="68" t="s">
        <v>132</v>
      </c>
      <c r="C17" s="81">
        <f>+C16/50-1</f>
        <v>0.10000000000000009</v>
      </c>
      <c r="D17" s="69">
        <f>+D16/C16-1</f>
        <v>0.18181818181818188</v>
      </c>
      <c r="E17" s="69">
        <f t="shared" ref="E17:F17" si="13">+E16/D16-1</f>
        <v>-7.6923076923076872E-2</v>
      </c>
      <c r="F17" s="72">
        <f t="shared" si="13"/>
        <v>-8.333333333333337E-2</v>
      </c>
      <c r="G17" s="104"/>
      <c r="H17" s="152">
        <f>+H16/F16-1</f>
        <v>0.10000000000000009</v>
      </c>
      <c r="I17" s="152">
        <f>+I16/H16-1</f>
        <v>0.16033057851239652</v>
      </c>
      <c r="J17" s="152">
        <f t="shared" ref="J17:K17" si="14">+J16/I16-1</f>
        <v>-6.8376068376068355E-2</v>
      </c>
      <c r="K17" s="148">
        <f t="shared" si="14"/>
        <v>-7.4923547400611579E-2</v>
      </c>
      <c r="L17" s="148"/>
    </row>
    <row r="18" spans="2:12" x14ac:dyDescent="0.25">
      <c r="B18" s="68" t="s">
        <v>133</v>
      </c>
      <c r="C18" s="81">
        <f>C16/50-1</f>
        <v>0.10000000000000009</v>
      </c>
      <c r="D18" s="69">
        <f>D16/60-1</f>
        <v>8.3333333333333259E-2</v>
      </c>
      <c r="E18" s="69">
        <f>E16/55-1</f>
        <v>9.0909090909090828E-2</v>
      </c>
      <c r="F18" s="72">
        <f>F16/50-1</f>
        <v>0.10000000000000009</v>
      </c>
      <c r="G18" s="104"/>
      <c r="H18" s="83">
        <v>0.1</v>
      </c>
      <c r="I18" s="83">
        <v>0.08</v>
      </c>
      <c r="J18" s="83">
        <v>0.09</v>
      </c>
      <c r="K18" s="84">
        <v>0.1</v>
      </c>
      <c r="L18" s="148"/>
    </row>
    <row r="19" spans="2:12" x14ac:dyDescent="0.25">
      <c r="B19" s="16" t="s">
        <v>136</v>
      </c>
      <c r="C19" s="73">
        <f>+C4/C16</f>
        <v>1.5454545454545454</v>
      </c>
      <c r="D19" s="66">
        <f t="shared" ref="D19:F19" si="15">+D4/D16</f>
        <v>2.0769230769230771</v>
      </c>
      <c r="E19" s="66">
        <f t="shared" si="15"/>
        <v>1.5833333333333333</v>
      </c>
      <c r="F19" s="74">
        <f t="shared" si="15"/>
        <v>1.1818181818181819</v>
      </c>
      <c r="G19" s="105"/>
      <c r="H19" s="85">
        <v>1.6</v>
      </c>
      <c r="I19" s="85">
        <v>2.1</v>
      </c>
      <c r="J19" s="85">
        <v>1.6</v>
      </c>
      <c r="K19" s="86">
        <v>1.2</v>
      </c>
      <c r="L19" s="132"/>
    </row>
    <row r="20" spans="2:12" x14ac:dyDescent="0.25">
      <c r="B20" s="16" t="s">
        <v>137</v>
      </c>
      <c r="C20" s="81">
        <f>+C6/C4</f>
        <v>0.5</v>
      </c>
      <c r="D20" s="69">
        <f t="shared" ref="D20:G20" si="16">+D6/D4</f>
        <v>0.53000000000000014</v>
      </c>
      <c r="E20" s="69">
        <f t="shared" si="16"/>
        <v>0.51</v>
      </c>
      <c r="F20" s="72">
        <f t="shared" si="16"/>
        <v>0.45999999999999996</v>
      </c>
      <c r="G20" s="72">
        <f t="shared" si="16"/>
        <v>0.50631578947368427</v>
      </c>
      <c r="H20" s="83">
        <v>0.505</v>
      </c>
      <c r="I20" s="83">
        <v>0.53500000000000003</v>
      </c>
      <c r="J20" s="83">
        <v>0.51500000000000001</v>
      </c>
      <c r="K20" s="84">
        <v>0.46500000000000002</v>
      </c>
      <c r="L20" s="72">
        <f t="shared" ref="L20" si="17">+L6/L4</f>
        <v>0.5110859868077634</v>
      </c>
    </row>
    <row r="21" spans="2:12" x14ac:dyDescent="0.25">
      <c r="B21" s="16" t="s">
        <v>40</v>
      </c>
      <c r="C21" s="155">
        <f>+C7/C4</f>
        <v>0.41176470588235292</v>
      </c>
      <c r="D21" s="152">
        <f t="shared" ref="D21:F21" si="18">+D7/D4</f>
        <v>0.33333333333333331</v>
      </c>
      <c r="E21" s="152">
        <f t="shared" si="18"/>
        <v>0.42105263157894735</v>
      </c>
      <c r="F21" s="148">
        <f t="shared" si="18"/>
        <v>0.53846153846153844</v>
      </c>
      <c r="G21" s="156"/>
      <c r="H21" s="83">
        <v>0.41</v>
      </c>
      <c r="I21" s="83">
        <v>0.35</v>
      </c>
      <c r="J21" s="83">
        <v>0.41</v>
      </c>
      <c r="K21" s="84">
        <v>0.53</v>
      </c>
      <c r="L21" s="156"/>
    </row>
    <row r="22" spans="2:12" x14ac:dyDescent="0.25">
      <c r="B22" s="16" t="s">
        <v>100</v>
      </c>
      <c r="C22" s="157">
        <f>+C8/C4</f>
        <v>8.8235294117647065E-2</v>
      </c>
      <c r="D22" s="158">
        <f t="shared" ref="D22:K22" si="19">+D8/D4</f>
        <v>0.19666666666666674</v>
      </c>
      <c r="E22" s="158">
        <f t="shared" si="19"/>
        <v>8.8947368421052664E-2</v>
      </c>
      <c r="F22" s="159">
        <f t="shared" si="19"/>
        <v>-7.8461538461538485E-2</v>
      </c>
      <c r="G22" s="159">
        <f t="shared" si="19"/>
        <v>9.8421052631578965E-2</v>
      </c>
      <c r="H22" s="158">
        <f t="shared" si="19"/>
        <v>9.5000000000000043E-2</v>
      </c>
      <c r="I22" s="158">
        <f t="shared" si="19"/>
        <v>0.18500000000000003</v>
      </c>
      <c r="J22" s="158">
        <f t="shared" si="19"/>
        <v>0.10500000000000007</v>
      </c>
      <c r="K22" s="159">
        <f t="shared" si="19"/>
        <v>-6.5000000000000002E-2</v>
      </c>
      <c r="L22" s="159">
        <f t="shared" ref="L22" si="20">+L8/L4</f>
        <v>0.10140203103497364</v>
      </c>
    </row>
    <row r="23" spans="2:12" x14ac:dyDescent="0.25">
      <c r="B23" s="38" t="s">
        <v>19</v>
      </c>
      <c r="C23" s="160">
        <f t="shared" ref="C23:F23" si="21">+C9/C8</f>
        <v>0.22</v>
      </c>
      <c r="D23" s="161">
        <f t="shared" si="21"/>
        <v>0.22</v>
      </c>
      <c r="E23" s="161">
        <f t="shared" si="21"/>
        <v>0.22</v>
      </c>
      <c r="F23" s="162">
        <f t="shared" si="21"/>
        <v>0</v>
      </c>
      <c r="G23" s="163">
        <f>+G9/G8</f>
        <v>0.25000000000000006</v>
      </c>
      <c r="H23" s="164">
        <v>0.22</v>
      </c>
      <c r="I23" s="164">
        <v>0.22</v>
      </c>
      <c r="J23" s="164">
        <v>0.22</v>
      </c>
      <c r="K23" s="165">
        <v>0</v>
      </c>
      <c r="L23" s="163">
        <f>+L9/L8</f>
        <v>0.24429235625419737</v>
      </c>
    </row>
    <row r="24" spans="2:12" x14ac:dyDescent="0.25">
      <c r="B24" s="41" t="s">
        <v>21</v>
      </c>
      <c r="C24" s="42">
        <f>+C4-(C16*C19)</f>
        <v>0</v>
      </c>
      <c r="D24" s="42">
        <f t="shared" ref="D24:K24" si="22">+D4-(D16*D19)</f>
        <v>0</v>
      </c>
      <c r="E24" s="42">
        <f t="shared" si="22"/>
        <v>0</v>
      </c>
      <c r="F24" s="42">
        <f t="shared" si="22"/>
        <v>0</v>
      </c>
      <c r="G24" s="42"/>
      <c r="H24" s="42">
        <f t="shared" si="22"/>
        <v>0</v>
      </c>
      <c r="I24" s="42">
        <f t="shared" si="22"/>
        <v>0</v>
      </c>
      <c r="J24" s="42">
        <f t="shared" si="22"/>
        <v>0</v>
      </c>
      <c r="K24" s="42">
        <f t="shared" si="22"/>
        <v>0</v>
      </c>
      <c r="L24" s="154"/>
    </row>
    <row r="25" spans="2:12" x14ac:dyDescent="0.25">
      <c r="H25" s="153"/>
    </row>
  </sheetData>
  <mergeCells count="5">
    <mergeCell ref="A2:A3"/>
    <mergeCell ref="N2:O2"/>
    <mergeCell ref="P2:V2"/>
    <mergeCell ref="P3:V3"/>
    <mergeCell ref="N5:N11"/>
  </mergeCells>
  <pageMargins left="0.7" right="0.7" top="0.75" bottom="0.75" header="0.3" footer="0.3"/>
  <pageSetup scale="86" orientation="portrait" r:id="rId1"/>
  <ignoredErrors>
    <ignoredError sqref="H7:K7 H5:L6 L7:L9 H8:K8 H9:K9" formula="1"/>
    <ignoredError sqref="C4:G4 C10:G11 C5:F8 F9" formulaRange="1"/>
    <ignoredError sqref="G5:G8 C9:E9 G9" formula="1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FB336-A94C-49BD-9744-5D670382E779}">
  <sheetPr>
    <pageSetUpPr fitToPage="1"/>
  </sheetPr>
  <dimension ref="A1:G17"/>
  <sheetViews>
    <sheetView showGridLines="0" workbookViewId="0"/>
  </sheetViews>
  <sheetFormatPr defaultRowHeight="15" x14ac:dyDescent="0.25"/>
  <cols>
    <col min="1" max="1" width="0.7109375" customWidth="1"/>
    <col min="2" max="2" width="16.28515625" customWidth="1"/>
    <col min="3" max="3" width="11" customWidth="1"/>
    <col min="4" max="4" width="12.5703125" customWidth="1"/>
    <col min="5" max="6" width="13.28515625" customWidth="1"/>
    <col min="7" max="8" width="11" customWidth="1"/>
    <col min="9" max="10" width="13.28515625" customWidth="1"/>
    <col min="11" max="12" width="11" customWidth="1"/>
    <col min="13" max="14" width="13.28515625" customWidth="1"/>
  </cols>
  <sheetData>
    <row r="1" spans="1:7" ht="7.15" customHeight="1" thickBot="1" x14ac:dyDescent="0.3">
      <c r="A1" s="1"/>
      <c r="B1" s="6"/>
    </row>
    <row r="2" spans="1:7" x14ac:dyDescent="0.25">
      <c r="A2" s="200"/>
      <c r="B2" s="88" t="s">
        <v>41</v>
      </c>
      <c r="C2" s="88"/>
    </row>
    <row r="3" spans="1:7" x14ac:dyDescent="0.25">
      <c r="A3" s="200"/>
      <c r="B3" s="89" t="s">
        <v>42</v>
      </c>
      <c r="C3" s="93">
        <v>0.92759999999999998</v>
      </c>
    </row>
    <row r="4" spans="1:7" x14ac:dyDescent="0.25">
      <c r="B4" s="89" t="s">
        <v>43</v>
      </c>
      <c r="C4" s="93">
        <v>0.86050000000000004</v>
      </c>
    </row>
    <row r="5" spans="1:7" x14ac:dyDescent="0.25">
      <c r="B5" s="89" t="s">
        <v>44</v>
      </c>
      <c r="C5" s="93">
        <v>0.85680000000000001</v>
      </c>
    </row>
    <row r="6" spans="1:7" x14ac:dyDescent="0.25">
      <c r="B6" s="89" t="s">
        <v>45</v>
      </c>
      <c r="C6" s="93">
        <v>1.8200000000000001E-2</v>
      </c>
    </row>
    <row r="7" spans="1:7" ht="15.75" thickBot="1" x14ac:dyDescent="0.3">
      <c r="B7" s="90" t="s">
        <v>46</v>
      </c>
      <c r="C7" s="90">
        <v>40</v>
      </c>
    </row>
    <row r="8" spans="1:7" ht="5.45" customHeight="1" x14ac:dyDescent="0.25"/>
    <row r="9" spans="1:7" ht="15.75" thickBot="1" x14ac:dyDescent="0.3">
      <c r="B9" t="s">
        <v>47</v>
      </c>
    </row>
    <row r="10" spans="1:7" x14ac:dyDescent="0.25">
      <c r="B10" s="91"/>
      <c r="C10" s="91" t="s">
        <v>48</v>
      </c>
      <c r="D10" s="91" t="s">
        <v>49</v>
      </c>
      <c r="E10" s="91" t="s">
        <v>50</v>
      </c>
      <c r="F10" s="91" t="s">
        <v>2</v>
      </c>
      <c r="G10" s="91" t="s">
        <v>51</v>
      </c>
    </row>
    <row r="11" spans="1:7" x14ac:dyDescent="0.25">
      <c r="B11" s="89" t="s">
        <v>52</v>
      </c>
      <c r="C11" s="89">
        <v>1</v>
      </c>
      <c r="D11" s="93">
        <v>7.7499999999999999E-2</v>
      </c>
      <c r="E11" s="93">
        <v>7.7499999999999999E-2</v>
      </c>
      <c r="F11" s="93">
        <v>234.38990000000001</v>
      </c>
      <c r="G11" s="93">
        <v>8.4783363520014072E-8</v>
      </c>
    </row>
    <row r="12" spans="1:7" x14ac:dyDescent="0.25">
      <c r="B12" s="89" t="s">
        <v>53</v>
      </c>
      <c r="C12" s="89">
        <v>38</v>
      </c>
      <c r="D12" s="93">
        <v>1.26E-2</v>
      </c>
      <c r="E12" s="93">
        <v>2.9999999999999997E-4</v>
      </c>
      <c r="F12" s="93"/>
      <c r="G12" s="93"/>
    </row>
    <row r="13" spans="1:7" ht="15.75" thickBot="1" x14ac:dyDescent="0.3">
      <c r="B13" s="90" t="s">
        <v>54</v>
      </c>
      <c r="C13" s="90">
        <v>39</v>
      </c>
      <c r="D13" s="94">
        <v>0.09</v>
      </c>
      <c r="E13" s="94"/>
      <c r="F13" s="94"/>
      <c r="G13" s="94"/>
    </row>
    <row r="14" spans="1:7" ht="15.75" thickBot="1" x14ac:dyDescent="0.3"/>
    <row r="15" spans="1:7" x14ac:dyDescent="0.25">
      <c r="B15" s="91"/>
      <c r="C15" s="91" t="s">
        <v>55</v>
      </c>
      <c r="D15" s="91" t="s">
        <v>45</v>
      </c>
      <c r="E15" s="91" t="s">
        <v>56</v>
      </c>
      <c r="F15" s="91" t="s">
        <v>57</v>
      </c>
      <c r="G15" s="92"/>
    </row>
    <row r="16" spans="1:7" x14ac:dyDescent="0.25">
      <c r="B16" s="197" t="s">
        <v>170</v>
      </c>
      <c r="C16" s="198">
        <v>9.1000000000000004E-3</v>
      </c>
      <c r="D16" s="198">
        <v>2.8999999999999998E-3</v>
      </c>
      <c r="E16" s="198">
        <v>3.1095999999999999</v>
      </c>
      <c r="F16" s="198">
        <v>3.5000000000000001E-3</v>
      </c>
      <c r="G16" s="92"/>
    </row>
    <row r="17" spans="2:7" ht="15.75" thickBot="1" x14ac:dyDescent="0.3">
      <c r="B17" s="90" t="s">
        <v>171</v>
      </c>
      <c r="C17" s="199">
        <v>0.69879999999999998</v>
      </c>
      <c r="D17" s="199">
        <v>4.5600000000000002E-2</v>
      </c>
      <c r="E17" s="199">
        <v>15.309799999999999</v>
      </c>
      <c r="F17" s="199">
        <v>0</v>
      </c>
      <c r="G17" s="92"/>
    </row>
  </sheetData>
  <mergeCells count="1">
    <mergeCell ref="A2:A3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Class 2</vt:lpstr>
      <vt:lpstr>Class 4</vt:lpstr>
      <vt:lpstr>Class 5</vt:lpstr>
      <vt:lpstr>Class 5 (reg)</vt:lpstr>
      <vt:lpstr>Class 6 &amp; 7</vt:lpstr>
      <vt:lpstr>Class 8 equations</vt:lpstr>
      <vt:lpstr>Appendix</vt:lpstr>
      <vt:lpstr>Appendix!Print_Area</vt:lpstr>
      <vt:lpstr>'Class 2'!Print_Area</vt:lpstr>
      <vt:lpstr>'Class 4'!Print_Area</vt:lpstr>
      <vt:lpstr>'Class 5'!Print_Area</vt:lpstr>
      <vt:lpstr>'Class 5 (reg)'!Print_Area</vt:lpstr>
      <vt:lpstr>'Class 6 &amp; 7'!Print_Area</vt:lpstr>
      <vt:lpstr>'Class 8 equations'!Print_Area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2018-12-10T00:46:53Z</cp:lastPrinted>
  <dcterms:created xsi:type="dcterms:W3CDTF">2018-12-05T15:20:24Z</dcterms:created>
  <dcterms:modified xsi:type="dcterms:W3CDTF">2019-01-01T16:20:10Z</dcterms:modified>
</cp:coreProperties>
</file>