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ml.chartshapes+xml"/>
  <Override PartName="/xl/charts/chart8.xml" ContentType="application/vnd.openxmlformats-officedocument.drawingml.chart+xml"/>
  <Override PartName="/xl/drawings/drawing5.xml" ContentType="application/vnd.openxmlformats-officedocument.drawingml.chartshapes+xml"/>
  <Override PartName="/xl/charts/chart9.xml" ContentType="application/vnd.openxmlformats-officedocument.drawingml.chart+xml"/>
  <Override PartName="/xl/drawings/drawing6.xml" ContentType="application/vnd.openxmlformats-officedocument.drawingml.chartshapes+xml"/>
  <Override PartName="/xl/charts/chart10.xml" ContentType="application/vnd.openxmlformats-officedocument.drawingml.chart+xml"/>
  <Override PartName="/xl/drawings/drawing7.xml" ContentType="application/vnd.openxmlformats-officedocument.drawingml.chartshapes+xml"/>
  <Override PartName="/xl/charts/chart11.xml" ContentType="application/vnd.openxmlformats-officedocument.drawingml.chart+xml"/>
  <Override PartName="/xl/drawings/drawing8.xml" ContentType="application/vnd.openxmlformats-officedocument.drawingml.chartshapes+xml"/>
  <Override PartName="/xl/charts/chart12.xml" ContentType="application/vnd.openxmlformats-officedocument.drawingml.chart+xml"/>
  <Override PartName="/xl/drawings/drawing9.xml" ContentType="application/vnd.openxmlformats-officedocument.drawingml.chartshapes+xml"/>
  <Override PartName="/xl/charts/chart13.xml" ContentType="application/vnd.openxmlformats-officedocument.drawingml.chart+xml"/>
  <Override PartName="/xl/drawings/drawing10.xml" ContentType="application/vnd.openxmlformats-officedocument.drawingml.chartshapes+xml"/>
  <Override PartName="/xl/charts/chart14.xml" ContentType="application/vnd.openxmlformats-officedocument.drawingml.chart+xml"/>
  <Override PartName="/xl/drawings/drawing11.xml" ContentType="application/vnd.openxmlformats-officedocument.drawingml.chartshapes+xml"/>
  <Override PartName="/xl/charts/chart15.xml" ContentType="application/vnd.openxmlformats-officedocument.drawingml.chart+xml"/>
  <Override PartName="/xl/drawings/drawing12.xml" ContentType="application/vnd.openxmlformats-officedocument.drawingml.chartshapes+xml"/>
  <Override PartName="/xl/charts/chart16.xml" ContentType="application/vnd.openxmlformats-officedocument.drawingml.chart+xml"/>
  <Override PartName="/xl/drawings/drawing13.xml" ContentType="application/vnd.openxmlformats-officedocument.drawingml.chartshapes+xml"/>
  <Override PartName="/xl/comments2.xml" ContentType="application/vnd.openxmlformats-officedocument.spreadsheetml.comments+xml"/>
  <Override PartName="/xl/drawings/drawing14.xml" ContentType="application/vnd.openxmlformats-officedocument.drawing+xml"/>
  <Override PartName="/xl/charts/chart17.xml" ContentType="application/vnd.openxmlformats-officedocument.drawingml.chart+xml"/>
  <Override PartName="/xl/drawings/drawing15.xml" ContentType="application/vnd.openxmlformats-officedocument.drawingml.chartshapes+xml"/>
  <Override PartName="/xl/comments3.xml" ContentType="application/vnd.openxmlformats-officedocument.spreadsheetml.comments+xml"/>
  <Override PartName="/xl/drawings/drawing16.xml" ContentType="application/vnd.openxmlformats-officedocument.drawing+xml"/>
  <Override PartName="/xl/charts/chart18.xml" ContentType="application/vnd.openxmlformats-officedocument.drawingml.chart+xml"/>
  <Override PartName="/xl/drawings/drawing17.xml" ContentType="application/vnd.openxmlformats-officedocument.drawingml.chartshape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defaultThemeVersion="124226"/>
  <mc:AlternateContent xmlns:mc="http://schemas.openxmlformats.org/markup-compatibility/2006">
    <mc:Choice Requires="x15">
      <x15ac:absPath xmlns:x15ac="http://schemas.microsoft.com/office/spreadsheetml/2010/11/ac" url="C:\Users\Admin\Documents\Gutenberg\3-CERTIFICATE PROGRAM\6-2-2018\Templates to Include with the Program\"/>
    </mc:Choice>
  </mc:AlternateContent>
  <xr:revisionPtr revIDLastSave="0" documentId="13_ncr:1_{74A2BA06-FEE2-4672-B282-08A12C93CEE5}" xr6:coauthVersionLast="43" xr6:coauthVersionMax="43" xr10:uidLastSave="{00000000-0000-0000-0000-000000000000}"/>
  <bookViews>
    <workbookView xWindow="-15" yWindow="0" windowWidth="20415" windowHeight="19845" tabRatio="767" xr2:uid="{00000000-000D-0000-FFFF-FFFF00000000}"/>
  </bookViews>
  <sheets>
    <sheet name="FedEx Earnings Model" sheetId="3" r:id="rId1"/>
    <sheet name="Charts" sheetId="21" r:id="rId2"/>
    <sheet name="Guidance" sheetId="24" r:id="rId3"/>
    <sheet name="Std Dev &amp; Mean Return" sheetId="29" r:id="rId4"/>
    <sheet name="Forecast vs Actual (F3Q19)" sheetId="37" r:id="rId5"/>
    <sheet name="Consensus (Before F3Q19)" sheetId="36" r:id="rId6"/>
    <sheet name="Surprise" sheetId="34" state="hidden" r:id="rId7"/>
    <sheet name="Forecast vs Actual (F2Q19)" sheetId="31" r:id="rId8"/>
    <sheet name="Consensus (Before F2Q19)" sheetId="30" r:id="rId9"/>
    <sheet name="Forecast vs Actual (F1Q19)" sheetId="26" r:id="rId10"/>
  </sheets>
  <definedNames>
    <definedName name="DATA" localSheetId="1">#REF!</definedName>
    <definedName name="DATA" localSheetId="8">#REF!</definedName>
    <definedName name="DATA" localSheetId="5">#REF!</definedName>
    <definedName name="DATA" localSheetId="9">#REF!</definedName>
    <definedName name="DATA" localSheetId="7">#REF!</definedName>
    <definedName name="DATA" localSheetId="4">#REF!</definedName>
    <definedName name="DATA" localSheetId="6">#REF!</definedName>
    <definedName name="DATA">#REF!</definedName>
    <definedName name="_xlnm.Print_Area" localSheetId="0">'FedEx Earnings Model'!$B$2:$AQ$433</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16" i="3" l="1"/>
  <c r="C415" i="3"/>
  <c r="C385" i="3" l="1"/>
  <c r="C378" i="3" l="1"/>
  <c r="C377" i="3"/>
  <c r="AP183" i="3"/>
  <c r="AO183" i="3"/>
  <c r="AN183" i="3"/>
  <c r="AM183" i="3"/>
  <c r="AK183" i="3"/>
  <c r="AJ183" i="3"/>
  <c r="AI183" i="3"/>
  <c r="AH183" i="3"/>
  <c r="AF183" i="3"/>
  <c r="AE183" i="3"/>
  <c r="AD183" i="3"/>
  <c r="AC183" i="3"/>
  <c r="AA183" i="3"/>
  <c r="Z183" i="3"/>
  <c r="Y183" i="3"/>
  <c r="V243" i="3"/>
  <c r="V175" i="3"/>
  <c r="V163" i="3"/>
  <c r="V142" i="3"/>
  <c r="V153" i="3"/>
  <c r="AA153" i="3" s="1"/>
  <c r="V170" i="3"/>
  <c r="V233" i="3"/>
  <c r="V234" i="3"/>
  <c r="V98" i="3"/>
  <c r="X98" i="3" s="1"/>
  <c r="V100" i="3"/>
  <c r="X100" i="3" s="1"/>
  <c r="X104" i="3"/>
  <c r="V104" i="3"/>
  <c r="X106" i="3"/>
  <c r="V106" i="3"/>
  <c r="V110" i="3"/>
  <c r="X110" i="3" s="1"/>
  <c r="V112" i="3"/>
  <c r="X112" i="3" s="1"/>
  <c r="V92" i="3"/>
  <c r="X92" i="3" s="1"/>
  <c r="V86" i="3"/>
  <c r="X86" i="3" s="1"/>
  <c r="X80" i="3"/>
  <c r="V80" i="3"/>
  <c r="V94" i="3"/>
  <c r="X94" i="3" s="1"/>
  <c r="V88" i="3"/>
  <c r="X88" i="3" s="1"/>
  <c r="V82" i="3"/>
  <c r="X82" i="3" s="1"/>
  <c r="AF71" i="3"/>
  <c r="AE71" i="3"/>
  <c r="AD71" i="3"/>
  <c r="AC71" i="3"/>
  <c r="AA71" i="3"/>
  <c r="Z71" i="3"/>
  <c r="X71" i="3"/>
  <c r="Y71" i="3"/>
  <c r="V71" i="3"/>
  <c r="AM311" i="3"/>
  <c r="AN311" i="3" s="1"/>
  <c r="AO311" i="3" s="1"/>
  <c r="AP311" i="3" s="1"/>
  <c r="AH311" i="3"/>
  <c r="AI311" i="3" s="1"/>
  <c r="AJ311" i="3" s="1"/>
  <c r="AK311" i="3" s="1"/>
  <c r="AC311" i="3"/>
  <c r="AD311" i="3" s="1"/>
  <c r="AE311" i="3" s="1"/>
  <c r="AF311" i="3" s="1"/>
  <c r="Z311" i="3"/>
  <c r="AA311" i="3" s="1"/>
  <c r="Y311" i="3"/>
  <c r="X311" i="3"/>
  <c r="V311" i="3"/>
  <c r="Z249" i="3"/>
  <c r="AA249" i="3"/>
  <c r="Y249" i="3"/>
  <c r="X249" i="3"/>
  <c r="V249" i="3"/>
  <c r="V248" i="3"/>
  <c r="X248" i="3" s="1"/>
  <c r="Y248" i="3" s="1"/>
  <c r="Z248" i="3" s="1"/>
  <c r="AA248" i="3" s="1"/>
  <c r="X244" i="3"/>
  <c r="S242" i="3"/>
  <c r="T242" i="3" s="1"/>
  <c r="U242" i="3" s="1"/>
  <c r="V242" i="3" s="1"/>
  <c r="X242" i="3" s="1"/>
  <c r="Y242" i="3" s="1"/>
  <c r="Z242" i="3" s="1"/>
  <c r="AA242" i="3" s="1"/>
  <c r="AC242" i="3" s="1"/>
  <c r="AD242" i="3" s="1"/>
  <c r="AE242" i="3" s="1"/>
  <c r="AF242" i="3" s="1"/>
  <c r="O242" i="3"/>
  <c r="N242" i="3"/>
  <c r="P242" i="3"/>
  <c r="Q242" i="3" s="1"/>
  <c r="K242" i="3"/>
  <c r="L242" i="3" s="1"/>
  <c r="J242" i="3"/>
  <c r="I242" i="3"/>
  <c r="V136" i="3"/>
  <c r="X136" i="3" s="1"/>
  <c r="Y136" i="3" s="1"/>
  <c r="Z136" i="3" s="1"/>
  <c r="AA136" i="3" s="1"/>
  <c r="V134" i="3"/>
  <c r="X134" i="3" s="1"/>
  <c r="Y134" i="3" s="1"/>
  <c r="Z134" i="3" s="1"/>
  <c r="AA134" i="3" s="1"/>
  <c r="X130" i="3"/>
  <c r="Y130" i="3" s="1"/>
  <c r="Z130" i="3" s="1"/>
  <c r="AA130" i="3" s="1"/>
  <c r="X128" i="3"/>
  <c r="Y128" i="3" s="1"/>
  <c r="Z128" i="3" s="1"/>
  <c r="AA128" i="3" s="1"/>
  <c r="V130" i="3"/>
  <c r="V128" i="3"/>
  <c r="Y124" i="3"/>
  <c r="X124" i="3"/>
  <c r="V124" i="3"/>
  <c r="AA122" i="3"/>
  <c r="Z122" i="3"/>
  <c r="Y122" i="3"/>
  <c r="X122" i="3"/>
  <c r="V122" i="3"/>
  <c r="Z153" i="3"/>
  <c r="Y153" i="3"/>
  <c r="X153" i="3"/>
  <c r="Z124" i="3" l="1"/>
  <c r="AA124" i="3" s="1"/>
  <c r="H26" i="24" l="1"/>
  <c r="O34" i="37"/>
  <c r="R23" i="37"/>
  <c r="O23" i="37"/>
  <c r="L23" i="37"/>
  <c r="I23" i="37"/>
  <c r="I34" i="37"/>
  <c r="D34" i="37"/>
  <c r="E29" i="37"/>
  <c r="E27" i="37"/>
  <c r="E26" i="37"/>
  <c r="E25" i="37"/>
  <c r="E24" i="37"/>
  <c r="E22" i="37"/>
  <c r="E21" i="37"/>
  <c r="F16" i="37"/>
  <c r="G16" i="37" s="1"/>
  <c r="F14" i="37"/>
  <c r="F13" i="37"/>
  <c r="F12" i="37"/>
  <c r="G12" i="37" s="1"/>
  <c r="F11" i="37"/>
  <c r="F9" i="37"/>
  <c r="F8" i="37"/>
  <c r="G15" i="37"/>
  <c r="G14" i="37"/>
  <c r="G13" i="37"/>
  <c r="F10" i="37"/>
  <c r="G11" i="37" l="1"/>
  <c r="G10" i="37"/>
  <c r="G8" i="37"/>
  <c r="G9" i="37"/>
  <c r="O42" i="37"/>
  <c r="L42" i="37"/>
  <c r="I42" i="37"/>
  <c r="S41" i="37"/>
  <c r="P41" i="37"/>
  <c r="O41" i="37"/>
  <c r="M41" i="37"/>
  <c r="L41" i="37"/>
  <c r="J41" i="37"/>
  <c r="I41" i="37"/>
  <c r="E41" i="37"/>
  <c r="D41" i="37"/>
  <c r="O40" i="37"/>
  <c r="L40" i="37"/>
  <c r="I40" i="37"/>
  <c r="O39" i="37"/>
  <c r="L39" i="37"/>
  <c r="I39" i="37"/>
  <c r="O38" i="37"/>
  <c r="L38" i="37"/>
  <c r="I38" i="37"/>
  <c r="O37" i="37"/>
  <c r="L37" i="37"/>
  <c r="I37" i="37"/>
  <c r="O35" i="37"/>
  <c r="L35" i="37"/>
  <c r="I35" i="37"/>
  <c r="L34" i="37"/>
  <c r="O36" i="37"/>
  <c r="L36" i="37"/>
  <c r="I36" i="37"/>
  <c r="E34" i="37"/>
  <c r="U98" i="3"/>
  <c r="U100" i="3"/>
  <c r="U205" i="3"/>
  <c r="U182" i="3"/>
  <c r="T182" i="3"/>
  <c r="U181" i="3"/>
  <c r="T179" i="3"/>
  <c r="U175" i="3"/>
  <c r="T175" i="3"/>
  <c r="U165" i="3"/>
  <c r="U170" i="3" s="1"/>
  <c r="U163" i="3"/>
  <c r="U161" i="3"/>
  <c r="U145" i="3"/>
  <c r="U146" i="3" s="1"/>
  <c r="U144" i="3"/>
  <c r="U142" i="3"/>
  <c r="U66" i="3"/>
  <c r="T66" i="3"/>
  <c r="U59" i="3"/>
  <c r="U136" i="3"/>
  <c r="U134" i="3"/>
  <c r="U130" i="3"/>
  <c r="U128" i="3"/>
  <c r="U124" i="3"/>
  <c r="U122" i="3"/>
  <c r="U118" i="3"/>
  <c r="U116" i="3"/>
  <c r="U112" i="3"/>
  <c r="U110" i="3"/>
  <c r="U106" i="3"/>
  <c r="U104" i="3"/>
  <c r="U94" i="3"/>
  <c r="U92" i="3"/>
  <c r="U88" i="3"/>
  <c r="U86" i="3"/>
  <c r="U82" i="3"/>
  <c r="U80" i="3"/>
  <c r="U231" i="3" l="1"/>
  <c r="V231" i="3" s="1"/>
  <c r="U314" i="3"/>
  <c r="U313" i="3"/>
  <c r="U310" i="3"/>
  <c r="U309" i="3"/>
  <c r="Z309" i="3" s="1"/>
  <c r="AE309" i="3" s="1"/>
  <c r="AJ309" i="3" s="1"/>
  <c r="AO309" i="3" s="1"/>
  <c r="U306" i="3"/>
  <c r="U305" i="3"/>
  <c r="U303" i="3"/>
  <c r="U293" i="3"/>
  <c r="U292" i="3"/>
  <c r="U276" i="3"/>
  <c r="U347" i="3"/>
  <c r="U337" i="3"/>
  <c r="U327" i="3"/>
  <c r="U47" i="3"/>
  <c r="U30" i="3"/>
  <c r="U23" i="3"/>
  <c r="U307" i="3" s="1"/>
  <c r="U308" i="3" s="1"/>
  <c r="T80" i="3"/>
  <c r="S80" i="3"/>
  <c r="Q80" i="3"/>
  <c r="P80" i="3"/>
  <c r="T82" i="3"/>
  <c r="S82" i="3"/>
  <c r="Q82" i="3"/>
  <c r="P82" i="3"/>
  <c r="T86" i="3"/>
  <c r="S86" i="3"/>
  <c r="Q86" i="3"/>
  <c r="P86" i="3"/>
  <c r="T88" i="3"/>
  <c r="S88" i="3"/>
  <c r="Q88" i="3"/>
  <c r="P88" i="3"/>
  <c r="T92" i="3"/>
  <c r="S92" i="3"/>
  <c r="Q92" i="3"/>
  <c r="P92" i="3"/>
  <c r="T94" i="3"/>
  <c r="S94" i="3"/>
  <c r="Q94" i="3"/>
  <c r="P94" i="3"/>
  <c r="T98" i="3"/>
  <c r="S98" i="3"/>
  <c r="Q98" i="3"/>
  <c r="T100" i="3"/>
  <c r="S100" i="3"/>
  <c r="Q100" i="3"/>
  <c r="T104" i="3"/>
  <c r="S104" i="3"/>
  <c r="Q104" i="3"/>
  <c r="P104" i="3"/>
  <c r="T106" i="3"/>
  <c r="S106" i="3"/>
  <c r="Q106" i="3"/>
  <c r="P106" i="3"/>
  <c r="T110" i="3"/>
  <c r="S110" i="3"/>
  <c r="Q110" i="3"/>
  <c r="P110" i="3"/>
  <c r="T112" i="3"/>
  <c r="S112" i="3"/>
  <c r="Q112" i="3"/>
  <c r="P112" i="3"/>
  <c r="T116" i="3"/>
  <c r="S116" i="3"/>
  <c r="Q116" i="3"/>
  <c r="P116" i="3"/>
  <c r="T118" i="3"/>
  <c r="S118" i="3"/>
  <c r="Q118" i="3"/>
  <c r="P118" i="3"/>
  <c r="T122" i="3"/>
  <c r="S122" i="3"/>
  <c r="Q122" i="3"/>
  <c r="P122" i="3"/>
  <c r="T124" i="3"/>
  <c r="S124" i="3"/>
  <c r="Q124" i="3"/>
  <c r="P124" i="3"/>
  <c r="T128" i="3"/>
  <c r="S128" i="3"/>
  <c r="Q128" i="3"/>
  <c r="P128" i="3"/>
  <c r="T130" i="3"/>
  <c r="S130" i="3"/>
  <c r="Q130" i="3"/>
  <c r="P130" i="3"/>
  <c r="T134" i="3"/>
  <c r="S134" i="3"/>
  <c r="Q134" i="3"/>
  <c r="P134" i="3"/>
  <c r="T136" i="3"/>
  <c r="S136" i="3"/>
  <c r="Q136" i="3"/>
  <c r="P136" i="3"/>
  <c r="T59" i="3"/>
  <c r="S59" i="3"/>
  <c r="Q59" i="3"/>
  <c r="P59" i="3"/>
  <c r="T142" i="3"/>
  <c r="S142" i="3"/>
  <c r="Q142" i="3"/>
  <c r="P142" i="3"/>
  <c r="T144" i="3"/>
  <c r="S144" i="3"/>
  <c r="Q144" i="3"/>
  <c r="P144" i="3"/>
  <c r="T145" i="3"/>
  <c r="S146" i="3"/>
  <c r="S158" i="3"/>
  <c r="S165" i="3" s="1"/>
  <c r="S170" i="3" s="1"/>
  <c r="X170" i="3" s="1"/>
  <c r="AC170" i="3" s="1"/>
  <c r="AH170" i="3" s="1"/>
  <c r="O158" i="3"/>
  <c r="T159" i="3"/>
  <c r="N158" i="3"/>
  <c r="Q158" i="3"/>
  <c r="L158" i="3"/>
  <c r="Q159" i="3" s="1"/>
  <c r="P158" i="3"/>
  <c r="K158" i="3"/>
  <c r="T163" i="3"/>
  <c r="S163" i="3"/>
  <c r="Q163" i="3"/>
  <c r="P163" i="3"/>
  <c r="S175" i="3"/>
  <c r="Q175" i="3"/>
  <c r="P175" i="3"/>
  <c r="V177" i="3"/>
  <c r="X177" i="3" s="1"/>
  <c r="Y177" i="3" s="1"/>
  <c r="S83" i="3"/>
  <c r="S89" i="3"/>
  <c r="S95" i="3"/>
  <c r="S101" i="3"/>
  <c r="S107" i="3"/>
  <c r="S113" i="3"/>
  <c r="S119" i="3"/>
  <c r="S125" i="3"/>
  <c r="S131" i="3"/>
  <c r="S57" i="3" s="1"/>
  <c r="S138" i="3"/>
  <c r="S148" i="3"/>
  <c r="S153" i="3" s="1"/>
  <c r="S179" i="3"/>
  <c r="P178" i="3"/>
  <c r="P179" i="3" s="1"/>
  <c r="U95" i="3"/>
  <c r="U101" i="3"/>
  <c r="V145" i="3"/>
  <c r="S368" i="3"/>
  <c r="T336" i="3"/>
  <c r="T67" i="3"/>
  <c r="T52" i="3"/>
  <c r="T55" i="3"/>
  <c r="S52" i="3"/>
  <c r="S55" i="3"/>
  <c r="T181" i="3"/>
  <c r="S181" i="3"/>
  <c r="Q181" i="3"/>
  <c r="P181" i="3"/>
  <c r="X211" i="3"/>
  <c r="X22" i="3" s="1"/>
  <c r="X26" i="3"/>
  <c r="V288" i="3"/>
  <c r="T323" i="3"/>
  <c r="T366" i="3" s="1"/>
  <c r="S366" i="3"/>
  <c r="O323" i="3"/>
  <c r="Q83" i="3"/>
  <c r="Q89" i="3"/>
  <c r="Q95" i="3"/>
  <c r="Q101" i="3"/>
  <c r="Q107" i="3"/>
  <c r="Q113" i="3"/>
  <c r="Q119" i="3"/>
  <c r="Q125" i="3"/>
  <c r="Q131" i="3"/>
  <c r="Q138" i="3"/>
  <c r="Q148" i="3"/>
  <c r="Q165" i="3"/>
  <c r="P70" i="3"/>
  <c r="P83" i="3"/>
  <c r="P54" i="3" s="1"/>
  <c r="P72" i="3" s="1"/>
  <c r="P73" i="3" s="1"/>
  <c r="P89" i="3"/>
  <c r="P95" i="3"/>
  <c r="P101" i="3"/>
  <c r="P107" i="3"/>
  <c r="P113" i="3"/>
  <c r="P119" i="3"/>
  <c r="P125" i="3"/>
  <c r="P131" i="3"/>
  <c r="P57" i="3" s="1"/>
  <c r="P138" i="3"/>
  <c r="P152" i="3"/>
  <c r="P148" i="3"/>
  <c r="P153" i="3" s="1"/>
  <c r="P169" i="3"/>
  <c r="P23" i="3"/>
  <c r="P307" i="3" s="1"/>
  <c r="P52" i="3"/>
  <c r="P55" i="3"/>
  <c r="U211" i="3"/>
  <c r="U22" i="3" s="1"/>
  <c r="U24" i="3" s="1"/>
  <c r="T231" i="3"/>
  <c r="D349" i="3"/>
  <c r="D339" i="3"/>
  <c r="D24" i="3"/>
  <c r="D25" i="3"/>
  <c r="D35" i="3" s="1"/>
  <c r="D38" i="3" s="1"/>
  <c r="D320" i="3" s="1"/>
  <c r="D334" i="3" s="1"/>
  <c r="D351" i="3" s="1"/>
  <c r="D353" i="3" s="1"/>
  <c r="E352" i="3" s="1"/>
  <c r="D34" i="3"/>
  <c r="E341" i="3"/>
  <c r="E342" i="3"/>
  <c r="E343" i="3"/>
  <c r="E344" i="3"/>
  <c r="E345" i="3"/>
  <c r="E346" i="3"/>
  <c r="F346" i="3" s="1"/>
  <c r="G346" i="3" s="1"/>
  <c r="E348" i="3"/>
  <c r="E336" i="3"/>
  <c r="E337" i="3"/>
  <c r="E339" i="3" s="1"/>
  <c r="E338" i="3"/>
  <c r="E24" i="3"/>
  <c r="E25" i="3"/>
  <c r="E35" i="3" s="1"/>
  <c r="E38" i="3" s="1"/>
  <c r="E320" i="3" s="1"/>
  <c r="E34" i="3"/>
  <c r="E321" i="3"/>
  <c r="F321" i="3" s="1"/>
  <c r="G321" i="3" s="1"/>
  <c r="G311" i="3" s="1"/>
  <c r="E322" i="3"/>
  <c r="F322" i="3" s="1"/>
  <c r="G322" i="3" s="1"/>
  <c r="E323" i="3"/>
  <c r="E324" i="3"/>
  <c r="E325" i="3"/>
  <c r="F325" i="3" s="1"/>
  <c r="G325" i="3" s="1"/>
  <c r="E326" i="3"/>
  <c r="F326" i="3" s="1"/>
  <c r="G326" i="3" s="1"/>
  <c r="E327" i="3"/>
  <c r="E329" i="3"/>
  <c r="E330" i="3"/>
  <c r="F330" i="3" s="1"/>
  <c r="G330" i="3" s="1"/>
  <c r="E331" i="3"/>
  <c r="F331" i="3" s="1"/>
  <c r="G331" i="3" s="1"/>
  <c r="E332" i="3"/>
  <c r="E333" i="3"/>
  <c r="E350" i="3"/>
  <c r="F350" i="3" s="1"/>
  <c r="G350" i="3" s="1"/>
  <c r="F341" i="3"/>
  <c r="F343" i="3"/>
  <c r="F344" i="3"/>
  <c r="F345" i="3"/>
  <c r="G345" i="3" s="1"/>
  <c r="F348" i="3"/>
  <c r="F336" i="3"/>
  <c r="F337" i="3"/>
  <c r="G337" i="3" s="1"/>
  <c r="F338" i="3"/>
  <c r="F24" i="3"/>
  <c r="F25" i="3" s="1"/>
  <c r="F35" i="3" s="1"/>
  <c r="F34" i="3"/>
  <c r="F38" i="3"/>
  <c r="F320" i="3" s="1"/>
  <c r="F323" i="3"/>
  <c r="G323" i="3" s="1"/>
  <c r="F324" i="3"/>
  <c r="F327" i="3"/>
  <c r="G327" i="3" s="1"/>
  <c r="F329" i="3"/>
  <c r="G329" i="3" s="1"/>
  <c r="H329" i="3" s="1"/>
  <c r="F332" i="3"/>
  <c r="G332" i="3" s="1"/>
  <c r="F333" i="3"/>
  <c r="G341" i="3"/>
  <c r="G343" i="3"/>
  <c r="G344" i="3"/>
  <c r="G348" i="3"/>
  <c r="G338" i="3"/>
  <c r="G24" i="3"/>
  <c r="G25" i="3"/>
  <c r="G35" i="3" s="1"/>
  <c r="G38" i="3" s="1"/>
  <c r="G320" i="3" s="1"/>
  <c r="G34" i="3"/>
  <c r="G324" i="3"/>
  <c r="G333" i="3"/>
  <c r="J341" i="3"/>
  <c r="K341" i="3"/>
  <c r="J342" i="3"/>
  <c r="K342" i="3"/>
  <c r="J343" i="3"/>
  <c r="K343" i="3"/>
  <c r="J344" i="3"/>
  <c r="K344" i="3"/>
  <c r="J345" i="3"/>
  <c r="K345" i="3"/>
  <c r="J346" i="3"/>
  <c r="K346" i="3"/>
  <c r="J347" i="3"/>
  <c r="K347" i="3"/>
  <c r="I348" i="3"/>
  <c r="J348" i="3"/>
  <c r="J336" i="3"/>
  <c r="K336" i="3" s="1"/>
  <c r="L336" i="3" s="1"/>
  <c r="J337" i="3"/>
  <c r="K337" i="3" s="1"/>
  <c r="L337" i="3" s="1"/>
  <c r="J338" i="3"/>
  <c r="K338" i="3" s="1"/>
  <c r="L338" i="3" s="1"/>
  <c r="M13" i="3"/>
  <c r="M15" i="3"/>
  <c r="M16" i="3"/>
  <c r="M17" i="3"/>
  <c r="M18" i="3"/>
  <c r="M19" i="3"/>
  <c r="M20" i="3"/>
  <c r="M21" i="3"/>
  <c r="M22" i="3"/>
  <c r="I23" i="3"/>
  <c r="J23" i="3"/>
  <c r="K23" i="3"/>
  <c r="L23" i="3"/>
  <c r="M31" i="3"/>
  <c r="M32" i="3"/>
  <c r="M33" i="3"/>
  <c r="M37" i="3"/>
  <c r="J321" i="3"/>
  <c r="K321" i="3" s="1"/>
  <c r="L321" i="3" s="1"/>
  <c r="J322" i="3"/>
  <c r="K322" i="3" s="1"/>
  <c r="K365" i="3" s="1"/>
  <c r="J323" i="3"/>
  <c r="K323" i="3" s="1"/>
  <c r="L323" i="3" s="1"/>
  <c r="J324" i="3"/>
  <c r="K324" i="3" s="1"/>
  <c r="J325" i="3"/>
  <c r="K325" i="3" s="1"/>
  <c r="L325" i="3" s="1"/>
  <c r="J326" i="3"/>
  <c r="K326" i="3" s="1"/>
  <c r="J327" i="3"/>
  <c r="K327" i="3" s="1"/>
  <c r="L327" i="3" s="1"/>
  <c r="J329" i="3"/>
  <c r="K329" i="3" s="1"/>
  <c r="J330" i="3"/>
  <c r="K330" i="3" s="1"/>
  <c r="L330" i="3" s="1"/>
  <c r="J331" i="3"/>
  <c r="K331" i="3" s="1"/>
  <c r="J332" i="3"/>
  <c r="K332" i="3" s="1"/>
  <c r="L332" i="3" s="1"/>
  <c r="J333" i="3"/>
  <c r="K333" i="3" s="1"/>
  <c r="J350" i="3"/>
  <c r="K350" i="3"/>
  <c r="O341" i="3"/>
  <c r="P341" i="3" s="1"/>
  <c r="Q341" i="3"/>
  <c r="O342" i="3"/>
  <c r="P342" i="3" s="1"/>
  <c r="Q342" i="3"/>
  <c r="O343" i="3"/>
  <c r="P343" i="3" s="1"/>
  <c r="Q343" i="3"/>
  <c r="O344" i="3"/>
  <c r="P344" i="3" s="1"/>
  <c r="Q344" i="3"/>
  <c r="O345" i="3"/>
  <c r="P345" i="3" s="1"/>
  <c r="Q345" i="3"/>
  <c r="O346" i="3"/>
  <c r="P346" i="3" s="1"/>
  <c r="Q346" i="3"/>
  <c r="Q347" i="3"/>
  <c r="R347" i="3" s="1"/>
  <c r="O348" i="3"/>
  <c r="O336" i="3"/>
  <c r="P336" i="3" s="1"/>
  <c r="O337" i="3"/>
  <c r="P337" i="3" s="1"/>
  <c r="Q337" i="3" s="1"/>
  <c r="O338" i="3"/>
  <c r="P338" i="3" s="1"/>
  <c r="R15" i="3"/>
  <c r="R16" i="3"/>
  <c r="R17" i="3"/>
  <c r="R18" i="3"/>
  <c r="R19" i="3"/>
  <c r="R20" i="3"/>
  <c r="R21" i="3"/>
  <c r="R22" i="3"/>
  <c r="N23" i="3"/>
  <c r="R23" i="3" s="1"/>
  <c r="O23" i="3"/>
  <c r="Q23" i="3"/>
  <c r="Q307" i="3" s="1"/>
  <c r="V307" i="3" s="1"/>
  <c r="AA307" i="3" s="1"/>
  <c r="R31" i="3"/>
  <c r="R32" i="3"/>
  <c r="R33" i="3"/>
  <c r="R37" i="3"/>
  <c r="O321" i="3"/>
  <c r="P321" i="3" s="1"/>
  <c r="Q321" i="3" s="1"/>
  <c r="R321" i="3"/>
  <c r="O322" i="3"/>
  <c r="P322" i="3" s="1"/>
  <c r="Q322" i="3" s="1"/>
  <c r="R322" i="3"/>
  <c r="O324" i="3"/>
  <c r="P324" i="3" s="1"/>
  <c r="Q324" i="3" s="1"/>
  <c r="O325" i="3"/>
  <c r="P325" i="3" s="1"/>
  <c r="O326" i="3"/>
  <c r="P326" i="3" s="1"/>
  <c r="Q326" i="3" s="1"/>
  <c r="O327" i="3"/>
  <c r="P327" i="3" s="1"/>
  <c r="O329" i="3"/>
  <c r="P329" i="3" s="1"/>
  <c r="Q329" i="3" s="1"/>
  <c r="O330" i="3"/>
  <c r="P330" i="3" s="1"/>
  <c r="O331" i="3"/>
  <c r="P331" i="3" s="1"/>
  <c r="Q331" i="3" s="1"/>
  <c r="O332" i="3"/>
  <c r="P332" i="3" s="1"/>
  <c r="O333" i="3"/>
  <c r="P333" i="3" s="1"/>
  <c r="Q333" i="3" s="1"/>
  <c r="O350" i="3"/>
  <c r="P350" i="3"/>
  <c r="S349" i="3"/>
  <c r="S339" i="3"/>
  <c r="S24" i="3"/>
  <c r="S25" i="3" s="1"/>
  <c r="S31" i="3"/>
  <c r="S34" i="3" s="1"/>
  <c r="S35" i="3" s="1"/>
  <c r="S38" i="3" s="1"/>
  <c r="S320" i="3" s="1"/>
  <c r="S334" i="3" s="1"/>
  <c r="T341" i="3"/>
  <c r="U341" i="3" s="1"/>
  <c r="T342" i="3"/>
  <c r="T343" i="3"/>
  <c r="U343" i="3" s="1"/>
  <c r="T344" i="3"/>
  <c r="U344" i="3" s="1"/>
  <c r="T345" i="3"/>
  <c r="U345" i="3" s="1"/>
  <c r="T346" i="3"/>
  <c r="T348" i="3"/>
  <c r="U348" i="3" s="1"/>
  <c r="T338" i="3"/>
  <c r="U338" i="3" s="1"/>
  <c r="T211" i="3"/>
  <c r="T22" i="3" s="1"/>
  <c r="T31" i="3"/>
  <c r="T34" i="3" s="1"/>
  <c r="T321" i="3"/>
  <c r="U321" i="3" s="1"/>
  <c r="U311" i="3" s="1"/>
  <c r="T322" i="3"/>
  <c r="U322" i="3" s="1"/>
  <c r="U365" i="3" s="1"/>
  <c r="T324" i="3"/>
  <c r="T325" i="3"/>
  <c r="U325" i="3" s="1"/>
  <c r="T329" i="3"/>
  <c r="U329" i="3" s="1"/>
  <c r="T330" i="3"/>
  <c r="U330" i="3" s="1"/>
  <c r="T331" i="3"/>
  <c r="U331" i="3" s="1"/>
  <c r="T332" i="3"/>
  <c r="U332" i="3" s="1"/>
  <c r="T333" i="3"/>
  <c r="U333" i="3" s="1"/>
  <c r="T350" i="3"/>
  <c r="U350" i="3" s="1"/>
  <c r="U31" i="3"/>
  <c r="U34" i="3" s="1"/>
  <c r="T233" i="3"/>
  <c r="S233" i="3"/>
  <c r="Q237" i="3"/>
  <c r="P233" i="3"/>
  <c r="U237" i="3"/>
  <c r="Q70" i="3"/>
  <c r="Q152" i="3"/>
  <c r="Q154" i="3" s="1"/>
  <c r="Q169" i="3"/>
  <c r="Q170" i="3" s="1"/>
  <c r="AA170" i="3" s="1"/>
  <c r="AF170" i="3" s="1"/>
  <c r="AK170" i="3" s="1"/>
  <c r="Q52" i="3"/>
  <c r="Q55" i="3"/>
  <c r="W218" i="3"/>
  <c r="V207" i="3" s="1"/>
  <c r="V209" i="3"/>
  <c r="T292" i="3"/>
  <c r="T293" i="3"/>
  <c r="T295" i="3" s="1"/>
  <c r="T297" i="3" s="1"/>
  <c r="T312" i="3" s="1"/>
  <c r="R197" i="3"/>
  <c r="R198" i="3"/>
  <c r="U295" i="3"/>
  <c r="U297" i="3"/>
  <c r="U312" i="3" s="1"/>
  <c r="V312" i="3" s="1"/>
  <c r="X312" i="3" s="1"/>
  <c r="T313" i="3"/>
  <c r="T314" i="3"/>
  <c r="T365" i="3"/>
  <c r="S365" i="3"/>
  <c r="V365" i="3" s="1"/>
  <c r="Q365" i="3"/>
  <c r="P365" i="3"/>
  <c r="P303" i="3"/>
  <c r="T305" i="3"/>
  <c r="S305" i="3"/>
  <c r="Q305" i="3"/>
  <c r="P305" i="3"/>
  <c r="P309" i="3"/>
  <c r="P310" i="3"/>
  <c r="P306" i="3"/>
  <c r="W202" i="3"/>
  <c r="R204" i="3"/>
  <c r="W204" i="3"/>
  <c r="AB204" i="3" s="1"/>
  <c r="AG204" i="3" s="1"/>
  <c r="S205" i="3"/>
  <c r="W205" i="3" s="1"/>
  <c r="T205" i="3"/>
  <c r="W197" i="3"/>
  <c r="AB197" i="3" s="1"/>
  <c r="AG197" i="3" s="1"/>
  <c r="AL197" i="3" s="1"/>
  <c r="R194" i="3"/>
  <c r="R279" i="3"/>
  <c r="V32" i="3"/>
  <c r="V46" i="3"/>
  <c r="V237" i="3"/>
  <c r="V296" i="3"/>
  <c r="V292" i="3"/>
  <c r="V313" i="3"/>
  <c r="V314" i="3"/>
  <c r="V346" i="3"/>
  <c r="V267" i="3"/>
  <c r="V278" i="3"/>
  <c r="V324" i="3" s="1"/>
  <c r="V325" i="3"/>
  <c r="V262" i="3"/>
  <c r="V283" i="3"/>
  <c r="V281" i="3"/>
  <c r="X281" i="3" s="1"/>
  <c r="Y281" i="3" s="1"/>
  <c r="V282" i="3"/>
  <c r="V268" i="3"/>
  <c r="X268" i="3" s="1"/>
  <c r="Y268" i="3" s="1"/>
  <c r="Z268" i="3" s="1"/>
  <c r="Q306" i="3"/>
  <c r="V306" i="3"/>
  <c r="AA306" i="3" s="1"/>
  <c r="X33" i="3"/>
  <c r="Y33" i="3" s="1"/>
  <c r="X240" i="3"/>
  <c r="X246" i="3"/>
  <c r="X252" i="3"/>
  <c r="T234" i="3"/>
  <c r="S234" i="3"/>
  <c r="P234" i="3"/>
  <c r="T236" i="3"/>
  <c r="X236" i="3" s="1"/>
  <c r="S236" i="3"/>
  <c r="V235" i="3"/>
  <c r="X235" i="3" s="1"/>
  <c r="Y235" i="3" s="1"/>
  <c r="Z235" i="3" s="1"/>
  <c r="T70" i="3"/>
  <c r="T83" i="3"/>
  <c r="T89" i="3"/>
  <c r="T95" i="3"/>
  <c r="T101" i="3"/>
  <c r="T107" i="3"/>
  <c r="T113" i="3"/>
  <c r="T119" i="3"/>
  <c r="T125" i="3"/>
  <c r="T57" i="3" s="1"/>
  <c r="T131" i="3"/>
  <c r="T138" i="3"/>
  <c r="T152" i="3"/>
  <c r="T169" i="3"/>
  <c r="T165" i="3"/>
  <c r="T170" i="3" s="1"/>
  <c r="Y170" i="3" s="1"/>
  <c r="Y211" i="3"/>
  <c r="Y22" i="3" s="1"/>
  <c r="Y26" i="3"/>
  <c r="X288" i="3"/>
  <c r="X46" i="3"/>
  <c r="S199" i="3"/>
  <c r="S313" i="3"/>
  <c r="S314" i="3"/>
  <c r="W344" i="3"/>
  <c r="W347" i="3"/>
  <c r="W348" i="3"/>
  <c r="W337" i="3"/>
  <c r="W21" i="3"/>
  <c r="W33" i="3"/>
  <c r="W327" i="3"/>
  <c r="W350" i="3"/>
  <c r="X278" i="3"/>
  <c r="X325" i="3"/>
  <c r="X326" i="3"/>
  <c r="S303" i="3"/>
  <c r="X303" i="3" s="1"/>
  <c r="X331" i="3"/>
  <c r="S307" i="3"/>
  <c r="X307" i="3" s="1"/>
  <c r="AC307" i="3" s="1"/>
  <c r="AC308" i="3" s="1"/>
  <c r="S309" i="3"/>
  <c r="X309" i="3" s="1"/>
  <c r="X283" i="3"/>
  <c r="Y283" i="3" s="1"/>
  <c r="S310" i="3"/>
  <c r="X310" i="3"/>
  <c r="AC310" i="3" s="1"/>
  <c r="AH310" i="3" s="1"/>
  <c r="AM310" i="3" s="1"/>
  <c r="X282" i="3"/>
  <c r="S306" i="3"/>
  <c r="X306" i="3" s="1"/>
  <c r="AC306" i="3" s="1"/>
  <c r="AB202" i="3"/>
  <c r="AB205" i="3"/>
  <c r="Y229" i="3"/>
  <c r="U26" i="3"/>
  <c r="U249" i="3"/>
  <c r="V240" i="3"/>
  <c r="V246" i="3"/>
  <c r="W249" i="3"/>
  <c r="T359" i="3"/>
  <c r="AC153" i="3"/>
  <c r="AD170" i="3"/>
  <c r="AI170" i="3" s="1"/>
  <c r="Z170" i="3"/>
  <c r="AE170" i="3" s="1"/>
  <c r="AJ170" i="3" s="1"/>
  <c r="AQ21" i="3"/>
  <c r="AM211" i="3"/>
  <c r="AM22" i="3" s="1"/>
  <c r="AM326" i="3" s="1"/>
  <c r="AN211" i="3"/>
  <c r="AN22" i="3" s="1"/>
  <c r="AO211" i="3"/>
  <c r="AO22" i="3" s="1"/>
  <c r="AO326" i="3" s="1"/>
  <c r="AB213" i="3"/>
  <c r="AG213" i="3" s="1"/>
  <c r="AB214" i="3"/>
  <c r="AG214" i="3" s="1"/>
  <c r="AL214" i="3" s="1"/>
  <c r="AQ214" i="3" s="1"/>
  <c r="AL219" i="3"/>
  <c r="AQ219" i="3"/>
  <c r="AB217" i="3"/>
  <c r="AG217" i="3"/>
  <c r="AL217" i="3" s="1"/>
  <c r="AQ217" i="3" s="1"/>
  <c r="Y288" i="3"/>
  <c r="Z288" i="3" s="1"/>
  <c r="AA288" i="3" s="1"/>
  <c r="Y46" i="3"/>
  <c r="Z211" i="3"/>
  <c r="Z22" i="3" s="1"/>
  <c r="Y312" i="3"/>
  <c r="Z312" i="3" s="1"/>
  <c r="AA312" i="3" s="1"/>
  <c r="AC312" i="3" s="1"/>
  <c r="AD312" i="3" s="1"/>
  <c r="AE312" i="3" s="1"/>
  <c r="AF312" i="3" s="1"/>
  <c r="AH312" i="3" s="1"/>
  <c r="AI312" i="3" s="1"/>
  <c r="AJ312" i="3" s="1"/>
  <c r="AK312" i="3" s="1"/>
  <c r="AM312" i="3" s="1"/>
  <c r="AN312" i="3" s="1"/>
  <c r="AO312" i="3" s="1"/>
  <c r="AP312" i="3" s="1"/>
  <c r="Y325" i="3"/>
  <c r="Y326" i="3"/>
  <c r="T303" i="3"/>
  <c r="Y303" i="3"/>
  <c r="AD303" i="3" s="1"/>
  <c r="Y331" i="3"/>
  <c r="T307" i="3"/>
  <c r="T309" i="3"/>
  <c r="Y309" i="3" s="1"/>
  <c r="T310" i="3"/>
  <c r="Y310" i="3" s="1"/>
  <c r="AD310" i="3" s="1"/>
  <c r="Y282" i="3"/>
  <c r="Z282" i="3" s="1"/>
  <c r="AA282" i="3" s="1"/>
  <c r="T306" i="3"/>
  <c r="Y306" i="3" s="1"/>
  <c r="Z33" i="3"/>
  <c r="AA33" i="3" s="1"/>
  <c r="AC33" i="3" s="1"/>
  <c r="AD33" i="3" s="1"/>
  <c r="Z46" i="3"/>
  <c r="AE46" i="3" s="1"/>
  <c r="AB218" i="3"/>
  <c r="AA209" i="3"/>
  <c r="AA210" i="3"/>
  <c r="Z325" i="3"/>
  <c r="Z326" i="3"/>
  <c r="Z331" i="3"/>
  <c r="Z307" i="3"/>
  <c r="Z283" i="3"/>
  <c r="AA283" i="3" s="1"/>
  <c r="AB283" i="3" s="1"/>
  <c r="Z310" i="3"/>
  <c r="Z281" i="3"/>
  <c r="AA281" i="3" s="1"/>
  <c r="AC281" i="3" s="1"/>
  <c r="AD281" i="3" s="1"/>
  <c r="AE281" i="3" s="1"/>
  <c r="AF281" i="3" s="1"/>
  <c r="AH281" i="3" s="1"/>
  <c r="AI281" i="3" s="1"/>
  <c r="AJ281" i="3" s="1"/>
  <c r="AK281" i="3" s="1"/>
  <c r="AM281" i="3" s="1"/>
  <c r="AN281" i="3" s="1"/>
  <c r="AO281" i="3" s="1"/>
  <c r="AP281" i="3" s="1"/>
  <c r="AQ281" i="3" s="1"/>
  <c r="Z306" i="3"/>
  <c r="AA46" i="3"/>
  <c r="AA235" i="3"/>
  <c r="AC235" i="3" s="1"/>
  <c r="AD235" i="3" s="1"/>
  <c r="AE235" i="3" s="1"/>
  <c r="AF235" i="3" s="1"/>
  <c r="AH235" i="3" s="1"/>
  <c r="AI235" i="3" s="1"/>
  <c r="AJ235" i="3" s="1"/>
  <c r="AK235" i="3" s="1"/>
  <c r="AM235" i="3" s="1"/>
  <c r="AN235" i="3" s="1"/>
  <c r="AO235" i="3" s="1"/>
  <c r="AP235" i="3" s="1"/>
  <c r="AC211" i="3"/>
  <c r="AC22" i="3" s="1"/>
  <c r="AA325" i="3"/>
  <c r="AA268" i="3"/>
  <c r="AC46" i="3"/>
  <c r="AD211" i="3"/>
  <c r="AD22" i="3" s="1"/>
  <c r="AD326" i="3" s="1"/>
  <c r="AB344" i="3"/>
  <c r="AB347" i="3"/>
  <c r="AB348" i="3"/>
  <c r="AB337" i="3"/>
  <c r="AB21" i="3"/>
  <c r="AB325" i="3"/>
  <c r="AB327" i="3"/>
  <c r="AB350" i="3"/>
  <c r="AC325" i="3"/>
  <c r="AG325" i="3" s="1"/>
  <c r="AC326" i="3"/>
  <c r="AC303" i="3"/>
  <c r="AH303" i="3" s="1"/>
  <c r="AC331" i="3"/>
  <c r="AC309" i="3"/>
  <c r="AH309" i="3" s="1"/>
  <c r="AM309" i="3" s="1"/>
  <c r="AC282" i="3"/>
  <c r="AD282" i="3" s="1"/>
  <c r="AE282" i="3" s="1"/>
  <c r="AF282" i="3" s="1"/>
  <c r="AH282" i="3" s="1"/>
  <c r="AI282" i="3" s="1"/>
  <c r="AJ282" i="3" s="1"/>
  <c r="AK282" i="3" s="1"/>
  <c r="AG202" i="3"/>
  <c r="AG205" i="3"/>
  <c r="AD46" i="3"/>
  <c r="AI46" i="3" s="1"/>
  <c r="AE211" i="3"/>
  <c r="AE22" i="3" s="1"/>
  <c r="AD325" i="3"/>
  <c r="AD331" i="3"/>
  <c r="AD309" i="3"/>
  <c r="AI309" i="3" s="1"/>
  <c r="AN309" i="3" s="1"/>
  <c r="AD306" i="3"/>
  <c r="AI306" i="3" s="1"/>
  <c r="AN306" i="3" s="1"/>
  <c r="AE325" i="3"/>
  <c r="AE331" i="3"/>
  <c r="AE307" i="3"/>
  <c r="AJ307" i="3" s="1"/>
  <c r="AO307" i="3" s="1"/>
  <c r="AO308" i="3" s="1"/>
  <c r="AE310" i="3"/>
  <c r="AE306" i="3"/>
  <c r="AJ306" i="3" s="1"/>
  <c r="AO306" i="3" s="1"/>
  <c r="AF46" i="3"/>
  <c r="AH211" i="3"/>
  <c r="AF325" i="3"/>
  <c r="AF307" i="3"/>
  <c r="AK307" i="3" s="1"/>
  <c r="AP307" i="3" s="1"/>
  <c r="AF306" i="3"/>
  <c r="AK306" i="3" s="1"/>
  <c r="AP306" i="3" s="1"/>
  <c r="AH46" i="3"/>
  <c r="AI211" i="3"/>
  <c r="AI22" i="3" s="1"/>
  <c r="AI326" i="3" s="1"/>
  <c r="AG344" i="3"/>
  <c r="AG347" i="3"/>
  <c r="AG348" i="3"/>
  <c r="AG337" i="3"/>
  <c r="AG21" i="3"/>
  <c r="AG327" i="3"/>
  <c r="AG350" i="3"/>
  <c r="AH325" i="3"/>
  <c r="AH331" i="3"/>
  <c r="AH306" i="3"/>
  <c r="AM306" i="3" s="1"/>
  <c r="AL202" i="3"/>
  <c r="AL204" i="3"/>
  <c r="AL205" i="3"/>
  <c r="AJ211" i="3"/>
  <c r="AJ22" i="3" s="1"/>
  <c r="AJ326" i="3" s="1"/>
  <c r="AI325" i="3"/>
  <c r="AI303" i="3"/>
  <c r="AN303" i="3" s="1"/>
  <c r="AN304" i="3" s="1"/>
  <c r="AI331" i="3"/>
  <c r="AI310" i="3"/>
  <c r="AN310" i="3" s="1"/>
  <c r="AJ325" i="3"/>
  <c r="AJ331" i="3"/>
  <c r="AJ310" i="3"/>
  <c r="AO310" i="3" s="1"/>
  <c r="AK46" i="3"/>
  <c r="AK325" i="3"/>
  <c r="AM46" i="3"/>
  <c r="AL344" i="3"/>
  <c r="AL347" i="3"/>
  <c r="AL348" i="3"/>
  <c r="AL337" i="3"/>
  <c r="AL21" i="3"/>
  <c r="AL327" i="3"/>
  <c r="AL350" i="3"/>
  <c r="AM325" i="3"/>
  <c r="AM331" i="3"/>
  <c r="AQ202" i="3"/>
  <c r="AQ204" i="3"/>
  <c r="AQ205" i="3"/>
  <c r="AQ197" i="3"/>
  <c r="AN325" i="3"/>
  <c r="AN331" i="3"/>
  <c r="AO325" i="3"/>
  <c r="AO331" i="3"/>
  <c r="AP325" i="3"/>
  <c r="AQ327" i="3"/>
  <c r="R272" i="3"/>
  <c r="R277" i="3"/>
  <c r="R231" i="3" s="1"/>
  <c r="C394" i="3" s="1"/>
  <c r="C396" i="3" s="1"/>
  <c r="M272" i="3"/>
  <c r="M277" i="3"/>
  <c r="C386" i="3"/>
  <c r="C393" i="3" s="1"/>
  <c r="C402" i="3" s="1"/>
  <c r="C390" i="3"/>
  <c r="C392" i="3" s="1"/>
  <c r="W355" i="3"/>
  <c r="AB355" i="3"/>
  <c r="AG355" i="3" s="1"/>
  <c r="AL355" i="3" s="1"/>
  <c r="AQ355" i="3" s="1"/>
  <c r="I5" i="29"/>
  <c r="I6" i="29"/>
  <c r="I7" i="29"/>
  <c r="I8" i="29"/>
  <c r="I9" i="29"/>
  <c r="I10" i="29"/>
  <c r="I11" i="29"/>
  <c r="I12" i="29"/>
  <c r="J12" i="29" s="1"/>
  <c r="K12" i="29" s="1"/>
  <c r="I13" i="29"/>
  <c r="I14" i="29"/>
  <c r="I15" i="29"/>
  <c r="I16" i="29"/>
  <c r="I17" i="29"/>
  <c r="K22" i="29" s="1"/>
  <c r="O9" i="36"/>
  <c r="M9" i="36"/>
  <c r="K9" i="36"/>
  <c r="I9" i="36"/>
  <c r="G9" i="36"/>
  <c r="F9" i="36"/>
  <c r="E9" i="36"/>
  <c r="D9" i="36"/>
  <c r="C9" i="36"/>
  <c r="R23" i="31"/>
  <c r="O23" i="31"/>
  <c r="O36" i="31" s="1"/>
  <c r="L23" i="31"/>
  <c r="I23" i="31"/>
  <c r="AQ239" i="3"/>
  <c r="AQ241" i="3"/>
  <c r="AQ245" i="3"/>
  <c r="AQ247" i="3"/>
  <c r="AL239" i="3"/>
  <c r="AL241" i="3"/>
  <c r="AL245" i="3"/>
  <c r="AL247" i="3"/>
  <c r="AG239" i="3"/>
  <c r="AG241" i="3"/>
  <c r="AG245" i="3"/>
  <c r="AG247" i="3"/>
  <c r="AB239" i="3"/>
  <c r="AB241" i="3"/>
  <c r="AB245" i="3"/>
  <c r="AB247" i="3"/>
  <c r="AQ253" i="3"/>
  <c r="AQ249" i="3"/>
  <c r="AL253" i="3"/>
  <c r="AL249" i="3"/>
  <c r="AG253" i="3"/>
  <c r="AG249" i="3"/>
  <c r="AB253" i="3"/>
  <c r="AB249" i="3"/>
  <c r="S231" i="3"/>
  <c r="S26" i="3"/>
  <c r="S27" i="3" s="1"/>
  <c r="S39" i="3"/>
  <c r="AQ250" i="3"/>
  <c r="AM243" i="3"/>
  <c r="AN243" i="3"/>
  <c r="AO243" i="3"/>
  <c r="AP243" i="3"/>
  <c r="AP74" i="3" s="1"/>
  <c r="AL250" i="3"/>
  <c r="AH243" i="3"/>
  <c r="AI243" i="3"/>
  <c r="AJ243" i="3"/>
  <c r="AK243" i="3"/>
  <c r="AK74" i="3" s="1"/>
  <c r="AG250" i="3"/>
  <c r="AC243" i="3"/>
  <c r="AC74" i="3" s="1"/>
  <c r="AD243" i="3"/>
  <c r="AD74" i="3" s="1"/>
  <c r="AE243" i="3"/>
  <c r="AF243" i="3"/>
  <c r="AF74" i="3" s="1"/>
  <c r="X250" i="3"/>
  <c r="Y250" i="3"/>
  <c r="Z250" i="3"/>
  <c r="AA250" i="3"/>
  <c r="X243" i="3"/>
  <c r="Y243" i="3"/>
  <c r="Z243" i="3"/>
  <c r="AA243" i="3"/>
  <c r="W247" i="3"/>
  <c r="AO26" i="3"/>
  <c r="AN26" i="3"/>
  <c r="AM26" i="3"/>
  <c r="AJ26" i="3"/>
  <c r="AI26" i="3"/>
  <c r="AH26" i="3"/>
  <c r="AE26" i="3"/>
  <c r="AD26" i="3"/>
  <c r="AC26" i="3"/>
  <c r="Z26" i="3"/>
  <c r="V250" i="3"/>
  <c r="U250" i="3"/>
  <c r="H25" i="24"/>
  <c r="T311" i="3"/>
  <c r="T304" i="3"/>
  <c r="AN74" i="3"/>
  <c r="AM74" i="3"/>
  <c r="AJ74" i="3"/>
  <c r="AH74" i="3"/>
  <c r="AA74" i="3"/>
  <c r="Z74" i="3"/>
  <c r="X74" i="3"/>
  <c r="T74" i="3"/>
  <c r="S74" i="3"/>
  <c r="Q74" i="3"/>
  <c r="P74" i="3"/>
  <c r="O74" i="3"/>
  <c r="N74" i="3"/>
  <c r="L74" i="3"/>
  <c r="K74" i="3"/>
  <c r="J74" i="3"/>
  <c r="I74" i="3"/>
  <c r="W243" i="3"/>
  <c r="R243" i="3"/>
  <c r="M243" i="3"/>
  <c r="T161" i="3"/>
  <c r="U74" i="3"/>
  <c r="H9" i="30"/>
  <c r="O37" i="26"/>
  <c r="O42" i="26"/>
  <c r="O41" i="26"/>
  <c r="O40" i="26"/>
  <c r="O39" i="26"/>
  <c r="O38" i="26"/>
  <c r="O36" i="26"/>
  <c r="O35" i="26"/>
  <c r="O34" i="26"/>
  <c r="L42" i="26"/>
  <c r="L41" i="26"/>
  <c r="L40" i="26"/>
  <c r="L39" i="26"/>
  <c r="L38" i="26"/>
  <c r="L37" i="26"/>
  <c r="L36" i="26"/>
  <c r="L35" i="26"/>
  <c r="L34" i="26"/>
  <c r="I35" i="26"/>
  <c r="I36" i="26"/>
  <c r="I37" i="26"/>
  <c r="I38" i="26"/>
  <c r="I39" i="26"/>
  <c r="I40" i="26"/>
  <c r="I41" i="26"/>
  <c r="I42" i="26"/>
  <c r="I34" i="26"/>
  <c r="D9" i="30"/>
  <c r="E9" i="30"/>
  <c r="F9" i="30"/>
  <c r="C9" i="30"/>
  <c r="O42" i="31"/>
  <c r="L42" i="31"/>
  <c r="I42" i="31"/>
  <c r="S41" i="31"/>
  <c r="P41" i="31"/>
  <c r="O41" i="31"/>
  <c r="M41" i="31"/>
  <c r="L41" i="31"/>
  <c r="J41" i="31"/>
  <c r="I41" i="31"/>
  <c r="E41" i="31"/>
  <c r="D41" i="31"/>
  <c r="O40" i="31"/>
  <c r="L40" i="31"/>
  <c r="I40" i="31"/>
  <c r="O39" i="31"/>
  <c r="L39" i="31"/>
  <c r="I39" i="31"/>
  <c r="O38" i="31"/>
  <c r="L38" i="31"/>
  <c r="I38" i="31"/>
  <c r="O37" i="31"/>
  <c r="L37" i="31"/>
  <c r="I37" i="31"/>
  <c r="O35" i="31"/>
  <c r="L35" i="31"/>
  <c r="I35" i="31"/>
  <c r="O34" i="31"/>
  <c r="L34" i="31"/>
  <c r="I34" i="31"/>
  <c r="L36" i="31"/>
  <c r="I36" i="31"/>
  <c r="G15" i="31"/>
  <c r="H24" i="24"/>
  <c r="H23" i="24"/>
  <c r="M252" i="3"/>
  <c r="M251" i="3"/>
  <c r="M26" i="3" s="1"/>
  <c r="Q178" i="3"/>
  <c r="O178" i="3"/>
  <c r="N178" i="3"/>
  <c r="L178" i="3"/>
  <c r="L179" i="3" s="1"/>
  <c r="K178" i="3"/>
  <c r="J178" i="3"/>
  <c r="I178" i="3"/>
  <c r="O169" i="3"/>
  <c r="N169" i="3"/>
  <c r="L169" i="3"/>
  <c r="K169" i="3"/>
  <c r="J169" i="3"/>
  <c r="I169" i="3"/>
  <c r="O152" i="3"/>
  <c r="N152" i="3"/>
  <c r="L152" i="3"/>
  <c r="K152" i="3"/>
  <c r="J152" i="3"/>
  <c r="I152" i="3"/>
  <c r="I70" i="3"/>
  <c r="J70" i="3"/>
  <c r="K70" i="3"/>
  <c r="L70" i="3"/>
  <c r="N70" i="3"/>
  <c r="O70" i="3"/>
  <c r="H32" i="3"/>
  <c r="L34" i="3"/>
  <c r="K34" i="3"/>
  <c r="J34" i="3"/>
  <c r="I34" i="3"/>
  <c r="Q34" i="3"/>
  <c r="P34" i="3"/>
  <c r="O34" i="3"/>
  <c r="N34" i="3"/>
  <c r="S308" i="3"/>
  <c r="S304" i="3"/>
  <c r="S182" i="3"/>
  <c r="S161" i="3"/>
  <c r="S47" i="3"/>
  <c r="O306" i="3"/>
  <c r="N306" i="3"/>
  <c r="I306" i="3"/>
  <c r="J306" i="3"/>
  <c r="K306" i="3"/>
  <c r="L306" i="3"/>
  <c r="F306" i="3"/>
  <c r="G306" i="3"/>
  <c r="E306" i="3"/>
  <c r="Q179" i="3"/>
  <c r="E82" i="3"/>
  <c r="AB210" i="3"/>
  <c r="AQ210" i="3"/>
  <c r="AL210" i="3"/>
  <c r="AG210" i="3"/>
  <c r="W209" i="3"/>
  <c r="D310" i="3"/>
  <c r="H205" i="3"/>
  <c r="G211" i="3"/>
  <c r="W253" i="3"/>
  <c r="W241" i="3"/>
  <c r="W239" i="3"/>
  <c r="AQ350" i="3"/>
  <c r="AQ348" i="3"/>
  <c r="AQ347" i="3"/>
  <c r="AQ344" i="3"/>
  <c r="AQ337" i="3"/>
  <c r="AQ261" i="3"/>
  <c r="AL261" i="3"/>
  <c r="AG261" i="3"/>
  <c r="AB261" i="3"/>
  <c r="R296" i="3"/>
  <c r="W244" i="3"/>
  <c r="D366" i="3"/>
  <c r="I365" i="3"/>
  <c r="N365" i="3"/>
  <c r="D365" i="3"/>
  <c r="Q314" i="3"/>
  <c r="Q313" i="3"/>
  <c r="Q308" i="3"/>
  <c r="AB282" i="3"/>
  <c r="I95" i="3"/>
  <c r="AA308" i="3"/>
  <c r="AB281" i="3"/>
  <c r="D26" i="3"/>
  <c r="E26" i="3"/>
  <c r="E27" i="3" s="1"/>
  <c r="F26" i="3"/>
  <c r="F27" i="3" s="1"/>
  <c r="G26" i="3"/>
  <c r="H26" i="3"/>
  <c r="D39" i="3"/>
  <c r="E39" i="3"/>
  <c r="F39" i="3"/>
  <c r="G39" i="3"/>
  <c r="H39" i="3"/>
  <c r="L246" i="3"/>
  <c r="L39" i="3" s="1"/>
  <c r="L245" i="3"/>
  <c r="L26" i="3"/>
  <c r="R39" i="3"/>
  <c r="I39" i="3"/>
  <c r="J39" i="3"/>
  <c r="K39" i="3"/>
  <c r="N39" i="3"/>
  <c r="O39" i="3"/>
  <c r="P39" i="3"/>
  <c r="T26" i="3"/>
  <c r="I26" i="3"/>
  <c r="J26" i="3"/>
  <c r="K26" i="3"/>
  <c r="N26" i="3"/>
  <c r="O26" i="3"/>
  <c r="P26" i="3"/>
  <c r="R26" i="3"/>
  <c r="Q39" i="3"/>
  <c r="Q26" i="3"/>
  <c r="M246" i="3"/>
  <c r="M245" i="3"/>
  <c r="E359" i="3"/>
  <c r="F359" i="3"/>
  <c r="G359" i="3"/>
  <c r="I359" i="3"/>
  <c r="J359" i="3"/>
  <c r="K359" i="3"/>
  <c r="L359" i="3"/>
  <c r="N359" i="3"/>
  <c r="O359" i="3"/>
  <c r="P359" i="3"/>
  <c r="Q359" i="3"/>
  <c r="D359" i="3"/>
  <c r="N236" i="3"/>
  <c r="P236" i="3"/>
  <c r="H236" i="3"/>
  <c r="G236" i="3"/>
  <c r="M236" i="3"/>
  <c r="H31" i="3"/>
  <c r="R205" i="3"/>
  <c r="R202" i="3"/>
  <c r="Q203" i="3"/>
  <c r="R203" i="3" s="1"/>
  <c r="R208" i="3"/>
  <c r="O138" i="3"/>
  <c r="AF308" i="3"/>
  <c r="W245" i="3"/>
  <c r="G59" i="3"/>
  <c r="F59" i="3"/>
  <c r="E59" i="3"/>
  <c r="D59" i="3"/>
  <c r="G175" i="3"/>
  <c r="F175" i="3"/>
  <c r="E175" i="3"/>
  <c r="D175" i="3"/>
  <c r="G161" i="3"/>
  <c r="F161" i="3"/>
  <c r="E161" i="3"/>
  <c r="D161" i="3"/>
  <c r="G159" i="3"/>
  <c r="F159" i="3"/>
  <c r="E159" i="3"/>
  <c r="D159" i="3"/>
  <c r="G144" i="3"/>
  <c r="F144" i="3"/>
  <c r="E144" i="3"/>
  <c r="D144" i="3"/>
  <c r="G142" i="3"/>
  <c r="F142" i="3"/>
  <c r="E142" i="3"/>
  <c r="D142" i="3"/>
  <c r="G136" i="3"/>
  <c r="F136" i="3"/>
  <c r="E136" i="3"/>
  <c r="D136" i="3"/>
  <c r="G134" i="3"/>
  <c r="F134" i="3"/>
  <c r="E134" i="3"/>
  <c r="D134" i="3"/>
  <c r="G130" i="3"/>
  <c r="F130" i="3"/>
  <c r="E130" i="3"/>
  <c r="D130" i="3"/>
  <c r="G128" i="3"/>
  <c r="F128" i="3"/>
  <c r="E128" i="3"/>
  <c r="D128" i="3"/>
  <c r="G124" i="3"/>
  <c r="F124" i="3"/>
  <c r="E124" i="3"/>
  <c r="D124" i="3"/>
  <c r="G122" i="3"/>
  <c r="F122" i="3"/>
  <c r="E122" i="3"/>
  <c r="D122" i="3"/>
  <c r="G118" i="3"/>
  <c r="F118" i="3"/>
  <c r="E118" i="3"/>
  <c r="D118" i="3"/>
  <c r="G116" i="3"/>
  <c r="F116" i="3"/>
  <c r="E116" i="3"/>
  <c r="D116" i="3"/>
  <c r="AK308" i="3"/>
  <c r="AP308" i="3"/>
  <c r="G112" i="3"/>
  <c r="F112" i="3"/>
  <c r="E112" i="3"/>
  <c r="D112" i="3"/>
  <c r="G110" i="3"/>
  <c r="F110" i="3"/>
  <c r="E110" i="3"/>
  <c r="D110" i="3"/>
  <c r="G106" i="3"/>
  <c r="F106" i="3"/>
  <c r="E106" i="3"/>
  <c r="D106" i="3"/>
  <c r="G104" i="3"/>
  <c r="F104" i="3"/>
  <c r="E104" i="3"/>
  <c r="D104" i="3"/>
  <c r="G100" i="3"/>
  <c r="F100" i="3"/>
  <c r="E100" i="3"/>
  <c r="D100" i="3"/>
  <c r="G98" i="3"/>
  <c r="F98" i="3"/>
  <c r="E98" i="3"/>
  <c r="D98" i="3"/>
  <c r="G94" i="3"/>
  <c r="F94" i="3"/>
  <c r="E94" i="3"/>
  <c r="D94" i="3"/>
  <c r="G92" i="3"/>
  <c r="F92" i="3"/>
  <c r="E92" i="3"/>
  <c r="D92" i="3"/>
  <c r="G88" i="3"/>
  <c r="F88" i="3"/>
  <c r="E88" i="3"/>
  <c r="D88" i="3"/>
  <c r="G86" i="3"/>
  <c r="F86" i="3"/>
  <c r="E86" i="3"/>
  <c r="D86" i="3"/>
  <c r="G80" i="3"/>
  <c r="F80" i="3"/>
  <c r="E80" i="3"/>
  <c r="D80" i="3"/>
  <c r="G82" i="3"/>
  <c r="F82" i="3"/>
  <c r="D82" i="3"/>
  <c r="G47" i="3"/>
  <c r="F47" i="3"/>
  <c r="E47" i="3"/>
  <c r="D47" i="3"/>
  <c r="H295" i="3"/>
  <c r="W261" i="3"/>
  <c r="W281" i="3"/>
  <c r="W282" i="3"/>
  <c r="R267" i="3"/>
  <c r="P297" i="3"/>
  <c r="Q182" i="3"/>
  <c r="Q47" i="3"/>
  <c r="L47" i="3"/>
  <c r="D211" i="3"/>
  <c r="H207" i="3"/>
  <c r="D179" i="3"/>
  <c r="D182" i="3"/>
  <c r="D181" i="3"/>
  <c r="I158" i="3"/>
  <c r="G165" i="3"/>
  <c r="F165" i="3"/>
  <c r="E165" i="3"/>
  <c r="D165" i="3"/>
  <c r="O148" i="3"/>
  <c r="O154" i="3" s="1"/>
  <c r="N148" i="3"/>
  <c r="L148" i="3"/>
  <c r="L154" i="3" s="1"/>
  <c r="L149" i="3" s="1"/>
  <c r="K148" i="3"/>
  <c r="J148" i="3"/>
  <c r="I148" i="3"/>
  <c r="G148" i="3"/>
  <c r="F148" i="3"/>
  <c r="E148" i="3"/>
  <c r="E153" i="3" s="1"/>
  <c r="D148" i="3"/>
  <c r="N138" i="3"/>
  <c r="L138" i="3"/>
  <c r="K138" i="3"/>
  <c r="J138" i="3"/>
  <c r="I138" i="3"/>
  <c r="G138" i="3"/>
  <c r="F138" i="3"/>
  <c r="E138" i="3"/>
  <c r="D138" i="3"/>
  <c r="O131" i="3"/>
  <c r="N131" i="3"/>
  <c r="L131" i="3"/>
  <c r="K131" i="3"/>
  <c r="J131" i="3"/>
  <c r="I131" i="3"/>
  <c r="G131" i="3"/>
  <c r="F131" i="3"/>
  <c r="E131" i="3"/>
  <c r="D131" i="3"/>
  <c r="O125" i="3"/>
  <c r="O57" i="3" s="1"/>
  <c r="N125" i="3"/>
  <c r="L125" i="3"/>
  <c r="K125" i="3"/>
  <c r="J125" i="3"/>
  <c r="I125" i="3"/>
  <c r="I57" i="3" s="1"/>
  <c r="G125" i="3"/>
  <c r="F125" i="3"/>
  <c r="E125" i="3"/>
  <c r="E57" i="3" s="1"/>
  <c r="D125" i="3"/>
  <c r="D57" i="3" s="1"/>
  <c r="O119" i="3"/>
  <c r="N119" i="3"/>
  <c r="L119" i="3"/>
  <c r="L57" i="3" s="1"/>
  <c r="K119" i="3"/>
  <c r="K57" i="3" s="1"/>
  <c r="J119" i="3"/>
  <c r="I119" i="3"/>
  <c r="G119" i="3"/>
  <c r="G57" i="3" s="1"/>
  <c r="F119" i="3"/>
  <c r="E119" i="3"/>
  <c r="D119" i="3"/>
  <c r="O113" i="3"/>
  <c r="N113" i="3"/>
  <c r="L113" i="3"/>
  <c r="K113" i="3"/>
  <c r="J113" i="3"/>
  <c r="I113" i="3"/>
  <c r="G113" i="3"/>
  <c r="F113" i="3"/>
  <c r="E113" i="3"/>
  <c r="D113" i="3"/>
  <c r="O107" i="3"/>
  <c r="N107" i="3"/>
  <c r="L107" i="3"/>
  <c r="K107" i="3"/>
  <c r="J107" i="3"/>
  <c r="I107" i="3"/>
  <c r="G107" i="3"/>
  <c r="F107" i="3"/>
  <c r="F54" i="3" s="1"/>
  <c r="E107" i="3"/>
  <c r="D107" i="3"/>
  <c r="O101" i="3"/>
  <c r="N101" i="3"/>
  <c r="N54" i="3" s="1"/>
  <c r="L101" i="3"/>
  <c r="K101" i="3"/>
  <c r="J101" i="3"/>
  <c r="I101" i="3"/>
  <c r="G101" i="3"/>
  <c r="F101" i="3"/>
  <c r="E101" i="3"/>
  <c r="D101" i="3"/>
  <c r="O95" i="3"/>
  <c r="N95" i="3"/>
  <c r="L95" i="3"/>
  <c r="K95" i="3"/>
  <c r="J95" i="3"/>
  <c r="G95" i="3"/>
  <c r="F95" i="3"/>
  <c r="E95" i="3"/>
  <c r="D95" i="3"/>
  <c r="O89" i="3"/>
  <c r="N89" i="3"/>
  <c r="L89" i="3"/>
  <c r="K89" i="3"/>
  <c r="J89" i="3"/>
  <c r="I89" i="3"/>
  <c r="G89" i="3"/>
  <c r="F89" i="3"/>
  <c r="E89" i="3"/>
  <c r="D89" i="3"/>
  <c r="O83" i="3"/>
  <c r="N83" i="3"/>
  <c r="L83" i="3"/>
  <c r="K83" i="3"/>
  <c r="J83" i="3"/>
  <c r="J78" i="3" s="1"/>
  <c r="I83" i="3"/>
  <c r="G83" i="3"/>
  <c r="G78" i="3" s="1"/>
  <c r="F83" i="3"/>
  <c r="E83" i="3"/>
  <c r="E78" i="3" s="1"/>
  <c r="D83" i="3"/>
  <c r="Q146" i="3"/>
  <c r="P146" i="3"/>
  <c r="O146" i="3"/>
  <c r="N146" i="3"/>
  <c r="L146" i="3"/>
  <c r="J146" i="3"/>
  <c r="K146" i="3"/>
  <c r="I146" i="3"/>
  <c r="N52" i="3"/>
  <c r="N53" i="3" s="1"/>
  <c r="L55" i="3"/>
  <c r="L56" i="3" s="1"/>
  <c r="L52" i="3"/>
  <c r="L53" i="3" s="1"/>
  <c r="K52" i="3"/>
  <c r="J55" i="3"/>
  <c r="J56" i="3" s="1"/>
  <c r="J52" i="3"/>
  <c r="J53" i="3" s="1"/>
  <c r="Q161" i="3"/>
  <c r="V161" i="3" s="1"/>
  <c r="X161" i="3" s="1"/>
  <c r="D140" i="3"/>
  <c r="N310" i="3"/>
  <c r="O310" i="3"/>
  <c r="I310" i="3"/>
  <c r="L310" i="3"/>
  <c r="K310" i="3"/>
  <c r="J310" i="3"/>
  <c r="F310" i="3"/>
  <c r="G310" i="3"/>
  <c r="E310" i="3"/>
  <c r="F205" i="3"/>
  <c r="E205" i="3"/>
  <c r="G205" i="3" s="1"/>
  <c r="E202" i="3"/>
  <c r="F202" i="3"/>
  <c r="G202" i="3"/>
  <c r="D205" i="3"/>
  <c r="K202" i="3"/>
  <c r="L202" i="3"/>
  <c r="J205" i="3"/>
  <c r="O205" i="3"/>
  <c r="O202" i="3"/>
  <c r="P202" i="3"/>
  <c r="Q202" i="3"/>
  <c r="J199" i="3"/>
  <c r="O199" i="3"/>
  <c r="I205" i="3"/>
  <c r="N205" i="3"/>
  <c r="I199" i="3"/>
  <c r="R209" i="3"/>
  <c r="K205" i="3"/>
  <c r="P205" i="3"/>
  <c r="K199" i="3"/>
  <c r="P199" i="3"/>
  <c r="M197" i="3"/>
  <c r="M198" i="3"/>
  <c r="M199" i="3" s="1"/>
  <c r="H197" i="3"/>
  <c r="R294" i="3"/>
  <c r="R295" i="3"/>
  <c r="O309" i="3"/>
  <c r="N309" i="3"/>
  <c r="I309" i="3"/>
  <c r="L309" i="3"/>
  <c r="K309" i="3"/>
  <c r="J309" i="3"/>
  <c r="F309" i="3"/>
  <c r="G309" i="3"/>
  <c r="E309" i="3"/>
  <c r="D309" i="3"/>
  <c r="I307" i="3"/>
  <c r="I308" i="3" s="1"/>
  <c r="P314" i="3"/>
  <c r="O314" i="3"/>
  <c r="N314" i="3"/>
  <c r="P313" i="3"/>
  <c r="O313" i="3"/>
  <c r="N313" i="3"/>
  <c r="L314" i="3"/>
  <c r="K314" i="3"/>
  <c r="J314" i="3"/>
  <c r="I314" i="3"/>
  <c r="L313" i="3"/>
  <c r="K313" i="3"/>
  <c r="J313" i="3"/>
  <c r="I313" i="3"/>
  <c r="E313" i="3"/>
  <c r="F313" i="3"/>
  <c r="G313" i="3"/>
  <c r="E314" i="3"/>
  <c r="F314" i="3"/>
  <c r="G314" i="3"/>
  <c r="D314" i="3"/>
  <c r="D313" i="3"/>
  <c r="I368" i="3"/>
  <c r="N368" i="3"/>
  <c r="D368" i="3"/>
  <c r="W294" i="3"/>
  <c r="AB294" i="3"/>
  <c r="AG294" i="3" s="1"/>
  <c r="AL294" i="3" s="1"/>
  <c r="AQ294" i="3" s="1"/>
  <c r="R278" i="3"/>
  <c r="O305" i="3"/>
  <c r="N305" i="3"/>
  <c r="L305" i="3"/>
  <c r="K305" i="3"/>
  <c r="J305" i="3"/>
  <c r="I305" i="3"/>
  <c r="E305" i="3"/>
  <c r="F305" i="3"/>
  <c r="G305" i="3"/>
  <c r="D305" i="3"/>
  <c r="O303" i="3"/>
  <c r="O304" i="3" s="1"/>
  <c r="N303" i="3"/>
  <c r="E303" i="3"/>
  <c r="D303" i="3"/>
  <c r="I303" i="3"/>
  <c r="I304" i="3" s="1"/>
  <c r="X304" i="3"/>
  <c r="Y304" i="3"/>
  <c r="P304" i="3"/>
  <c r="W267" i="3"/>
  <c r="D226" i="3"/>
  <c r="E226" i="3"/>
  <c r="F226" i="3"/>
  <c r="G226" i="3"/>
  <c r="I226" i="3"/>
  <c r="J226" i="3"/>
  <c r="K226" i="3"/>
  <c r="L226" i="3"/>
  <c r="N226" i="3"/>
  <c r="O226" i="3"/>
  <c r="P226" i="3"/>
  <c r="D227" i="3"/>
  <c r="E227" i="3"/>
  <c r="F227" i="3"/>
  <c r="G227" i="3"/>
  <c r="I227" i="3"/>
  <c r="J227" i="3"/>
  <c r="K227" i="3"/>
  <c r="L227" i="3"/>
  <c r="N227" i="3"/>
  <c r="O227" i="3"/>
  <c r="P227" i="3"/>
  <c r="D228" i="3"/>
  <c r="E228" i="3"/>
  <c r="F228" i="3"/>
  <c r="G228" i="3"/>
  <c r="I228" i="3"/>
  <c r="J228" i="3"/>
  <c r="K228" i="3"/>
  <c r="L228" i="3"/>
  <c r="N228" i="3"/>
  <c r="O228" i="3"/>
  <c r="P228" i="3"/>
  <c r="G222" i="3"/>
  <c r="F222" i="3"/>
  <c r="E222" i="3"/>
  <c r="D222" i="3"/>
  <c r="M205" i="3"/>
  <c r="L205" i="3"/>
  <c r="W216" i="3"/>
  <c r="AB216" i="3" s="1"/>
  <c r="AG216" i="3" s="1"/>
  <c r="AL216" i="3"/>
  <c r="AQ216" i="3" s="1"/>
  <c r="W210" i="3"/>
  <c r="P211" i="3"/>
  <c r="O211" i="3"/>
  <c r="N211" i="3"/>
  <c r="R210" i="3"/>
  <c r="I211" i="3"/>
  <c r="J211" i="3"/>
  <c r="M209" i="3"/>
  <c r="M195" i="3"/>
  <c r="H195" i="3"/>
  <c r="M194" i="3"/>
  <c r="H194" i="3"/>
  <c r="L211" i="3"/>
  <c r="K211" i="3"/>
  <c r="F211" i="3"/>
  <c r="E211" i="3"/>
  <c r="H210" i="3"/>
  <c r="H209" i="3"/>
  <c r="M210" i="3"/>
  <c r="M207" i="3"/>
  <c r="G182" i="3"/>
  <c r="G186" i="3"/>
  <c r="F182" i="3"/>
  <c r="E182" i="3"/>
  <c r="E186" i="3"/>
  <c r="D186" i="3"/>
  <c r="G181" i="3"/>
  <c r="F181" i="3"/>
  <c r="E181" i="3"/>
  <c r="E187" i="3" s="1"/>
  <c r="G179" i="3"/>
  <c r="F179" i="3"/>
  <c r="E179" i="3"/>
  <c r="L182" i="3"/>
  <c r="L186" i="3" s="1"/>
  <c r="K182" i="3"/>
  <c r="K186" i="3" s="1"/>
  <c r="J182" i="3"/>
  <c r="I182" i="3"/>
  <c r="I186" i="3"/>
  <c r="L181" i="3"/>
  <c r="K181" i="3"/>
  <c r="J181" i="3"/>
  <c r="J187" i="3" s="1"/>
  <c r="I181" i="3"/>
  <c r="I187" i="3" s="1"/>
  <c r="K179" i="3"/>
  <c r="J179" i="3"/>
  <c r="I179" i="3"/>
  <c r="O182" i="3"/>
  <c r="O186" i="3" s="1"/>
  <c r="N182" i="3"/>
  <c r="N186" i="3"/>
  <c r="O181" i="3"/>
  <c r="O187" i="3" s="1"/>
  <c r="N181" i="3"/>
  <c r="O179" i="3"/>
  <c r="N179" i="3"/>
  <c r="P182" i="3"/>
  <c r="P186" i="3" s="1"/>
  <c r="P187" i="3"/>
  <c r="AD304" i="3"/>
  <c r="AC304" i="3"/>
  <c r="AB209" i="3"/>
  <c r="S295" i="3"/>
  <c r="S297" i="3" s="1"/>
  <c r="N187" i="3"/>
  <c r="K187" i="3"/>
  <c r="F187" i="3"/>
  <c r="G187" i="3"/>
  <c r="Q211" i="3"/>
  <c r="R195" i="3"/>
  <c r="W278" i="3"/>
  <c r="S211" i="3"/>
  <c r="R207" i="3"/>
  <c r="R211" i="3"/>
  <c r="W207" i="3"/>
  <c r="P24" i="3"/>
  <c r="P25" i="3" s="1"/>
  <c r="P223" i="3" s="1"/>
  <c r="H171" i="3"/>
  <c r="M171" i="3"/>
  <c r="G66" i="3"/>
  <c r="G67" i="3" s="1"/>
  <c r="F66" i="3"/>
  <c r="F67" i="3"/>
  <c r="E66" i="3"/>
  <c r="E67" i="3" s="1"/>
  <c r="D66" i="3"/>
  <c r="D67" i="3"/>
  <c r="L66" i="3"/>
  <c r="L67" i="3" s="1"/>
  <c r="K66" i="3"/>
  <c r="K67" i="3" s="1"/>
  <c r="J66" i="3"/>
  <c r="J67" i="3" s="1"/>
  <c r="I66" i="3"/>
  <c r="I67" i="3" s="1"/>
  <c r="O66" i="3"/>
  <c r="O67" i="3" s="1"/>
  <c r="P66" i="3"/>
  <c r="P67" i="3"/>
  <c r="N66" i="3"/>
  <c r="N67" i="3" s="1"/>
  <c r="O175" i="3"/>
  <c r="N175" i="3"/>
  <c r="L175" i="3"/>
  <c r="K175" i="3"/>
  <c r="J175" i="3"/>
  <c r="I175" i="3"/>
  <c r="O163" i="3"/>
  <c r="N163" i="3"/>
  <c r="L163" i="3"/>
  <c r="K163" i="3"/>
  <c r="J163" i="3"/>
  <c r="I163" i="3"/>
  <c r="P161" i="3"/>
  <c r="O161" i="3"/>
  <c r="N161" i="3"/>
  <c r="L161" i="3"/>
  <c r="K161" i="3"/>
  <c r="J161" i="3"/>
  <c r="I161" i="3"/>
  <c r="L165" i="3"/>
  <c r="K165" i="3"/>
  <c r="J158" i="3"/>
  <c r="J159" i="3" s="1"/>
  <c r="F78" i="3"/>
  <c r="F297" i="3"/>
  <c r="F312" i="3" s="1"/>
  <c r="G297" i="3"/>
  <c r="G312" i="3" s="1"/>
  <c r="D297" i="3"/>
  <c r="D312" i="3" s="1"/>
  <c r="E297" i="3"/>
  <c r="E312" i="3" s="1"/>
  <c r="I297" i="3"/>
  <c r="I312" i="3"/>
  <c r="J297" i="3"/>
  <c r="K297" i="3"/>
  <c r="K312" i="3"/>
  <c r="N297" i="3"/>
  <c r="O297" i="3"/>
  <c r="O312" i="3"/>
  <c r="R289" i="3"/>
  <c r="R282" i="3"/>
  <c r="R281" i="3"/>
  <c r="H296" i="3"/>
  <c r="H290" i="3"/>
  <c r="H289" i="3"/>
  <c r="H297" i="3" s="1"/>
  <c r="H288" i="3"/>
  <c r="H283" i="3"/>
  <c r="H282" i="3"/>
  <c r="H281" i="3"/>
  <c r="H280" i="3"/>
  <c r="H279" i="3"/>
  <c r="H278" i="3"/>
  <c r="H277" i="3"/>
  <c r="H275" i="3"/>
  <c r="H274" i="3"/>
  <c r="H273" i="3"/>
  <c r="H272" i="3"/>
  <c r="H359" i="3"/>
  <c r="H268" i="3"/>
  <c r="H267" i="3"/>
  <c r="H265" i="3"/>
  <c r="H264" i="3"/>
  <c r="H266" i="3" s="1"/>
  <c r="H262" i="3"/>
  <c r="H261" i="3"/>
  <c r="H260" i="3"/>
  <c r="H259" i="3"/>
  <c r="L297" i="3"/>
  <c r="L312" i="3" s="1"/>
  <c r="M283" i="3"/>
  <c r="M260" i="3"/>
  <c r="M265" i="3"/>
  <c r="M273" i="3"/>
  <c r="M278" i="3"/>
  <c r="M279" i="3"/>
  <c r="M280" i="3"/>
  <c r="M281" i="3"/>
  <c r="M282" i="3"/>
  <c r="M289" i="3"/>
  <c r="M296" i="3"/>
  <c r="P312" i="3"/>
  <c r="D276" i="3"/>
  <c r="D284" i="3" s="1"/>
  <c r="E276" i="3"/>
  <c r="E284" i="3"/>
  <c r="F276" i="3"/>
  <c r="G276" i="3"/>
  <c r="G284" i="3" s="1"/>
  <c r="G298" i="3" s="1"/>
  <c r="I276" i="3"/>
  <c r="J276" i="3"/>
  <c r="J284" i="3" s="1"/>
  <c r="K276" i="3"/>
  <c r="K284" i="3" s="1"/>
  <c r="K298" i="3" s="1"/>
  <c r="L276" i="3"/>
  <c r="L284" i="3" s="1"/>
  <c r="L298" i="3" s="1"/>
  <c r="N276" i="3"/>
  <c r="N284" i="3" s="1"/>
  <c r="O276" i="3"/>
  <c r="O284" i="3" s="1"/>
  <c r="D266" i="3"/>
  <c r="E266" i="3"/>
  <c r="F266" i="3"/>
  <c r="G266" i="3"/>
  <c r="I266" i="3"/>
  <c r="J266" i="3"/>
  <c r="K266" i="3"/>
  <c r="L266" i="3"/>
  <c r="N266" i="3"/>
  <c r="O266" i="3"/>
  <c r="P266" i="3"/>
  <c r="O365" i="3"/>
  <c r="O311" i="3"/>
  <c r="J311" i="3"/>
  <c r="N349" i="3"/>
  <c r="O165" i="3"/>
  <c r="N165" i="3"/>
  <c r="E365" i="3"/>
  <c r="J365" i="3"/>
  <c r="P140" i="3"/>
  <c r="P154" i="3"/>
  <c r="P149" i="3" s="1"/>
  <c r="L159" i="3"/>
  <c r="J368" i="3"/>
  <c r="F311" i="3"/>
  <c r="E368" i="3"/>
  <c r="K311" i="3"/>
  <c r="P311" i="3"/>
  <c r="O368" i="3"/>
  <c r="I349" i="3"/>
  <c r="O159" i="3"/>
  <c r="Q66" i="3"/>
  <c r="Q67" i="3" s="1"/>
  <c r="K159" i="3"/>
  <c r="O349" i="3"/>
  <c r="J349" i="3"/>
  <c r="O144" i="3"/>
  <c r="N144" i="3"/>
  <c r="O142" i="3"/>
  <c r="N142" i="3"/>
  <c r="L144" i="3"/>
  <c r="K144" i="3"/>
  <c r="J144" i="3"/>
  <c r="I144" i="3"/>
  <c r="L142" i="3"/>
  <c r="K142" i="3"/>
  <c r="J142" i="3"/>
  <c r="I142" i="3"/>
  <c r="N59" i="3"/>
  <c r="O59" i="3"/>
  <c r="L59" i="3"/>
  <c r="K59" i="3"/>
  <c r="J59" i="3"/>
  <c r="I59" i="3"/>
  <c r="O134" i="3"/>
  <c r="N134" i="3"/>
  <c r="L134" i="3"/>
  <c r="K134" i="3"/>
  <c r="J134" i="3"/>
  <c r="I134" i="3"/>
  <c r="O128" i="3"/>
  <c r="N128" i="3"/>
  <c r="L128" i="3"/>
  <c r="K128" i="3"/>
  <c r="J128" i="3"/>
  <c r="I128" i="3"/>
  <c r="O122" i="3"/>
  <c r="N122" i="3"/>
  <c r="L122" i="3"/>
  <c r="K122" i="3"/>
  <c r="J122" i="3"/>
  <c r="I122" i="3"/>
  <c r="O116" i="3"/>
  <c r="N116" i="3"/>
  <c r="L116" i="3"/>
  <c r="K116" i="3"/>
  <c r="J116" i="3"/>
  <c r="I116" i="3"/>
  <c r="O110" i="3"/>
  <c r="N110" i="3"/>
  <c r="L110" i="3"/>
  <c r="K110" i="3"/>
  <c r="J110" i="3"/>
  <c r="I110" i="3"/>
  <c r="O104" i="3"/>
  <c r="N104" i="3"/>
  <c r="L104" i="3"/>
  <c r="K104" i="3"/>
  <c r="J104" i="3"/>
  <c r="I104" i="3"/>
  <c r="P98" i="3"/>
  <c r="O98" i="3"/>
  <c r="N98" i="3"/>
  <c r="L98" i="3"/>
  <c r="K98" i="3"/>
  <c r="J98" i="3"/>
  <c r="I98" i="3"/>
  <c r="O92" i="3"/>
  <c r="N92" i="3"/>
  <c r="L92" i="3"/>
  <c r="K92" i="3"/>
  <c r="J92" i="3"/>
  <c r="I92" i="3"/>
  <c r="O136" i="3"/>
  <c r="N136" i="3"/>
  <c r="L136" i="3"/>
  <c r="K136" i="3"/>
  <c r="J136" i="3"/>
  <c r="I136" i="3"/>
  <c r="O130" i="3"/>
  <c r="N130" i="3"/>
  <c r="L130" i="3"/>
  <c r="K130" i="3"/>
  <c r="J130" i="3"/>
  <c r="I130" i="3"/>
  <c r="O124" i="3"/>
  <c r="N124" i="3"/>
  <c r="L124" i="3"/>
  <c r="K124" i="3"/>
  <c r="J124" i="3"/>
  <c r="I124" i="3"/>
  <c r="O118" i="3"/>
  <c r="N118" i="3"/>
  <c r="L118" i="3"/>
  <c r="K118" i="3"/>
  <c r="J118" i="3"/>
  <c r="I118" i="3"/>
  <c r="O112" i="3"/>
  <c r="N112" i="3"/>
  <c r="L112" i="3"/>
  <c r="K112" i="3"/>
  <c r="J112" i="3"/>
  <c r="I112" i="3"/>
  <c r="O106" i="3"/>
  <c r="N106" i="3"/>
  <c r="L106" i="3"/>
  <c r="K106" i="3"/>
  <c r="J106" i="3"/>
  <c r="I106" i="3"/>
  <c r="P100" i="3"/>
  <c r="O100" i="3"/>
  <c r="N100" i="3"/>
  <c r="L100" i="3"/>
  <c r="K100" i="3"/>
  <c r="J100" i="3"/>
  <c r="I100" i="3"/>
  <c r="O94" i="3"/>
  <c r="N94" i="3"/>
  <c r="L94" i="3"/>
  <c r="K94" i="3"/>
  <c r="J94" i="3"/>
  <c r="I94" i="3"/>
  <c r="O88" i="3"/>
  <c r="N88" i="3"/>
  <c r="L88" i="3"/>
  <c r="K88" i="3"/>
  <c r="J88" i="3"/>
  <c r="I88" i="3"/>
  <c r="O86" i="3"/>
  <c r="N86" i="3"/>
  <c r="L86" i="3"/>
  <c r="K86" i="3"/>
  <c r="J86" i="3"/>
  <c r="I86" i="3"/>
  <c r="L80" i="3"/>
  <c r="O80" i="3"/>
  <c r="N80" i="3"/>
  <c r="K80" i="3"/>
  <c r="J80" i="3"/>
  <c r="I80" i="3"/>
  <c r="I82" i="3"/>
  <c r="L82" i="3"/>
  <c r="K82" i="3"/>
  <c r="J82" i="3"/>
  <c r="N82" i="3"/>
  <c r="O82" i="3"/>
  <c r="N78" i="3"/>
  <c r="P56" i="3"/>
  <c r="O55" i="3"/>
  <c r="O56" i="3" s="1"/>
  <c r="N55" i="3"/>
  <c r="N56" i="3" s="1"/>
  <c r="O52" i="3"/>
  <c r="O53" i="3" s="1"/>
  <c r="K78" i="3"/>
  <c r="I78" i="3"/>
  <c r="K55" i="3"/>
  <c r="K56" i="3" s="1"/>
  <c r="I55" i="3"/>
  <c r="I56" i="3"/>
  <c r="K53" i="3"/>
  <c r="I52" i="3"/>
  <c r="I53" i="3" s="1"/>
  <c r="G55" i="3"/>
  <c r="G56" i="3" s="1"/>
  <c r="F55" i="3"/>
  <c r="F56" i="3" s="1"/>
  <c r="E55" i="3"/>
  <c r="E56" i="3" s="1"/>
  <c r="D55" i="3"/>
  <c r="D56" i="3"/>
  <c r="G52" i="3"/>
  <c r="G53" i="3" s="1"/>
  <c r="F52" i="3"/>
  <c r="F53" i="3"/>
  <c r="E52" i="3"/>
  <c r="E53" i="3" s="1"/>
  <c r="D52" i="3"/>
  <c r="D53" i="3" s="1"/>
  <c r="P53" i="3"/>
  <c r="G365" i="3"/>
  <c r="F365" i="3"/>
  <c r="P368" i="3"/>
  <c r="P155" i="3"/>
  <c r="K171" i="3"/>
  <c r="K166" i="3" s="1"/>
  <c r="K157" i="3"/>
  <c r="O153" i="3"/>
  <c r="O140" i="3"/>
  <c r="N140" i="3"/>
  <c r="L140" i="3"/>
  <c r="K154" i="3"/>
  <c r="K149" i="3" s="1"/>
  <c r="K140" i="3"/>
  <c r="K153" i="3"/>
  <c r="J154" i="3"/>
  <c r="J155" i="3" s="1"/>
  <c r="I154" i="3"/>
  <c r="I155" i="3" s="1"/>
  <c r="G140" i="3"/>
  <c r="F154" i="3"/>
  <c r="F140" i="3"/>
  <c r="F153" i="3"/>
  <c r="E154" i="3"/>
  <c r="E149" i="3" s="1"/>
  <c r="E140" i="3"/>
  <c r="D78" i="3"/>
  <c r="D54" i="3"/>
  <c r="D71" i="3" s="1"/>
  <c r="L311" i="3"/>
  <c r="F368" i="3"/>
  <c r="L368" i="3"/>
  <c r="K368" i="3"/>
  <c r="K170" i="3"/>
  <c r="L78" i="3"/>
  <c r="J57" i="3"/>
  <c r="H347" i="3"/>
  <c r="H332" i="3"/>
  <c r="H344" i="3"/>
  <c r="H343" i="3"/>
  <c r="H348" i="3"/>
  <c r="H338" i="3"/>
  <c r="H337" i="3"/>
  <c r="H323" i="3"/>
  <c r="H324" i="3"/>
  <c r="H331" i="3"/>
  <c r="H326" i="3"/>
  <c r="H333" i="3"/>
  <c r="H327" i="3"/>
  <c r="G54" i="3"/>
  <c r="N47" i="3"/>
  <c r="O47" i="3"/>
  <c r="P47" i="3"/>
  <c r="K47" i="3"/>
  <c r="J47" i="3"/>
  <c r="I47" i="3"/>
  <c r="M46" i="3"/>
  <c r="H46" i="3"/>
  <c r="M47" i="3" s="1"/>
  <c r="H37" i="3"/>
  <c r="H33" i="3"/>
  <c r="H34" i="3"/>
  <c r="H23" i="3"/>
  <c r="H22" i="3"/>
  <c r="H21" i="3"/>
  <c r="H20" i="3"/>
  <c r="H19" i="3"/>
  <c r="H18" i="3"/>
  <c r="H17" i="3"/>
  <c r="H16" i="3"/>
  <c r="H15" i="3"/>
  <c r="E183" i="3"/>
  <c r="E188" i="3" s="1"/>
  <c r="I24" i="3"/>
  <c r="I25" i="3" s="1"/>
  <c r="I223" i="3" s="1"/>
  <c r="J24" i="3"/>
  <c r="K24" i="3"/>
  <c r="K25" i="3" s="1"/>
  <c r="L24" i="3"/>
  <c r="L25" i="3" s="1"/>
  <c r="L223" i="3" s="1"/>
  <c r="N24" i="3"/>
  <c r="O24" i="3"/>
  <c r="P60" i="3"/>
  <c r="P64" i="3" s="1"/>
  <c r="H322" i="3"/>
  <c r="Q311" i="3"/>
  <c r="K155" i="3"/>
  <c r="K172" i="3"/>
  <c r="O157" i="3"/>
  <c r="N157" i="3"/>
  <c r="M226" i="3"/>
  <c r="M228" i="3"/>
  <c r="M227" i="3"/>
  <c r="Q187" i="3"/>
  <c r="O25" i="3"/>
  <c r="J25" i="3"/>
  <c r="N25" i="3"/>
  <c r="N223" i="3" s="1"/>
  <c r="N183" i="3"/>
  <c r="G223" i="3"/>
  <c r="G183" i="3"/>
  <c r="D72" i="3"/>
  <c r="Q140" i="3"/>
  <c r="D27" i="3"/>
  <c r="D223" i="3"/>
  <c r="F223" i="3"/>
  <c r="N27" i="3"/>
  <c r="G27" i="3"/>
  <c r="G224" i="3" s="1"/>
  <c r="L171" i="3"/>
  <c r="L157" i="3"/>
  <c r="G171" i="3"/>
  <c r="G157" i="3"/>
  <c r="F157" i="3"/>
  <c r="D171" i="3"/>
  <c r="D172" i="3" s="1"/>
  <c r="D157" i="3"/>
  <c r="I35" i="3"/>
  <c r="L170" i="3"/>
  <c r="D170" i="3"/>
  <c r="G170" i="3"/>
  <c r="Q53" i="3"/>
  <c r="G40" i="3"/>
  <c r="G45" i="3" s="1"/>
  <c r="D224" i="3"/>
  <c r="Q56" i="3"/>
  <c r="D229" i="3"/>
  <c r="G229" i="3"/>
  <c r="F229" i="3"/>
  <c r="S56" i="3"/>
  <c r="S53" i="3"/>
  <c r="Q157" i="3"/>
  <c r="Q171" i="3"/>
  <c r="Q166" i="3" s="1"/>
  <c r="T56" i="3"/>
  <c r="O307" i="3"/>
  <c r="O222" i="3"/>
  <c r="N222" i="3"/>
  <c r="L222" i="3"/>
  <c r="K222" i="3"/>
  <c r="I222" i="3"/>
  <c r="R283" i="3"/>
  <c r="N366" i="3"/>
  <c r="I366" i="3"/>
  <c r="N307" i="3"/>
  <c r="N308" i="3" s="1"/>
  <c r="N304" i="3"/>
  <c r="L307" i="3"/>
  <c r="L303" i="3"/>
  <c r="K307" i="3"/>
  <c r="K308" i="3" s="1"/>
  <c r="K303" i="3"/>
  <c r="K304" i="3" s="1"/>
  <c r="K237" i="3"/>
  <c r="I237" i="3"/>
  <c r="I233" i="3" s="1"/>
  <c r="J307" i="3"/>
  <c r="J308" i="3" s="1"/>
  <c r="J303" i="3"/>
  <c r="J304" i="3" s="1"/>
  <c r="P308" i="3"/>
  <c r="G303" i="3"/>
  <c r="G304" i="3" s="1"/>
  <c r="N233" i="3"/>
  <c r="F303" i="3"/>
  <c r="F304" i="3" s="1"/>
  <c r="F237" i="3"/>
  <c r="D304" i="3"/>
  <c r="E286" i="3"/>
  <c r="F286" i="3" s="1"/>
  <c r="G286" i="3" s="1"/>
  <c r="H286" i="3" s="1"/>
  <c r="I286" i="3" s="1"/>
  <c r="J286" i="3" s="1"/>
  <c r="K286" i="3" s="1"/>
  <c r="L286" i="3" s="1"/>
  <c r="M286" i="3" s="1"/>
  <c r="N286" i="3" s="1"/>
  <c r="O286" i="3" s="1"/>
  <c r="P286" i="3" s="1"/>
  <c r="Q286" i="3" s="1"/>
  <c r="R286" i="3" s="1"/>
  <c r="S286" i="3" s="1"/>
  <c r="T286" i="3" s="1"/>
  <c r="U286" i="3" s="1"/>
  <c r="V286" i="3" s="1"/>
  <c r="W286" i="3" s="1"/>
  <c r="X286" i="3" s="1"/>
  <c r="Y286" i="3" s="1"/>
  <c r="Z286" i="3" s="1"/>
  <c r="AA286" i="3" s="1"/>
  <c r="AB286" i="3" s="1"/>
  <c r="AC286" i="3" s="1"/>
  <c r="AD286" i="3" s="1"/>
  <c r="AE286" i="3" s="1"/>
  <c r="AF286" i="3" s="1"/>
  <c r="AG286" i="3" s="1"/>
  <c r="AH286" i="3" s="1"/>
  <c r="AI286" i="3" s="1"/>
  <c r="AJ286" i="3" s="1"/>
  <c r="AK286" i="3" s="1"/>
  <c r="AL286" i="3" s="1"/>
  <c r="AM286" i="3" s="1"/>
  <c r="AN286" i="3" s="1"/>
  <c r="AO286" i="3" s="1"/>
  <c r="AP286" i="3" s="1"/>
  <c r="AQ286" i="3" s="1"/>
  <c r="J237" i="3"/>
  <c r="J234" i="3" s="1"/>
  <c r="D237" i="3"/>
  <c r="E237" i="3"/>
  <c r="J261" i="3"/>
  <c r="K261" i="3" s="1"/>
  <c r="L261" i="3" s="1"/>
  <c r="M261" i="3" s="1"/>
  <c r="N261" i="3" s="1"/>
  <c r="R261" i="3"/>
  <c r="M268" i="3"/>
  <c r="M288" i="3"/>
  <c r="M275" i="3"/>
  <c r="M267" i="3"/>
  <c r="M359" i="3"/>
  <c r="M262" i="3"/>
  <c r="M264" i="3"/>
  <c r="M266" i="3" s="1"/>
  <c r="I339" i="3"/>
  <c r="M259" i="3"/>
  <c r="M274" i="3"/>
  <c r="M276" i="3" s="1"/>
  <c r="N339" i="3"/>
  <c r="M290" i="3"/>
  <c r="P222" i="3"/>
  <c r="Z308" i="3"/>
  <c r="O308" i="3"/>
  <c r="T53" i="3"/>
  <c r="S66" i="3"/>
  <c r="N311" i="3"/>
  <c r="M231" i="3"/>
  <c r="F233" i="3"/>
  <c r="D234" i="3"/>
  <c r="D233" i="3"/>
  <c r="R280" i="3"/>
  <c r="R275" i="3"/>
  <c r="R268" i="3"/>
  <c r="R262" i="3"/>
  <c r="O298" i="3"/>
  <c r="O366" i="3"/>
  <c r="J339" i="3"/>
  <c r="F234" i="3"/>
  <c r="F284" i="3"/>
  <c r="F298" i="3" s="1"/>
  <c r="I234" i="3"/>
  <c r="H13" i="3"/>
  <c r="E223" i="3"/>
  <c r="O339" i="3"/>
  <c r="I284" i="3"/>
  <c r="I298" i="3" s="1"/>
  <c r="D298" i="3"/>
  <c r="L366" i="3"/>
  <c r="L304" i="3"/>
  <c r="J366" i="3"/>
  <c r="K234" i="3"/>
  <c r="K233" i="3"/>
  <c r="L308" i="3"/>
  <c r="N234" i="3"/>
  <c r="E304" i="3"/>
  <c r="E366" i="3"/>
  <c r="J222" i="3"/>
  <c r="AJ308" i="3"/>
  <c r="W268" i="3"/>
  <c r="S228" i="3"/>
  <c r="D36" i="3"/>
  <c r="K366" i="3"/>
  <c r="F44" i="3"/>
  <c r="F43" i="3"/>
  <c r="P339" i="3"/>
  <c r="L339" i="3"/>
  <c r="K339" i="3"/>
  <c r="F366" i="3"/>
  <c r="F36" i="3"/>
  <c r="F8" i="31"/>
  <c r="E21" i="31"/>
  <c r="E34" i="31" s="1"/>
  <c r="E224" i="3"/>
  <c r="E229" i="3"/>
  <c r="D44" i="3"/>
  <c r="D43" i="3"/>
  <c r="G43" i="3"/>
  <c r="G44" i="3"/>
  <c r="G36" i="3"/>
  <c r="G366" i="3"/>
  <c r="F16" i="31"/>
  <c r="G16" i="31" s="1"/>
  <c r="E29" i="31"/>
  <c r="E42" i="31" s="1"/>
  <c r="J21" i="31"/>
  <c r="W283" i="3"/>
  <c r="H341" i="3"/>
  <c r="D42" i="31"/>
  <c r="E43" i="3"/>
  <c r="E44" i="3"/>
  <c r="S186" i="3"/>
  <c r="R260" i="3"/>
  <c r="R265" i="3"/>
  <c r="R264" i="3"/>
  <c r="V308" i="3"/>
  <c r="T171" i="3"/>
  <c r="T172" i="3" s="1"/>
  <c r="Q266" i="3"/>
  <c r="S266" i="3"/>
  <c r="T266" i="3"/>
  <c r="D258" i="3"/>
  <c r="U266" i="3"/>
  <c r="S222" i="3"/>
  <c r="R259" i="3"/>
  <c r="T222" i="3"/>
  <c r="R288" i="3"/>
  <c r="U222" i="3"/>
  <c r="W288" i="3"/>
  <c r="R46" i="3"/>
  <c r="R47" i="3"/>
  <c r="P276" i="3"/>
  <c r="P284" i="3" s="1"/>
  <c r="P298" i="3" s="1"/>
  <c r="R273" i="3"/>
  <c r="Q24" i="3"/>
  <c r="T227" i="3"/>
  <c r="S154" i="3"/>
  <c r="S155" i="3" s="1"/>
  <c r="R274" i="3"/>
  <c r="R276" i="3" s="1"/>
  <c r="U227" i="3"/>
  <c r="S226" i="3"/>
  <c r="S227" i="3"/>
  <c r="T226" i="3"/>
  <c r="S223" i="3"/>
  <c r="U226" i="3"/>
  <c r="R290" i="3"/>
  <c r="Q276" i="3"/>
  <c r="Q284" i="3" s="1"/>
  <c r="Q298" i="3" s="1"/>
  <c r="R271" i="3"/>
  <c r="R359" i="3"/>
  <c r="L236" i="3"/>
  <c r="R236" i="3"/>
  <c r="O234" i="3"/>
  <c r="O233" i="3"/>
  <c r="O236" i="3"/>
  <c r="Q236" i="3" s="1"/>
  <c r="Q235" i="3" s="1"/>
  <c r="W237" i="3"/>
  <c r="W296" i="3"/>
  <c r="Q297" i="3"/>
  <c r="Q312" i="3"/>
  <c r="S229" i="3"/>
  <c r="S44" i="3"/>
  <c r="S43" i="3"/>
  <c r="S312" i="3"/>
  <c r="S359" i="3"/>
  <c r="S276" i="3"/>
  <c r="S284" i="3" s="1"/>
  <c r="S298" i="3"/>
  <c r="S36" i="3"/>
  <c r="S67" i="3"/>
  <c r="S187" i="3"/>
  <c r="S183" i="3"/>
  <c r="S188" i="3" s="1"/>
  <c r="T228" i="3"/>
  <c r="T187" i="3"/>
  <c r="U228" i="3"/>
  <c r="T276" i="3"/>
  <c r="T284" i="3" s="1"/>
  <c r="T298" i="3" s="1"/>
  <c r="U284" i="3"/>
  <c r="U298" i="3" s="1"/>
  <c r="U359" i="3"/>
  <c r="W46" i="3"/>
  <c r="W47" i="3"/>
  <c r="T47" i="3"/>
  <c r="AB46" i="3"/>
  <c r="AB250" i="3" l="1"/>
  <c r="W250" i="3"/>
  <c r="AQ325" i="3"/>
  <c r="W325" i="3"/>
  <c r="D358" i="3"/>
  <c r="D360" i="3" s="1"/>
  <c r="D263" i="3"/>
  <c r="D269" i="3" s="1"/>
  <c r="N170" i="3"/>
  <c r="N171" i="3"/>
  <c r="N166" i="3" s="1"/>
  <c r="Q149" i="3"/>
  <c r="Q155" i="3"/>
  <c r="R284" i="3"/>
  <c r="H222" i="3"/>
  <c r="H227" i="3"/>
  <c r="E233" i="3"/>
  <c r="E234" i="3"/>
  <c r="I165" i="3"/>
  <c r="N159" i="3"/>
  <c r="I159" i="3"/>
  <c r="H211" i="3"/>
  <c r="N188" i="3"/>
  <c r="I183" i="3"/>
  <c r="I188" i="3" s="1"/>
  <c r="L153" i="3"/>
  <c r="J170" i="3"/>
  <c r="O171" i="3"/>
  <c r="O170" i="3"/>
  <c r="N312" i="3"/>
  <c r="N298" i="3"/>
  <c r="H198" i="3"/>
  <c r="H199" i="3" s="1"/>
  <c r="G199" i="3" s="1"/>
  <c r="H200" i="3"/>
  <c r="H201" i="3" s="1"/>
  <c r="O78" i="3"/>
  <c r="O54" i="3"/>
  <c r="O185" i="3" s="1"/>
  <c r="G154" i="3"/>
  <c r="G155" i="3" s="1"/>
  <c r="G153" i="3"/>
  <c r="AB243" i="3"/>
  <c r="Y74" i="3"/>
  <c r="P27" i="3"/>
  <c r="P224" i="3" s="1"/>
  <c r="P35" i="3"/>
  <c r="P36" i="3" s="1"/>
  <c r="G172" i="3"/>
  <c r="G166" i="3"/>
  <c r="G60" i="3"/>
  <c r="G64" i="3" s="1"/>
  <c r="G185" i="3"/>
  <c r="Q205" i="3"/>
  <c r="H321" i="3"/>
  <c r="H325" i="3"/>
  <c r="H345" i="3"/>
  <c r="H350" i="3"/>
  <c r="L199" i="3"/>
  <c r="K54" i="3"/>
  <c r="D40" i="3"/>
  <c r="D45" i="3" s="1"/>
  <c r="M39" i="3"/>
  <c r="AL243" i="3"/>
  <c r="AI74" i="3"/>
  <c r="AK209" i="3"/>
  <c r="AL209" i="3" s="1"/>
  <c r="AL325" i="3"/>
  <c r="AF209" i="3"/>
  <c r="AG209" i="3" s="1"/>
  <c r="Y307" i="3"/>
  <c r="AD307" i="3" s="1"/>
  <c r="T308" i="3"/>
  <c r="U159" i="3"/>
  <c r="P159" i="3"/>
  <c r="P165" i="3"/>
  <c r="V93" i="3"/>
  <c r="Q233" i="3"/>
  <c r="Q234" i="3"/>
  <c r="F342" i="3"/>
  <c r="G342" i="3" s="1"/>
  <c r="G349" i="3" s="1"/>
  <c r="E349" i="3"/>
  <c r="AB47" i="3"/>
  <c r="S171" i="3"/>
  <c r="S172" i="3" s="1"/>
  <c r="E36" i="3"/>
  <c r="AE308" i="3"/>
  <c r="J165" i="3"/>
  <c r="AI304" i="3"/>
  <c r="N57" i="3"/>
  <c r="N71" i="3" s="1"/>
  <c r="F57" i="3"/>
  <c r="F60" i="3" s="1"/>
  <c r="F64" i="3" s="1"/>
  <c r="AG281" i="3"/>
  <c r="N35" i="3"/>
  <c r="V74" i="3"/>
  <c r="P75" i="3"/>
  <c r="P76" i="3" s="1"/>
  <c r="AH307" i="3"/>
  <c r="AA207" i="3"/>
  <c r="X262" i="3"/>
  <c r="X324" i="3"/>
  <c r="Y278" i="3"/>
  <c r="R199" i="3"/>
  <c r="Q199" i="3" s="1"/>
  <c r="W198" i="3"/>
  <c r="AB198" i="3" s="1"/>
  <c r="AG198" i="3" s="1"/>
  <c r="AL198" i="3" s="1"/>
  <c r="AQ198" i="3" s="1"/>
  <c r="U346" i="3"/>
  <c r="W346" i="3"/>
  <c r="R34" i="3"/>
  <c r="G334" i="3"/>
  <c r="P323" i="3"/>
  <c r="T146" i="3"/>
  <c r="X146" i="3" s="1"/>
  <c r="T148" i="3"/>
  <c r="P71" i="3"/>
  <c r="S159" i="3"/>
  <c r="G237" i="3"/>
  <c r="X308" i="3"/>
  <c r="Q172" i="3"/>
  <c r="H330" i="3"/>
  <c r="H342" i="3"/>
  <c r="H349" i="3" s="1"/>
  <c r="H346" i="3"/>
  <c r="P78" i="3"/>
  <c r="E311" i="3"/>
  <c r="J298" i="3"/>
  <c r="W211" i="3"/>
  <c r="W262" i="3"/>
  <c r="M211" i="3"/>
  <c r="AL281" i="3"/>
  <c r="AG282" i="3"/>
  <c r="W236" i="3"/>
  <c r="AB33" i="3"/>
  <c r="AG46" i="3"/>
  <c r="AG47" i="3" s="1"/>
  <c r="Y240" i="3"/>
  <c r="Y244" i="3"/>
  <c r="Z229" i="3"/>
  <c r="Y246" i="3"/>
  <c r="Y252" i="3"/>
  <c r="V338" i="3"/>
  <c r="W338" i="3" s="1"/>
  <c r="X267" i="3"/>
  <c r="X32" i="3"/>
  <c r="W32" i="3"/>
  <c r="U324" i="3"/>
  <c r="W324" i="3"/>
  <c r="M23" i="3"/>
  <c r="M24" i="3" s="1"/>
  <c r="M25" i="3" s="1"/>
  <c r="Q153" i="3"/>
  <c r="AF153" i="3" s="1"/>
  <c r="AK153" i="3" s="1"/>
  <c r="U304" i="3"/>
  <c r="Z303" i="3"/>
  <c r="AC283" i="3"/>
  <c r="AD283" i="3" s="1"/>
  <c r="AE283" i="3" s="1"/>
  <c r="AF283" i="3" s="1"/>
  <c r="V211" i="3"/>
  <c r="T339" i="3"/>
  <c r="U25" i="3"/>
  <c r="U223" i="3" s="1"/>
  <c r="V59" i="3"/>
  <c r="AP209" i="3"/>
  <c r="AQ209" i="3" s="1"/>
  <c r="W193" i="3"/>
  <c r="AB193" i="3" s="1"/>
  <c r="AG193" i="3" s="1"/>
  <c r="AL193" i="3" s="1"/>
  <c r="V305" i="3"/>
  <c r="X305" i="3" s="1"/>
  <c r="Y305" i="3" s="1"/>
  <c r="Z305" i="3" s="1"/>
  <c r="AA305" i="3" s="1"/>
  <c r="AC305" i="3" s="1"/>
  <c r="AD305" i="3" s="1"/>
  <c r="AE305" i="3" s="1"/>
  <c r="AF305" i="3" s="1"/>
  <c r="AH305" i="3" s="1"/>
  <c r="AI305" i="3" s="1"/>
  <c r="AJ305" i="3" s="1"/>
  <c r="AK305" i="3" s="1"/>
  <c r="AM305" i="3" s="1"/>
  <c r="AN305" i="3" s="1"/>
  <c r="AO305" i="3" s="1"/>
  <c r="AP305" i="3" s="1"/>
  <c r="S351" i="3"/>
  <c r="V99" i="3"/>
  <c r="X313" i="3"/>
  <c r="Y313" i="3" s="1"/>
  <c r="Z313" i="3" s="1"/>
  <c r="AA313" i="3" s="1"/>
  <c r="AC313" i="3" s="1"/>
  <c r="AD313" i="3" s="1"/>
  <c r="AE313" i="3" s="1"/>
  <c r="AF313" i="3" s="1"/>
  <c r="AH313" i="3" s="1"/>
  <c r="AI313" i="3" s="1"/>
  <c r="AJ313" i="3" s="1"/>
  <c r="AK313" i="3" s="1"/>
  <c r="AM313" i="3" s="1"/>
  <c r="AN313" i="3" s="1"/>
  <c r="AO313" i="3" s="1"/>
  <c r="AP313" i="3" s="1"/>
  <c r="M34" i="3"/>
  <c r="F349" i="3"/>
  <c r="Q57" i="3"/>
  <c r="U336" i="3"/>
  <c r="E42" i="37"/>
  <c r="V111" i="3"/>
  <c r="V97" i="3"/>
  <c r="J16" i="29"/>
  <c r="K16" i="29" s="1"/>
  <c r="J8" i="29"/>
  <c r="K8" i="29" s="1"/>
  <c r="J13" i="29"/>
  <c r="K13" i="29" s="1"/>
  <c r="J9" i="29"/>
  <c r="K9" i="29" s="1"/>
  <c r="J5" i="29"/>
  <c r="K5" i="29" s="1"/>
  <c r="J10" i="29"/>
  <c r="K10" i="29" s="1"/>
  <c r="J14" i="29"/>
  <c r="K14" i="29" s="1"/>
  <c r="J6" i="29"/>
  <c r="K6" i="29" s="1"/>
  <c r="J15" i="29"/>
  <c r="K15" i="29" s="1"/>
  <c r="J11" i="29"/>
  <c r="K11" i="29" s="1"/>
  <c r="J7" i="29"/>
  <c r="K7" i="29" s="1"/>
  <c r="Z177" i="3"/>
  <c r="V160" i="3"/>
  <c r="S311" i="3"/>
  <c r="R266" i="3"/>
  <c r="I38" i="3"/>
  <c r="I229" i="3"/>
  <c r="I36" i="3"/>
  <c r="N172" i="3"/>
  <c r="K223" i="3"/>
  <c r="K35" i="3"/>
  <c r="K27" i="3"/>
  <c r="J186" i="3"/>
  <c r="J183" i="3"/>
  <c r="J188" i="3" s="1"/>
  <c r="R297" i="3"/>
  <c r="R298" i="3" s="1"/>
  <c r="AC268" i="3"/>
  <c r="AD268" i="3" s="1"/>
  <c r="AE268" i="3" s="1"/>
  <c r="AF268" i="3" s="1"/>
  <c r="AB268" i="3"/>
  <c r="G149" i="3"/>
  <c r="P229" i="3"/>
  <c r="P38" i="3"/>
  <c r="K183" i="3"/>
  <c r="K188" i="3" s="1"/>
  <c r="O71" i="3"/>
  <c r="O72" i="3"/>
  <c r="O189" i="3" s="1"/>
  <c r="L188" i="3"/>
  <c r="T186" i="3"/>
  <c r="AH22" i="3"/>
  <c r="D299" i="3"/>
  <c r="M222" i="3"/>
  <c r="J233" i="3"/>
  <c r="L237" i="3"/>
  <c r="D166" i="3"/>
  <c r="E155" i="3"/>
  <c r="AL282" i="3"/>
  <c r="AM282" i="3"/>
  <c r="AN282" i="3" s="1"/>
  <c r="AO282" i="3" s="1"/>
  <c r="AP282" i="3" s="1"/>
  <c r="AQ282" i="3" s="1"/>
  <c r="AP46" i="3"/>
  <c r="L166" i="3"/>
  <c r="L172" i="3"/>
  <c r="D73" i="3"/>
  <c r="J223" i="3"/>
  <c r="J35" i="3"/>
  <c r="AJ46" i="3"/>
  <c r="M331" i="3"/>
  <c r="L331" i="3"/>
  <c r="L326" i="3"/>
  <c r="M326" i="3" s="1"/>
  <c r="M322" i="3"/>
  <c r="L322" i="3"/>
  <c r="L365" i="3" s="1"/>
  <c r="N224" i="3"/>
  <c r="N40" i="3"/>
  <c r="N45" i="3" s="1"/>
  <c r="J27" i="3"/>
  <c r="O27" i="3"/>
  <c r="O223" i="3"/>
  <c r="O35" i="3"/>
  <c r="L183" i="3"/>
  <c r="L187" i="3"/>
  <c r="M293" i="3"/>
  <c r="M295" i="3" s="1"/>
  <c r="M297" i="3" s="1"/>
  <c r="E157" i="3"/>
  <c r="E171" i="3"/>
  <c r="E170" i="3"/>
  <c r="Q186" i="3"/>
  <c r="Q183" i="3"/>
  <c r="Q188" i="3" s="1"/>
  <c r="F224" i="3"/>
  <c r="F40" i="3"/>
  <c r="F45" i="3" s="1"/>
  <c r="S40" i="3"/>
  <c r="S45" i="3" s="1"/>
  <c r="S224" i="3"/>
  <c r="J34" i="31"/>
  <c r="K185" i="3"/>
  <c r="D60" i="3"/>
  <c r="D64" i="3" s="1"/>
  <c r="D185" i="3"/>
  <c r="F149" i="3"/>
  <c r="F155" i="3"/>
  <c r="I149" i="3"/>
  <c r="D34" i="31"/>
  <c r="G8" i="31"/>
  <c r="M284" i="3"/>
  <c r="O183" i="3"/>
  <c r="O188" i="3" s="1"/>
  <c r="H226" i="3"/>
  <c r="H24" i="3"/>
  <c r="H25" i="3" s="1"/>
  <c r="H228" i="3"/>
  <c r="H47" i="3"/>
  <c r="J149" i="3"/>
  <c r="E298" i="3"/>
  <c r="I311" i="3"/>
  <c r="H276" i="3"/>
  <c r="H284" i="3" s="1"/>
  <c r="H298" i="3" s="1"/>
  <c r="J312" i="3"/>
  <c r="P40" i="3"/>
  <c r="P45" i="3" s="1"/>
  <c r="P183" i="3"/>
  <c r="P188" i="3" s="1"/>
  <c r="F186" i="3"/>
  <c r="F183" i="3"/>
  <c r="F188" i="3" s="1"/>
  <c r="M200" i="3"/>
  <c r="M201" i="3" s="1"/>
  <c r="I54" i="3"/>
  <c r="O60" i="3"/>
  <c r="O64" i="3" s="1"/>
  <c r="D153" i="3"/>
  <c r="D154" i="3"/>
  <c r="I153" i="3"/>
  <c r="I140" i="3"/>
  <c r="N153" i="3"/>
  <c r="N154" i="3"/>
  <c r="F171" i="3"/>
  <c r="F170" i="3"/>
  <c r="D187" i="3"/>
  <c r="D183" i="3"/>
  <c r="D188" i="3" s="1"/>
  <c r="E40" i="3"/>
  <c r="E45" i="3" s="1"/>
  <c r="N38" i="3"/>
  <c r="N36" i="3"/>
  <c r="N229" i="3"/>
  <c r="AQ243" i="3"/>
  <c r="AO74" i="3"/>
  <c r="X160" i="3"/>
  <c r="Y161" i="3"/>
  <c r="L27" i="3"/>
  <c r="L35" i="3"/>
  <c r="I27" i="3"/>
  <c r="G72" i="3"/>
  <c r="G71" i="3"/>
  <c r="G188" i="3"/>
  <c r="L54" i="3"/>
  <c r="E54" i="3"/>
  <c r="J54" i="3"/>
  <c r="J153" i="3"/>
  <c r="J140" i="3"/>
  <c r="O155" i="3"/>
  <c r="O149" i="3"/>
  <c r="AG243" i="3"/>
  <c r="AE74" i="3"/>
  <c r="C397" i="3"/>
  <c r="AM303" i="3"/>
  <c r="AM304" i="3" s="1"/>
  <c r="AH304" i="3"/>
  <c r="AE326" i="3"/>
  <c r="AC288" i="3"/>
  <c r="AD288" i="3" s="1"/>
  <c r="AE288" i="3" s="1"/>
  <c r="AF288" i="3" s="1"/>
  <c r="AB288" i="3"/>
  <c r="L155" i="3"/>
  <c r="AN46" i="3"/>
  <c r="AE33" i="3"/>
  <c r="AF33" i="3" s="1"/>
  <c r="AH33" i="3" s="1"/>
  <c r="AG33" i="3"/>
  <c r="AL213" i="3"/>
  <c r="AG218" i="3"/>
  <c r="AF207" i="3" s="1"/>
  <c r="AN326" i="3"/>
  <c r="AP170" i="3"/>
  <c r="AH153" i="3"/>
  <c r="AO170" i="3"/>
  <c r="V22" i="3"/>
  <c r="V251" i="3"/>
  <c r="AN170" i="3"/>
  <c r="AM170" i="3"/>
  <c r="V322" i="3"/>
  <c r="W322" i="3" s="1"/>
  <c r="X365" i="3"/>
  <c r="Q336" i="3"/>
  <c r="R336" i="3" s="1"/>
  <c r="X237" i="3"/>
  <c r="X346" i="3"/>
  <c r="X296" i="3"/>
  <c r="Y236" i="3"/>
  <c r="R330" i="3"/>
  <c r="Q330" i="3"/>
  <c r="Q325" i="3"/>
  <c r="R325" i="3" s="1"/>
  <c r="T54" i="3"/>
  <c r="Q338" i="3"/>
  <c r="R338" i="3"/>
  <c r="L333" i="3"/>
  <c r="M333" i="3" s="1"/>
  <c r="L329" i="3"/>
  <c r="M329" i="3" s="1"/>
  <c r="L324" i="3"/>
  <c r="M324" i="3" s="1"/>
  <c r="X39" i="3"/>
  <c r="X314" i="3"/>
  <c r="Y314" i="3" s="1"/>
  <c r="Z314" i="3" s="1"/>
  <c r="AA314" i="3" s="1"/>
  <c r="AC314" i="3" s="1"/>
  <c r="AD314" i="3" s="1"/>
  <c r="AE314" i="3" s="1"/>
  <c r="AF314" i="3" s="1"/>
  <c r="AH314" i="3" s="1"/>
  <c r="AI314" i="3" s="1"/>
  <c r="AJ314" i="3" s="1"/>
  <c r="AK314" i="3" s="1"/>
  <c r="AM314" i="3" s="1"/>
  <c r="AN314" i="3" s="1"/>
  <c r="AO314" i="3" s="1"/>
  <c r="AP314" i="3" s="1"/>
  <c r="W292" i="3"/>
  <c r="R200" i="3"/>
  <c r="W192" i="3"/>
  <c r="V29" i="3"/>
  <c r="X231" i="3"/>
  <c r="Y231" i="3" s="1"/>
  <c r="Z231" i="3" s="1"/>
  <c r="AA231" i="3" s="1"/>
  <c r="AC231" i="3" s="1"/>
  <c r="AD231" i="3" s="1"/>
  <c r="AE231" i="3" s="1"/>
  <c r="AF231" i="3" s="1"/>
  <c r="AH231" i="3" s="1"/>
  <c r="AI231" i="3" s="1"/>
  <c r="AJ231" i="3" s="1"/>
  <c r="AK231" i="3" s="1"/>
  <c r="AM231" i="3" s="1"/>
  <c r="AN231" i="3" s="1"/>
  <c r="AO231" i="3" s="1"/>
  <c r="AP231" i="3" s="1"/>
  <c r="Q332" i="3"/>
  <c r="R332" i="3" s="1"/>
  <c r="R327" i="3"/>
  <c r="Q327" i="3"/>
  <c r="L347" i="3"/>
  <c r="M347" i="3"/>
  <c r="L345" i="3"/>
  <c r="M345" i="3" s="1"/>
  <c r="L343" i="3"/>
  <c r="M343" i="3"/>
  <c r="L341" i="3"/>
  <c r="M341" i="3" s="1"/>
  <c r="R24" i="3"/>
  <c r="R337" i="3"/>
  <c r="R346" i="3"/>
  <c r="R344" i="3"/>
  <c r="R342" i="3"/>
  <c r="L350" i="3"/>
  <c r="M350" i="3"/>
  <c r="M337" i="3"/>
  <c r="F334" i="3"/>
  <c r="V118" i="3"/>
  <c r="U234" i="3"/>
  <c r="U233" i="3"/>
  <c r="T326" i="3"/>
  <c r="T24" i="3"/>
  <c r="U342" i="3"/>
  <c r="U349" i="3" s="1"/>
  <c r="T349" i="3"/>
  <c r="R333" i="3"/>
  <c r="R331" i="3"/>
  <c r="R329" i="3"/>
  <c r="R326" i="3"/>
  <c r="R324" i="3"/>
  <c r="P348" i="3"/>
  <c r="M332" i="3"/>
  <c r="M330" i="3"/>
  <c r="M327" i="3"/>
  <c r="M325" i="3"/>
  <c r="M323" i="3"/>
  <c r="M321" i="3"/>
  <c r="K348" i="3"/>
  <c r="L346" i="3"/>
  <c r="M346" i="3" s="1"/>
  <c r="L344" i="3"/>
  <c r="M344" i="3" s="1"/>
  <c r="L342" i="3"/>
  <c r="M342" i="3" s="1"/>
  <c r="F339" i="3"/>
  <c r="G336" i="3"/>
  <c r="X59" i="3"/>
  <c r="V58" i="3"/>
  <c r="Q350" i="3"/>
  <c r="R350" i="3" s="1"/>
  <c r="R345" i="3"/>
  <c r="R343" i="3"/>
  <c r="R341" i="3"/>
  <c r="M338" i="3"/>
  <c r="M336" i="3"/>
  <c r="X175" i="3"/>
  <c r="V174" i="3"/>
  <c r="U138" i="3"/>
  <c r="U107" i="3"/>
  <c r="V116" i="3"/>
  <c r="V79" i="3"/>
  <c r="E334" i="3"/>
  <c r="Q54" i="3"/>
  <c r="U83" i="3"/>
  <c r="U52" i="3"/>
  <c r="S54" i="3"/>
  <c r="V144" i="3"/>
  <c r="V133" i="3"/>
  <c r="V103" i="3"/>
  <c r="V181" i="3"/>
  <c r="X181" i="3" s="1"/>
  <c r="Y181" i="3" s="1"/>
  <c r="Z181" i="3" s="1"/>
  <c r="AA181" i="3" s="1"/>
  <c r="AC181" i="3" s="1"/>
  <c r="AD181" i="3" s="1"/>
  <c r="AE181" i="3" s="1"/>
  <c r="AF181" i="3" s="1"/>
  <c r="AH181" i="3" s="1"/>
  <c r="AI181" i="3" s="1"/>
  <c r="AJ181" i="3" s="1"/>
  <c r="AK181" i="3" s="1"/>
  <c r="AM181" i="3" s="1"/>
  <c r="AN181" i="3" s="1"/>
  <c r="AO181" i="3" s="1"/>
  <c r="AP181" i="3" s="1"/>
  <c r="U323" i="3"/>
  <c r="T368" i="3"/>
  <c r="M35" i="3" l="1"/>
  <c r="M223" i="3"/>
  <c r="M27" i="3"/>
  <c r="M224" i="3" s="1"/>
  <c r="AC262" i="3"/>
  <c r="AD262" i="3" s="1"/>
  <c r="P170" i="3"/>
  <c r="P157" i="3"/>
  <c r="P171" i="3"/>
  <c r="I171" i="3"/>
  <c r="I157" i="3"/>
  <c r="I170" i="3"/>
  <c r="AB32" i="3"/>
  <c r="Y32" i="3"/>
  <c r="Z32" i="3" s="1"/>
  <c r="AA32" i="3" s="1"/>
  <c r="AC32" i="3" s="1"/>
  <c r="AD32" i="3" s="1"/>
  <c r="AE32" i="3" s="1"/>
  <c r="AF32" i="3" s="1"/>
  <c r="AH32" i="3" s="1"/>
  <c r="Z262" i="3"/>
  <c r="AA262" i="3" s="1"/>
  <c r="AB262" i="3" s="1"/>
  <c r="F71" i="3"/>
  <c r="Y267" i="3"/>
  <c r="X338" i="3"/>
  <c r="Z252" i="3"/>
  <c r="AA229" i="3"/>
  <c r="Z246" i="3"/>
  <c r="Z240" i="3"/>
  <c r="Z244" i="3"/>
  <c r="G234" i="3"/>
  <c r="G235" i="3"/>
  <c r="G233" i="3"/>
  <c r="X145" i="3"/>
  <c r="Y146" i="3"/>
  <c r="U27" i="3"/>
  <c r="Y262" i="3"/>
  <c r="K71" i="3"/>
  <c r="K72" i="3"/>
  <c r="N72" i="3"/>
  <c r="F351" i="3"/>
  <c r="V199" i="3"/>
  <c r="V293" i="3" s="1"/>
  <c r="W293" i="3" s="1"/>
  <c r="N60" i="3"/>
  <c r="N64" i="3" s="1"/>
  <c r="F72" i="3"/>
  <c r="F189" i="3" s="1"/>
  <c r="Y308" i="3"/>
  <c r="V87" i="3"/>
  <c r="D42" i="37"/>
  <c r="U35" i="3"/>
  <c r="P185" i="3"/>
  <c r="Z278" i="3"/>
  <c r="Y324" i="3"/>
  <c r="AA211" i="3"/>
  <c r="AB207" i="3"/>
  <c r="AB211" i="3" s="1"/>
  <c r="V159" i="3"/>
  <c r="N185" i="3"/>
  <c r="AE303" i="3"/>
  <c r="Z304" i="3"/>
  <c r="T154" i="3"/>
  <c r="T155" i="3" s="1"/>
  <c r="T153" i="3"/>
  <c r="AD153" i="3" s="1"/>
  <c r="AI153" i="3" s="1"/>
  <c r="AN153" i="3" s="1"/>
  <c r="Y39" i="3"/>
  <c r="E351" i="3"/>
  <c r="E353" i="3" s="1"/>
  <c r="M36" i="3"/>
  <c r="F185" i="3"/>
  <c r="U368" i="3"/>
  <c r="U339" i="3"/>
  <c r="J29" i="31"/>
  <c r="J42" i="31" s="1"/>
  <c r="AH283" i="3"/>
  <c r="AI283" i="3" s="1"/>
  <c r="AJ283" i="3" s="1"/>
  <c r="AK283" i="3" s="1"/>
  <c r="AG283" i="3"/>
  <c r="Q323" i="3"/>
  <c r="R323" i="3" s="1"/>
  <c r="P366" i="3"/>
  <c r="AM307" i="3"/>
  <c r="AM308" i="3" s="1"/>
  <c r="AH308" i="3"/>
  <c r="J171" i="3"/>
  <c r="J157" i="3"/>
  <c r="X93" i="3"/>
  <c r="Y94" i="3"/>
  <c r="K60" i="3"/>
  <c r="K64" i="3" s="1"/>
  <c r="O166" i="3"/>
  <c r="O172" i="3"/>
  <c r="K18" i="29"/>
  <c r="K19" i="29" s="1"/>
  <c r="K20" i="29" s="1"/>
  <c r="K21" i="29" s="1"/>
  <c r="AA177" i="3"/>
  <c r="X97" i="3"/>
  <c r="Y98" i="3"/>
  <c r="F352" i="3"/>
  <c r="F353" i="3" s="1"/>
  <c r="E258" i="3"/>
  <c r="R339" i="3"/>
  <c r="H35" i="3"/>
  <c r="H223" i="3"/>
  <c r="H27" i="3"/>
  <c r="V81" i="3"/>
  <c r="U131" i="3"/>
  <c r="V105" i="3"/>
  <c r="M339" i="3"/>
  <c r="M368" i="3"/>
  <c r="AB192" i="3"/>
  <c r="W195" i="3"/>
  <c r="Z236" i="3"/>
  <c r="Y237" i="3"/>
  <c r="Y346" i="3"/>
  <c r="V326" i="3"/>
  <c r="W22" i="3"/>
  <c r="L234" i="3"/>
  <c r="L233" i="3"/>
  <c r="X368" i="3"/>
  <c r="V91" i="3"/>
  <c r="V121" i="3"/>
  <c r="X103" i="3"/>
  <c r="Y104" i="3"/>
  <c r="V127" i="3"/>
  <c r="X144" i="3"/>
  <c r="V143" i="3"/>
  <c r="Q13" i="3"/>
  <c r="Q368" i="3" s="1"/>
  <c r="Q71" i="3"/>
  <c r="Q60" i="3"/>
  <c r="Q64" i="3" s="1"/>
  <c r="Q72" i="3"/>
  <c r="U89" i="3"/>
  <c r="U113" i="3"/>
  <c r="V129" i="3"/>
  <c r="U326" i="3"/>
  <c r="X118" i="3"/>
  <c r="V117" i="3"/>
  <c r="W200" i="3"/>
  <c r="AB200" i="3" s="1"/>
  <c r="AG200" i="3" s="1"/>
  <c r="AL200" i="3" s="1"/>
  <c r="AQ200" i="3" s="1"/>
  <c r="R201" i="3"/>
  <c r="Y296" i="3"/>
  <c r="W194" i="3"/>
  <c r="AM153" i="3"/>
  <c r="AI33" i="3"/>
  <c r="AJ33" i="3" s="1"/>
  <c r="AK33" i="3" s="1"/>
  <c r="AM33" i="3" s="1"/>
  <c r="AP153" i="3"/>
  <c r="E72" i="3"/>
  <c r="E185" i="3"/>
  <c r="E71" i="3"/>
  <c r="E60" i="3"/>
  <c r="E64" i="3" s="1"/>
  <c r="Y160" i="3"/>
  <c r="Z161" i="3"/>
  <c r="AI307" i="3"/>
  <c r="AD308" i="3"/>
  <c r="AQ193" i="3"/>
  <c r="P43" i="3"/>
  <c r="P44" i="3"/>
  <c r="P320" i="3"/>
  <c r="P334" i="3" s="1"/>
  <c r="AH268" i="3"/>
  <c r="AI268" i="3" s="1"/>
  <c r="AJ268" i="3" s="1"/>
  <c r="AK268" i="3" s="1"/>
  <c r="AG268" i="3"/>
  <c r="L235" i="3"/>
  <c r="U125" i="3"/>
  <c r="V107" i="3"/>
  <c r="X79" i="3"/>
  <c r="Y80" i="3"/>
  <c r="U55" i="3"/>
  <c r="U119" i="3"/>
  <c r="X58" i="3"/>
  <c r="Y59" i="3"/>
  <c r="L348" i="3"/>
  <c r="L349" i="3" s="1"/>
  <c r="K349" i="3"/>
  <c r="Q348" i="3"/>
  <c r="Q349" i="3" s="1"/>
  <c r="P349" i="3"/>
  <c r="T25" i="3"/>
  <c r="T183" i="3"/>
  <c r="T188" i="3" s="1"/>
  <c r="W199" i="3"/>
  <c r="AQ213" i="3"/>
  <c r="AQ218" i="3" s="1"/>
  <c r="AP207" i="3" s="1"/>
  <c r="AL218" i="3"/>
  <c r="AK207" i="3" s="1"/>
  <c r="AH288" i="3"/>
  <c r="AI288" i="3" s="1"/>
  <c r="AJ288" i="3" s="1"/>
  <c r="AK288" i="3" s="1"/>
  <c r="AG288" i="3"/>
  <c r="J185" i="3"/>
  <c r="J72" i="3"/>
  <c r="J71" i="3"/>
  <c r="J60" i="3"/>
  <c r="J64" i="3" s="1"/>
  <c r="L224" i="3"/>
  <c r="L40" i="3"/>
  <c r="L45" i="3" s="1"/>
  <c r="N149" i="3"/>
  <c r="N155" i="3"/>
  <c r="D149" i="3"/>
  <c r="D155" i="3"/>
  <c r="I185" i="3"/>
  <c r="I72" i="3"/>
  <c r="I71" i="3"/>
  <c r="I60" i="3"/>
  <c r="I64" i="3" s="1"/>
  <c r="O40" i="3"/>
  <c r="O45" i="3" s="1"/>
  <c r="O224" i="3"/>
  <c r="AO46" i="3"/>
  <c r="AL46" i="3"/>
  <c r="AL47" i="3" s="1"/>
  <c r="J38" i="3"/>
  <c r="J36" i="3"/>
  <c r="J229" i="3"/>
  <c r="AH326" i="3"/>
  <c r="U366" i="3"/>
  <c r="U148" i="3"/>
  <c r="U153" i="3" s="1"/>
  <c r="AE153" i="3" s="1"/>
  <c r="AJ153" i="3" s="1"/>
  <c r="AO153" i="3" s="1"/>
  <c r="S71" i="3"/>
  <c r="S185" i="3"/>
  <c r="S72" i="3"/>
  <c r="S60" i="3"/>
  <c r="S64" i="3" s="1"/>
  <c r="V85" i="3"/>
  <c r="V109" i="3"/>
  <c r="X174" i="3"/>
  <c r="Y175" i="3"/>
  <c r="V41" i="3"/>
  <c r="X233" i="3"/>
  <c r="Y233" i="3" s="1"/>
  <c r="Z233" i="3" s="1"/>
  <c r="AA233" i="3" s="1"/>
  <c r="AC233" i="3" s="1"/>
  <c r="AD233" i="3" s="1"/>
  <c r="AE233" i="3" s="1"/>
  <c r="AF233" i="3" s="1"/>
  <c r="AH233" i="3" s="1"/>
  <c r="AI233" i="3" s="1"/>
  <c r="AJ233" i="3" s="1"/>
  <c r="AK233" i="3" s="1"/>
  <c r="AM233" i="3" s="1"/>
  <c r="AN233" i="3" s="1"/>
  <c r="AO233" i="3" s="1"/>
  <c r="AP233" i="3" s="1"/>
  <c r="V135" i="3"/>
  <c r="X292" i="3"/>
  <c r="W295" i="3"/>
  <c r="T71" i="3"/>
  <c r="T185" i="3"/>
  <c r="T72" i="3"/>
  <c r="T60" i="3"/>
  <c r="T64" i="3" s="1"/>
  <c r="Q339" i="3"/>
  <c r="AI32" i="3"/>
  <c r="AJ32" i="3" s="1"/>
  <c r="AK32" i="3" s="1"/>
  <c r="AM32" i="3" s="1"/>
  <c r="L72" i="3"/>
  <c r="L185" i="3"/>
  <c r="L71" i="3"/>
  <c r="I40" i="3"/>
  <c r="I45" i="3" s="1"/>
  <c r="I224" i="3"/>
  <c r="AE262" i="3"/>
  <c r="N44" i="3"/>
  <c r="N320" i="3"/>
  <c r="N334" i="3" s="1"/>
  <c r="N43" i="3"/>
  <c r="M298" i="3"/>
  <c r="O38" i="3"/>
  <c r="O36" i="3"/>
  <c r="O315" i="3" s="1"/>
  <c r="O229" i="3"/>
  <c r="J224" i="3"/>
  <c r="J40" i="3"/>
  <c r="J45" i="3" s="1"/>
  <c r="D189" i="3"/>
  <c r="U186" i="3"/>
  <c r="O75" i="3"/>
  <c r="O76" i="3" s="1"/>
  <c r="O73" i="3"/>
  <c r="K40" i="3"/>
  <c r="K45" i="3" s="1"/>
  <c r="K224" i="3"/>
  <c r="V101" i="3"/>
  <c r="X99" i="3"/>
  <c r="Y100" i="3"/>
  <c r="V141" i="3"/>
  <c r="X142" i="3"/>
  <c r="V123" i="3"/>
  <c r="X133" i="3"/>
  <c r="U53" i="3"/>
  <c r="V83" i="3"/>
  <c r="X116" i="3"/>
  <c r="V115" i="3"/>
  <c r="V162" i="3"/>
  <c r="V165" i="3" s="1"/>
  <c r="X163" i="3"/>
  <c r="G339" i="3"/>
  <c r="G351" i="3" s="1"/>
  <c r="H336" i="3"/>
  <c r="G368" i="3"/>
  <c r="M348" i="3"/>
  <c r="M349" i="3" s="1"/>
  <c r="X234" i="3"/>
  <c r="Y234" i="3" s="1"/>
  <c r="Z234" i="3" s="1"/>
  <c r="AA234" i="3" s="1"/>
  <c r="AC234" i="3" s="1"/>
  <c r="AD234" i="3" s="1"/>
  <c r="AE234" i="3" s="1"/>
  <c r="AF234" i="3" s="1"/>
  <c r="AH234" i="3" s="1"/>
  <c r="AI234" i="3" s="1"/>
  <c r="AJ234" i="3" s="1"/>
  <c r="AK234" i="3" s="1"/>
  <c r="AM234" i="3" s="1"/>
  <c r="AN234" i="3" s="1"/>
  <c r="AO234" i="3" s="1"/>
  <c r="AP234" i="3" s="1"/>
  <c r="V42" i="3"/>
  <c r="X111" i="3"/>
  <c r="Y112" i="3"/>
  <c r="W29" i="3"/>
  <c r="V295" i="3"/>
  <c r="W246" i="3"/>
  <c r="Y365" i="3"/>
  <c r="V26" i="3"/>
  <c r="V252" i="3"/>
  <c r="V39" i="3" s="1"/>
  <c r="W251" i="3"/>
  <c r="W26" i="3" s="1"/>
  <c r="AF211" i="3"/>
  <c r="AG207" i="3"/>
  <c r="AG211" i="3" s="1"/>
  <c r="AG32" i="3"/>
  <c r="G73" i="3"/>
  <c r="G189" i="3"/>
  <c r="L229" i="3"/>
  <c r="L36" i="3"/>
  <c r="L38" i="3"/>
  <c r="F172" i="3"/>
  <c r="F166" i="3"/>
  <c r="L60" i="3"/>
  <c r="L64" i="3" s="1"/>
  <c r="E172" i="3"/>
  <c r="E166" i="3"/>
  <c r="K229" i="3"/>
  <c r="K36" i="3"/>
  <c r="K38" i="3"/>
  <c r="I43" i="3"/>
  <c r="I44" i="3"/>
  <c r="I320" i="3"/>
  <c r="I334" i="3" s="1"/>
  <c r="M40" i="3" l="1"/>
  <c r="M45" i="3" s="1"/>
  <c r="J166" i="3"/>
  <c r="J172" i="3"/>
  <c r="V158" i="3"/>
  <c r="V167" i="3" s="1"/>
  <c r="X159" i="3"/>
  <c r="Z324" i="3"/>
  <c r="AA278" i="3"/>
  <c r="N73" i="3"/>
  <c r="N75" i="3"/>
  <c r="N76" i="3" s="1"/>
  <c r="U224" i="3"/>
  <c r="J22" i="31"/>
  <c r="Y338" i="3"/>
  <c r="Z267" i="3"/>
  <c r="P166" i="3"/>
  <c r="P172" i="3"/>
  <c r="P189" i="3"/>
  <c r="N315" i="3"/>
  <c r="AL32" i="3"/>
  <c r="Y93" i="3"/>
  <c r="Z94" i="3"/>
  <c r="X87" i="3"/>
  <c r="Y88" i="3"/>
  <c r="K75" i="3"/>
  <c r="K76" i="3" s="1"/>
  <c r="K73" i="3"/>
  <c r="K189" i="3"/>
  <c r="Y145" i="3"/>
  <c r="Z146" i="3"/>
  <c r="AA244" i="3"/>
  <c r="AA240" i="3"/>
  <c r="AA246" i="3"/>
  <c r="AB246" i="3" s="1"/>
  <c r="AC229" i="3"/>
  <c r="F73" i="3"/>
  <c r="AL283" i="3"/>
  <c r="AM283" i="3"/>
  <c r="AN283" i="3" s="1"/>
  <c r="AO283" i="3" s="1"/>
  <c r="AP283" i="3" s="1"/>
  <c r="AQ283" i="3" s="1"/>
  <c r="AJ303" i="3"/>
  <c r="AE304" i="3"/>
  <c r="AA251" i="3"/>
  <c r="AA22" i="3"/>
  <c r="J25" i="31"/>
  <c r="J38" i="31" s="1"/>
  <c r="U36" i="3"/>
  <c r="U38" i="3"/>
  <c r="U229" i="3"/>
  <c r="U240" i="3" s="1"/>
  <c r="AB244" i="3"/>
  <c r="R348" i="3"/>
  <c r="R349" i="3" s="1"/>
  <c r="N189" i="3"/>
  <c r="W326" i="3"/>
  <c r="AB240" i="3"/>
  <c r="Z39" i="3"/>
  <c r="I166" i="3"/>
  <c r="I172" i="3"/>
  <c r="M38" i="3"/>
  <c r="M229" i="3"/>
  <c r="X42" i="3"/>
  <c r="U39" i="3"/>
  <c r="U40" i="3" s="1"/>
  <c r="AC177" i="3"/>
  <c r="V52" i="3"/>
  <c r="V53" i="3" s="1"/>
  <c r="U57" i="3"/>
  <c r="U54" i="3"/>
  <c r="U71" i="3" s="1"/>
  <c r="AJ71" i="3" s="1"/>
  <c r="AO71" i="3" s="1"/>
  <c r="Z98" i="3"/>
  <c r="Y97" i="3"/>
  <c r="Y133" i="3"/>
  <c r="O44" i="3"/>
  <c r="O43" i="3"/>
  <c r="O320" i="3"/>
  <c r="O334" i="3" s="1"/>
  <c r="AN307" i="3"/>
  <c r="AN308" i="3" s="1"/>
  <c r="AI308" i="3"/>
  <c r="E73" i="3"/>
  <c r="E189" i="3"/>
  <c r="X121" i="3"/>
  <c r="H40" i="3"/>
  <c r="H45" i="3" s="1"/>
  <c r="M225" i="3" s="1"/>
  <c r="H224" i="3"/>
  <c r="I351" i="3"/>
  <c r="I367" i="3"/>
  <c r="L44" i="3"/>
  <c r="L43" i="3"/>
  <c r="L320" i="3"/>
  <c r="L334" i="3" s="1"/>
  <c r="L367" i="3" s="1"/>
  <c r="Z112" i="3"/>
  <c r="Y111" i="3"/>
  <c r="X115" i="3"/>
  <c r="Y116" i="3"/>
  <c r="V148" i="3"/>
  <c r="V113" i="3"/>
  <c r="V150" i="3"/>
  <c r="I73" i="3"/>
  <c r="M72" i="3"/>
  <c r="I75" i="3"/>
  <c r="I189" i="3"/>
  <c r="J75" i="3"/>
  <c r="J76" i="3" s="1"/>
  <c r="J73" i="3"/>
  <c r="J189" i="3"/>
  <c r="AK211" i="3"/>
  <c r="AL207" i="3"/>
  <c r="AL211" i="3" s="1"/>
  <c r="X199" i="3"/>
  <c r="Z199" i="3"/>
  <c r="AA199" i="3"/>
  <c r="Y199" i="3"/>
  <c r="T35" i="3"/>
  <c r="T27" i="3"/>
  <c r="T189" i="3"/>
  <c r="T223" i="3"/>
  <c r="U56" i="3"/>
  <c r="Y79" i="3"/>
  <c r="Z80" i="3"/>
  <c r="Q73" i="3"/>
  <c r="Q75" i="3"/>
  <c r="Q76" i="3" s="1"/>
  <c r="R72" i="3"/>
  <c r="Y103" i="3"/>
  <c r="Z104" i="3"/>
  <c r="X91" i="3"/>
  <c r="Y92" i="3"/>
  <c r="AG192" i="3"/>
  <c r="AB195" i="3"/>
  <c r="AB194" i="3"/>
  <c r="X105" i="3"/>
  <c r="X107" i="3" s="1"/>
  <c r="Y106" i="3"/>
  <c r="E263" i="3"/>
  <c r="E269" i="3" s="1"/>
  <c r="E299" i="3" s="1"/>
  <c r="E358" i="3"/>
  <c r="E360" i="3" s="1"/>
  <c r="Y42" i="3"/>
  <c r="V119" i="3"/>
  <c r="V55" i="3"/>
  <c r="X141" i="3"/>
  <c r="Y142" i="3"/>
  <c r="S367" i="3"/>
  <c r="N367" i="3"/>
  <c r="N351" i="3"/>
  <c r="X135" i="3"/>
  <c r="X85" i="3"/>
  <c r="Y86" i="3"/>
  <c r="U154" i="3"/>
  <c r="U155" i="3" s="1"/>
  <c r="AM288" i="3"/>
  <c r="AN288" i="3" s="1"/>
  <c r="AO288" i="3" s="1"/>
  <c r="AP288" i="3" s="1"/>
  <c r="AQ288" i="3" s="1"/>
  <c r="AL288" i="3"/>
  <c r="AN33" i="3"/>
  <c r="AO33" i="3" s="1"/>
  <c r="AP33" i="3" s="1"/>
  <c r="Z296" i="3"/>
  <c r="R13" i="3"/>
  <c r="Q309" i="3"/>
  <c r="V309" i="3" s="1"/>
  <c r="AA309" i="3" s="1"/>
  <c r="AF309" i="3" s="1"/>
  <c r="AK309" i="3" s="1"/>
  <c r="AP309" i="3" s="1"/>
  <c r="Q310" i="3"/>
  <c r="V310" i="3" s="1"/>
  <c r="AA310" i="3" s="1"/>
  <c r="AF310" i="3" s="1"/>
  <c r="AK310" i="3" s="1"/>
  <c r="AP310" i="3" s="1"/>
  <c r="Q303" i="3"/>
  <c r="Q228" i="3"/>
  <c r="Q226" i="3"/>
  <c r="Q185" i="3"/>
  <c r="Q25" i="3"/>
  <c r="Q227" i="3"/>
  <c r="Q222" i="3"/>
  <c r="Q366" i="3"/>
  <c r="V131" i="3"/>
  <c r="U171" i="3"/>
  <c r="U172" i="3" s="1"/>
  <c r="Z365" i="3"/>
  <c r="H368" i="3"/>
  <c r="H339" i="3"/>
  <c r="X162" i="3"/>
  <c r="Y163" i="3"/>
  <c r="Y99" i="3"/>
  <c r="Z100" i="3"/>
  <c r="L73" i="3"/>
  <c r="L75" i="3"/>
  <c r="L76" i="3" s="1"/>
  <c r="L189" i="3"/>
  <c r="Y174" i="3"/>
  <c r="Z175" i="3"/>
  <c r="X109" i="3"/>
  <c r="Y110" i="3"/>
  <c r="S75" i="3"/>
  <c r="S73" i="3"/>
  <c r="S189" i="3"/>
  <c r="V138" i="3"/>
  <c r="J320" i="3"/>
  <c r="J334" i="3" s="1"/>
  <c r="J44" i="3"/>
  <c r="J43" i="3"/>
  <c r="AP211" i="3"/>
  <c r="AQ207" i="3"/>
  <c r="AQ211" i="3" s="1"/>
  <c r="P351" i="3"/>
  <c r="Y58" i="3"/>
  <c r="Z59" i="3"/>
  <c r="AM268" i="3"/>
  <c r="AN268" i="3" s="1"/>
  <c r="AO268" i="3" s="1"/>
  <c r="AP268" i="3" s="1"/>
  <c r="AQ268" i="3" s="1"/>
  <c r="AL268" i="3"/>
  <c r="AA161" i="3"/>
  <c r="Z160" i="3"/>
  <c r="X117" i="3"/>
  <c r="Y118" i="3"/>
  <c r="X143" i="3"/>
  <c r="Y144" i="3"/>
  <c r="V95" i="3"/>
  <c r="AQ46" i="3"/>
  <c r="AQ47" i="3" s="1"/>
  <c r="X81" i="3"/>
  <c r="Y82" i="3"/>
  <c r="H38" i="3"/>
  <c r="H229" i="3"/>
  <c r="H36" i="3"/>
  <c r="G352" i="3"/>
  <c r="G353" i="3" s="1"/>
  <c r="F258" i="3"/>
  <c r="K44" i="3"/>
  <c r="K43" i="3"/>
  <c r="K320" i="3"/>
  <c r="K334" i="3" s="1"/>
  <c r="K367" i="3" s="1"/>
  <c r="AF22" i="3"/>
  <c r="AF251" i="3"/>
  <c r="U45" i="3"/>
  <c r="J26" i="31"/>
  <c r="J39" i="31" s="1"/>
  <c r="X123" i="3"/>
  <c r="X101" i="3"/>
  <c r="AN32" i="3"/>
  <c r="AO32" i="3" s="1"/>
  <c r="AP32" i="3" s="1"/>
  <c r="T73" i="3"/>
  <c r="T75" i="3"/>
  <c r="T76" i="3" s="1"/>
  <c r="Y292" i="3"/>
  <c r="V345" i="3"/>
  <c r="W345" i="3" s="1"/>
  <c r="X41" i="3"/>
  <c r="V89" i="3"/>
  <c r="V366" i="3"/>
  <c r="X366" i="3" s="1"/>
  <c r="Y366" i="3" s="1"/>
  <c r="Z366" i="3" s="1"/>
  <c r="AA366" i="3" s="1"/>
  <c r="AC366" i="3" s="1"/>
  <c r="AD366" i="3" s="1"/>
  <c r="AE366" i="3" s="1"/>
  <c r="AF366" i="3" s="1"/>
  <c r="AH366" i="3" s="1"/>
  <c r="AI366" i="3" s="1"/>
  <c r="AJ366" i="3" s="1"/>
  <c r="AK366" i="3" s="1"/>
  <c r="AM366" i="3" s="1"/>
  <c r="AN366" i="3" s="1"/>
  <c r="AO366" i="3" s="1"/>
  <c r="AP366" i="3" s="1"/>
  <c r="U60" i="3"/>
  <c r="P315" i="3"/>
  <c r="AL33" i="3"/>
  <c r="W279" i="3"/>
  <c r="V279" i="3" s="1"/>
  <c r="V331" i="3"/>
  <c r="W331" i="3" s="1"/>
  <c r="X129" i="3"/>
  <c r="X127" i="3"/>
  <c r="V125" i="3"/>
  <c r="Y368" i="3"/>
  <c r="AA236" i="3"/>
  <c r="Z237" i="3"/>
  <c r="Z346" i="3"/>
  <c r="AF262" i="3"/>
  <c r="J35" i="31" l="1"/>
  <c r="J23" i="31"/>
  <c r="J36" i="31" s="1"/>
  <c r="AA368" i="3"/>
  <c r="E38" i="37"/>
  <c r="M320" i="3"/>
  <c r="M334" i="3" s="1"/>
  <c r="M43" i="3"/>
  <c r="M44" i="3"/>
  <c r="J24" i="31"/>
  <c r="J37" i="31" s="1"/>
  <c r="AA252" i="3"/>
  <c r="AA26" i="3"/>
  <c r="AB251" i="3"/>
  <c r="AB26" i="3" s="1"/>
  <c r="Y87" i="3"/>
  <c r="Z88" i="3"/>
  <c r="AC278" i="3"/>
  <c r="AA324" i="3"/>
  <c r="AB324" i="3" s="1"/>
  <c r="AB278" i="3"/>
  <c r="AD229" i="3"/>
  <c r="AC240" i="3"/>
  <c r="AC244" i="3"/>
  <c r="AC252" i="3"/>
  <c r="AC246" i="3"/>
  <c r="AA267" i="3"/>
  <c r="Z338" i="3"/>
  <c r="U320" i="3"/>
  <c r="U334" i="3" s="1"/>
  <c r="U43" i="3"/>
  <c r="U44" i="3"/>
  <c r="AB22" i="3"/>
  <c r="AA326" i="3"/>
  <c r="AB326" i="3" s="1"/>
  <c r="AA146" i="3"/>
  <c r="Z145" i="3"/>
  <c r="AQ32" i="3"/>
  <c r="Z368" i="3"/>
  <c r="AC368" i="3" s="1"/>
  <c r="X150" i="3"/>
  <c r="AJ304" i="3"/>
  <c r="AO303" i="3"/>
  <c r="AO304" i="3" s="1"/>
  <c r="AA94" i="3"/>
  <c r="Z93" i="3"/>
  <c r="X158" i="3"/>
  <c r="X167" i="3" s="1"/>
  <c r="Y159" i="3"/>
  <c r="AD177" i="3"/>
  <c r="V63" i="3"/>
  <c r="V66" i="3" s="1"/>
  <c r="U185" i="3"/>
  <c r="V54" i="3"/>
  <c r="U64" i="3"/>
  <c r="AA98" i="3"/>
  <c r="Z97" i="3"/>
  <c r="V169" i="3"/>
  <c r="J27" i="31"/>
  <c r="J40" i="31" s="1"/>
  <c r="Y81" i="3"/>
  <c r="Z82" i="3"/>
  <c r="AP22" i="3"/>
  <c r="AP251" i="3"/>
  <c r="Q27" i="3"/>
  <c r="Q223" i="3"/>
  <c r="Q35" i="3"/>
  <c r="Q189" i="3"/>
  <c r="AA296" i="3"/>
  <c r="X89" i="3"/>
  <c r="Y141" i="3"/>
  <c r="Y150" i="3" s="1"/>
  <c r="Z142" i="3"/>
  <c r="AB279" i="3"/>
  <c r="AB201" i="3" s="1"/>
  <c r="AA331" i="3"/>
  <c r="AB331" i="3" s="1"/>
  <c r="X95" i="3"/>
  <c r="T38" i="3"/>
  <c r="T229" i="3"/>
  <c r="E25" i="31"/>
  <c r="E38" i="31" s="1"/>
  <c r="F12" i="31"/>
  <c r="T36" i="3"/>
  <c r="AI71" i="3"/>
  <c r="Y123" i="3"/>
  <c r="AG251" i="3"/>
  <c r="AG26" i="3" s="1"/>
  <c r="AF26" i="3"/>
  <c r="Y143" i="3"/>
  <c r="Z144" i="3"/>
  <c r="AA160" i="3"/>
  <c r="AC161" i="3"/>
  <c r="Y109" i="3"/>
  <c r="Z110" i="3"/>
  <c r="Z99" i="3"/>
  <c r="AA100" i="3"/>
  <c r="Y162" i="3"/>
  <c r="Z163" i="3"/>
  <c r="Y135" i="3"/>
  <c r="Y138" i="3" s="1"/>
  <c r="X148" i="3"/>
  <c r="V57" i="3"/>
  <c r="AA104" i="3"/>
  <c r="Z103" i="3"/>
  <c r="R75" i="3"/>
  <c r="V152" i="3"/>
  <c r="X119" i="3"/>
  <c r="X55" i="3"/>
  <c r="X56" i="3" s="1"/>
  <c r="L351" i="3"/>
  <c r="AH71" i="3"/>
  <c r="Y127" i="3"/>
  <c r="Y129" i="3"/>
  <c r="Z292" i="3"/>
  <c r="X131" i="3"/>
  <c r="X83" i="3"/>
  <c r="X113" i="3"/>
  <c r="Y101" i="3"/>
  <c r="X165" i="3"/>
  <c r="AQ33" i="3"/>
  <c r="V56" i="3"/>
  <c r="Y105" i="3"/>
  <c r="Y107" i="3" s="1"/>
  <c r="Z106" i="3"/>
  <c r="AL192" i="3"/>
  <c r="AG194" i="3"/>
  <c r="AG195" i="3"/>
  <c r="AA80" i="3"/>
  <c r="Z79" i="3"/>
  <c r="AK22" i="3"/>
  <c r="AK251" i="3"/>
  <c r="Y121" i="3"/>
  <c r="Z133" i="3"/>
  <c r="H353" i="3"/>
  <c r="G258" i="3"/>
  <c r="AA59" i="3"/>
  <c r="Z58" i="3"/>
  <c r="S76" i="3"/>
  <c r="AA365" i="3"/>
  <c r="V303" i="3"/>
  <c r="Q304" i="3"/>
  <c r="AB199" i="3"/>
  <c r="X293" i="3"/>
  <c r="Z116" i="3"/>
  <c r="Y115" i="3"/>
  <c r="K351" i="3"/>
  <c r="AG262" i="3"/>
  <c r="AH262" i="3"/>
  <c r="AI262" i="3" s="1"/>
  <c r="AC236" i="3"/>
  <c r="AA237" i="3"/>
  <c r="AB237" i="3" s="1"/>
  <c r="AA346" i="3"/>
  <c r="AB346" i="3" s="1"/>
  <c r="AB236" i="3"/>
  <c r="W201" i="3"/>
  <c r="P367" i="3"/>
  <c r="X345" i="3"/>
  <c r="Y41" i="3"/>
  <c r="AF326" i="3"/>
  <c r="AG326" i="3" s="1"/>
  <c r="AG22" i="3"/>
  <c r="F358" i="3"/>
  <c r="F360" i="3" s="1"/>
  <c r="F263" i="3"/>
  <c r="F269" i="3" s="1"/>
  <c r="F299" i="3" s="1"/>
  <c r="H320" i="3"/>
  <c r="H334" i="3" s="1"/>
  <c r="H351" i="3" s="1"/>
  <c r="H44" i="3"/>
  <c r="H43" i="3"/>
  <c r="Y117" i="3"/>
  <c r="Z118" i="3"/>
  <c r="X52" i="3"/>
  <c r="J367" i="3"/>
  <c r="J351" i="3"/>
  <c r="AA175" i="3"/>
  <c r="Z174" i="3"/>
  <c r="R25" i="3"/>
  <c r="R228" i="3"/>
  <c r="R227" i="3"/>
  <c r="R222" i="3"/>
  <c r="R226" i="3"/>
  <c r="R368" i="3"/>
  <c r="Y85" i="3"/>
  <c r="Z86" i="3"/>
  <c r="Z42" i="3"/>
  <c r="Y91" i="3"/>
  <c r="Z92" i="3"/>
  <c r="Y83" i="3"/>
  <c r="T224" i="3"/>
  <c r="F9" i="31"/>
  <c r="E22" i="31"/>
  <c r="I76" i="3"/>
  <c r="M75" i="3"/>
  <c r="X138" i="3"/>
  <c r="AA112" i="3"/>
  <c r="Z111" i="3"/>
  <c r="X125" i="3"/>
  <c r="O367" i="3"/>
  <c r="O351" i="3"/>
  <c r="AA145" i="3" l="1"/>
  <c r="AC146" i="3"/>
  <c r="AA88" i="3"/>
  <c r="Z87" i="3"/>
  <c r="Y52" i="3"/>
  <c r="AC94" i="3"/>
  <c r="AA93" i="3"/>
  <c r="U367" i="3"/>
  <c r="U351" i="3"/>
  <c r="M351" i="3"/>
  <c r="M354" i="3"/>
  <c r="M356" i="3" s="1"/>
  <c r="AD240" i="3"/>
  <c r="AD246" i="3"/>
  <c r="AD244" i="3"/>
  <c r="AD252" i="3"/>
  <c r="AE229" i="3"/>
  <c r="AB252" i="3"/>
  <c r="AB39" i="3" s="1"/>
  <c r="AA39" i="3"/>
  <c r="Y158" i="3"/>
  <c r="Y167" i="3" s="1"/>
  <c r="Z159" i="3"/>
  <c r="D35" i="37"/>
  <c r="D38" i="37"/>
  <c r="AA42" i="3"/>
  <c r="AC42" i="3" s="1"/>
  <c r="E37" i="37"/>
  <c r="E35" i="37"/>
  <c r="E23" i="37"/>
  <c r="E36" i="37" s="1"/>
  <c r="AA338" i="3"/>
  <c r="AB338" i="3" s="1"/>
  <c r="AB267" i="3"/>
  <c r="AC267" i="3"/>
  <c r="AC39" i="3"/>
  <c r="AD278" i="3"/>
  <c r="AC324" i="3"/>
  <c r="V13" i="3"/>
  <c r="J21" i="37" s="1"/>
  <c r="J34" i="37" s="1"/>
  <c r="AE177" i="3"/>
  <c r="Y53" i="3"/>
  <c r="AC98" i="3"/>
  <c r="AA97" i="3"/>
  <c r="AD236" i="3"/>
  <c r="AC237" i="3"/>
  <c r="AC346" i="3"/>
  <c r="X169" i="3"/>
  <c r="AB296" i="3"/>
  <c r="AC296" i="3"/>
  <c r="AQ251" i="3"/>
  <c r="AQ26" i="3" s="1"/>
  <c r="AP26" i="3"/>
  <c r="AA116" i="3"/>
  <c r="Z115" i="3"/>
  <c r="AC365" i="3"/>
  <c r="H258" i="3"/>
  <c r="G358" i="3"/>
  <c r="G360" i="3" s="1"/>
  <c r="G263" i="3"/>
  <c r="G269" i="3" s="1"/>
  <c r="G299" i="3" s="1"/>
  <c r="Y125" i="3"/>
  <c r="AL251" i="3"/>
  <c r="AL26" i="3" s="1"/>
  <c r="AK26" i="3"/>
  <c r="AQ192" i="3"/>
  <c r="AL194" i="3"/>
  <c r="AL195" i="3"/>
  <c r="V60" i="3"/>
  <c r="V64" i="3" s="1"/>
  <c r="V70" i="3"/>
  <c r="AC100" i="3"/>
  <c r="AA99" i="3"/>
  <c r="AA144" i="3"/>
  <c r="Z143" i="3"/>
  <c r="T240" i="3"/>
  <c r="T252" i="3"/>
  <c r="W252" i="3" s="1"/>
  <c r="Y148" i="3"/>
  <c r="Q224" i="3"/>
  <c r="Q40" i="3"/>
  <c r="Q45" i="3" s="1"/>
  <c r="AP326" i="3"/>
  <c r="AQ326" i="3" s="1"/>
  <c r="AQ22" i="3"/>
  <c r="Z135" i="3"/>
  <c r="Z138" i="3" s="1"/>
  <c r="AN71" i="3"/>
  <c r="AJ262" i="3"/>
  <c r="AK262" i="3" s="1"/>
  <c r="AC112" i="3"/>
  <c r="AA111" i="3"/>
  <c r="E23" i="31"/>
  <c r="E36" i="31" s="1"/>
  <c r="E35" i="31"/>
  <c r="AA92" i="3"/>
  <c r="Z91" i="3"/>
  <c r="X63" i="3"/>
  <c r="X53" i="3"/>
  <c r="Y293" i="3"/>
  <c r="X295" i="3"/>
  <c r="M352" i="3"/>
  <c r="I352" i="3"/>
  <c r="I353" i="3" s="1"/>
  <c r="AK326" i="3"/>
  <c r="AL326" i="3" s="1"/>
  <c r="AL22" i="3"/>
  <c r="AA106" i="3"/>
  <c r="Z105" i="3"/>
  <c r="AA292" i="3"/>
  <c r="Z129" i="3"/>
  <c r="AM71" i="3"/>
  <c r="Z101" i="3"/>
  <c r="AA110" i="3"/>
  <c r="Z109" i="3"/>
  <c r="AD161" i="3"/>
  <c r="AC160" i="3"/>
  <c r="F11" i="31"/>
  <c r="E24" i="31"/>
  <c r="E37" i="31" s="1"/>
  <c r="T320" i="3"/>
  <c r="T334" i="3" s="1"/>
  <c r="T44" i="3"/>
  <c r="T43" i="3"/>
  <c r="AA86" i="3"/>
  <c r="Z85" i="3"/>
  <c r="Y119" i="3"/>
  <c r="Y55" i="3"/>
  <c r="Y63" i="3" s="1"/>
  <c r="Z121" i="3"/>
  <c r="AC80" i="3"/>
  <c r="AA79" i="3"/>
  <c r="AG279" i="3"/>
  <c r="AG201" i="3" s="1"/>
  <c r="AF331" i="3"/>
  <c r="AG331" i="3" s="1"/>
  <c r="Y131" i="3"/>
  <c r="AC104" i="3"/>
  <c r="AA103" i="3"/>
  <c r="AA142" i="3"/>
  <c r="Z141" i="3"/>
  <c r="Z150" i="3" s="1"/>
  <c r="Y89" i="3"/>
  <c r="G9" i="31"/>
  <c r="D35" i="31"/>
  <c r="F10" i="31"/>
  <c r="Y95" i="3"/>
  <c r="R35" i="3"/>
  <c r="R27" i="3"/>
  <c r="R223" i="3"/>
  <c r="AC175" i="3"/>
  <c r="AA174" i="3"/>
  <c r="AA118" i="3"/>
  <c r="Z117" i="3"/>
  <c r="H354" i="3"/>
  <c r="H356" i="3" s="1"/>
  <c r="M367" i="3"/>
  <c r="Z41" i="3"/>
  <c r="Y345" i="3"/>
  <c r="AK71" i="3"/>
  <c r="AC199" i="3"/>
  <c r="AD199" i="3"/>
  <c r="AE199" i="3"/>
  <c r="AF199" i="3"/>
  <c r="AA303" i="3"/>
  <c r="V304" i="3"/>
  <c r="V275" i="3"/>
  <c r="AC59" i="3"/>
  <c r="AA58" i="3"/>
  <c r="AC134" i="3"/>
  <c r="AA133" i="3"/>
  <c r="X54" i="3"/>
  <c r="AD368" i="3"/>
  <c r="Z127" i="3"/>
  <c r="X57" i="3"/>
  <c r="Z107" i="3"/>
  <c r="X152" i="3"/>
  <c r="AA163" i="3"/>
  <c r="Z162" i="3"/>
  <c r="Y113" i="3"/>
  <c r="Z123" i="3"/>
  <c r="D38" i="31"/>
  <c r="G12" i="31"/>
  <c r="X279" i="3"/>
  <c r="Y279" i="3" s="1"/>
  <c r="Z279" i="3" s="1"/>
  <c r="AA279" i="3" s="1"/>
  <c r="Q229" i="3"/>
  <c r="Q36" i="3"/>
  <c r="U315" i="3" s="1"/>
  <c r="Q38" i="3"/>
  <c r="AA82" i="3"/>
  <c r="Z81" i="3"/>
  <c r="M21" i="31" l="1"/>
  <c r="M34" i="31" s="1"/>
  <c r="Y56" i="3"/>
  <c r="AE278" i="3"/>
  <c r="AD324" i="3"/>
  <c r="AC93" i="3"/>
  <c r="AD94" i="3"/>
  <c r="AD146" i="3"/>
  <c r="AC145" i="3"/>
  <c r="Y165" i="3"/>
  <c r="M353" i="3"/>
  <c r="V280" i="3"/>
  <c r="W280" i="3" s="1"/>
  <c r="AD267" i="3"/>
  <c r="AC338" i="3"/>
  <c r="D36" i="37"/>
  <c r="AC88" i="3"/>
  <c r="AA87" i="3"/>
  <c r="D37" i="37"/>
  <c r="Z158" i="3"/>
  <c r="Z167" i="3" s="1"/>
  <c r="AA159" i="3"/>
  <c r="AF229" i="3"/>
  <c r="AE244" i="3"/>
  <c r="AE246" i="3"/>
  <c r="AE240" i="3"/>
  <c r="AE252" i="3"/>
  <c r="AD39" i="3"/>
  <c r="V336" i="3"/>
  <c r="V264" i="3" s="1"/>
  <c r="W13" i="3"/>
  <c r="V185" i="3"/>
  <c r="V259" i="3"/>
  <c r="W259" i="3" s="1"/>
  <c r="V323" i="3"/>
  <c r="W323" i="3" s="1"/>
  <c r="V222" i="3"/>
  <c r="AF177" i="3"/>
  <c r="Y54" i="3"/>
  <c r="Z52" i="3"/>
  <c r="AD98" i="3"/>
  <c r="AC97" i="3"/>
  <c r="R38" i="3"/>
  <c r="R229" i="3"/>
  <c r="R36" i="3"/>
  <c r="R315" i="3" s="1"/>
  <c r="AC130" i="3"/>
  <c r="AA129" i="3"/>
  <c r="AD112" i="3"/>
  <c r="AC111" i="3"/>
  <c r="AL262" i="3"/>
  <c r="AA101" i="3"/>
  <c r="AQ195" i="3"/>
  <c r="AQ194" i="3"/>
  <c r="AD175" i="3"/>
  <c r="AC174" i="3"/>
  <c r="Y66" i="3"/>
  <c r="AC142" i="3"/>
  <c r="AA141" i="3"/>
  <c r="AD80" i="3"/>
  <c r="AC79" i="3"/>
  <c r="Z89" i="3"/>
  <c r="T367" i="3"/>
  <c r="T351" i="3"/>
  <c r="G11" i="31"/>
  <c r="D37" i="31"/>
  <c r="X66" i="3"/>
  <c r="AM262" i="3"/>
  <c r="Y152" i="3"/>
  <c r="AC144" i="3"/>
  <c r="AA143" i="3"/>
  <c r="AD100" i="3"/>
  <c r="AC99" i="3"/>
  <c r="H263" i="3"/>
  <c r="H269" i="3" s="1"/>
  <c r="H299" i="3" s="1"/>
  <c r="H358" i="3"/>
  <c r="H360" i="3" s="1"/>
  <c r="AE368" i="3"/>
  <c r="Z165" i="3"/>
  <c r="Z131" i="3"/>
  <c r="Z53" i="3"/>
  <c r="AC110" i="3"/>
  <c r="AA109" i="3"/>
  <c r="AC106" i="3"/>
  <c r="AA105" i="3"/>
  <c r="AC92" i="3"/>
  <c r="AA91" i="3"/>
  <c r="AD42" i="3"/>
  <c r="AC82" i="3"/>
  <c r="AA81" i="3"/>
  <c r="AC163" i="3"/>
  <c r="AA162" i="3"/>
  <c r="X13" i="3"/>
  <c r="X70" i="3"/>
  <c r="AD59" i="3"/>
  <c r="AC58" i="3"/>
  <c r="W222" i="3"/>
  <c r="AG199" i="3"/>
  <c r="Q43" i="3"/>
  <c r="Q320" i="3"/>
  <c r="Q334" i="3" s="1"/>
  <c r="Q44" i="3"/>
  <c r="X60" i="3"/>
  <c r="X64" i="3" s="1"/>
  <c r="Z83" i="3"/>
  <c r="AD104" i="3"/>
  <c r="AC103" i="3"/>
  <c r="Z125" i="3"/>
  <c r="AC86" i="3"/>
  <c r="AA85" i="3"/>
  <c r="AE161" i="3"/>
  <c r="AD160" i="3"/>
  <c r="AB292" i="3"/>
  <c r="J352" i="3"/>
  <c r="J353" i="3" s="1"/>
  <c r="I258" i="3"/>
  <c r="Z55" i="3"/>
  <c r="Z119" i="3"/>
  <c r="AD346" i="3"/>
  <c r="AE236" i="3"/>
  <c r="AD237" i="3"/>
  <c r="AC124" i="3"/>
  <c r="AA123" i="3"/>
  <c r="Z148" i="3"/>
  <c r="AC136" i="3"/>
  <c r="AA135" i="3"/>
  <c r="AC128" i="3"/>
  <c r="AA127" i="3"/>
  <c r="AD134" i="3"/>
  <c r="AC133" i="3"/>
  <c r="W275" i="3"/>
  <c r="AF303" i="3"/>
  <c r="AA304" i="3"/>
  <c r="AP71" i="3"/>
  <c r="Q315" i="3"/>
  <c r="S315" i="3"/>
  <c r="AA41" i="3"/>
  <c r="Z345" i="3"/>
  <c r="AC118" i="3"/>
  <c r="AA117" i="3"/>
  <c r="R224" i="3"/>
  <c r="R40" i="3"/>
  <c r="R45" i="3" s="1"/>
  <c r="R225" i="3" s="1"/>
  <c r="G10" i="31"/>
  <c r="D36" i="31"/>
  <c r="Y169" i="3"/>
  <c r="AC279" i="3"/>
  <c r="AD279" i="3" s="1"/>
  <c r="AE279" i="3" s="1"/>
  <c r="AF279" i="3" s="1"/>
  <c r="AC122" i="3"/>
  <c r="AA121" i="3"/>
  <c r="Y57" i="3"/>
  <c r="Y60" i="3" s="1"/>
  <c r="Y64" i="3" s="1"/>
  <c r="T315" i="3"/>
  <c r="Z113" i="3"/>
  <c r="R352" i="3"/>
  <c r="N352" i="3"/>
  <c r="N353" i="3" s="1"/>
  <c r="Z293" i="3"/>
  <c r="Y295" i="3"/>
  <c r="Z95" i="3"/>
  <c r="AF368" i="3"/>
  <c r="T39" i="3"/>
  <c r="T40" i="3" s="1"/>
  <c r="W240" i="3"/>
  <c r="W39" i="3" s="1"/>
  <c r="AL279" i="3"/>
  <c r="AL201" i="3" s="1"/>
  <c r="AK331" i="3"/>
  <c r="AL331" i="3" s="1"/>
  <c r="AD365" i="3"/>
  <c r="AC116" i="3"/>
  <c r="AA115" i="3"/>
  <c r="AD296" i="3"/>
  <c r="AA52" i="3" l="1"/>
  <c r="W336" i="3"/>
  <c r="W339" i="3" s="1"/>
  <c r="V289" i="3"/>
  <c r="W289" i="3" s="1"/>
  <c r="V329" i="3"/>
  <c r="W329" i="3" s="1"/>
  <c r="M42" i="37"/>
  <c r="J29" i="37"/>
  <c r="J42" i="37" s="1"/>
  <c r="V339" i="3"/>
  <c r="M21" i="37"/>
  <c r="M34" i="37" s="1"/>
  <c r="M29" i="31"/>
  <c r="M42" i="31" s="1"/>
  <c r="AF244" i="3"/>
  <c r="AG244" i="3" s="1"/>
  <c r="AF246" i="3"/>
  <c r="AG246" i="3" s="1"/>
  <c r="AH229" i="3"/>
  <c r="AF240" i="3"/>
  <c r="AF252" i="3"/>
  <c r="AG252" i="3" s="1"/>
  <c r="AE39" i="3"/>
  <c r="AA158" i="3"/>
  <c r="AA167" i="3" s="1"/>
  <c r="AC159" i="3"/>
  <c r="AD145" i="3"/>
  <c r="AE146" i="3"/>
  <c r="AE324" i="3"/>
  <c r="AF278" i="3"/>
  <c r="E39" i="37"/>
  <c r="AE94" i="3"/>
  <c r="AD93" i="3"/>
  <c r="AC87" i="3"/>
  <c r="AD88" i="3"/>
  <c r="AD338" i="3"/>
  <c r="AE267" i="3"/>
  <c r="X322" i="3"/>
  <c r="AH177" i="3"/>
  <c r="Z63" i="3"/>
  <c r="Z66" i="3" s="1"/>
  <c r="Z56" i="3"/>
  <c r="AE98" i="3"/>
  <c r="AD97" i="3"/>
  <c r="K352" i="3"/>
  <c r="K353" i="3" s="1"/>
  <c r="J258" i="3"/>
  <c r="Q367" i="3"/>
  <c r="Q351" i="3"/>
  <c r="AD106" i="3"/>
  <c r="AC105" i="3"/>
  <c r="AC107" i="3" s="1"/>
  <c r="Z169" i="3"/>
  <c r="AC101" i="3"/>
  <c r="AE112" i="3"/>
  <c r="AD111" i="3"/>
  <c r="Y70" i="3"/>
  <c r="AA119" i="3"/>
  <c r="AA55" i="3"/>
  <c r="AA63" i="3" s="1"/>
  <c r="AA293" i="3"/>
  <c r="Z295" i="3"/>
  <c r="AD122" i="3"/>
  <c r="AC121" i="3"/>
  <c r="AD118" i="3"/>
  <c r="AC117" i="3"/>
  <c r="AA131" i="3"/>
  <c r="AD136" i="3"/>
  <c r="AC135" i="3"/>
  <c r="AC138" i="3" s="1"/>
  <c r="Z152" i="3"/>
  <c r="Z57" i="3"/>
  <c r="AF161" i="3"/>
  <c r="AE160" i="3"/>
  <c r="X336" i="3"/>
  <c r="X323" i="3"/>
  <c r="X259" i="3"/>
  <c r="X275" i="3"/>
  <c r="X280" i="3"/>
  <c r="X185" i="3"/>
  <c r="P21" i="31"/>
  <c r="P34" i="31" s="1"/>
  <c r="X222" i="3"/>
  <c r="AD82" i="3"/>
  <c r="AC81" i="3"/>
  <c r="AC83" i="3" s="1"/>
  <c r="AA95" i="3"/>
  <c r="AA113" i="3"/>
  <c r="AE100" i="3"/>
  <c r="AD99" i="3"/>
  <c r="AA148" i="3"/>
  <c r="AA83" i="3"/>
  <c r="R320" i="3"/>
  <c r="R334" i="3" s="1"/>
  <c r="R43" i="3"/>
  <c r="R44" i="3"/>
  <c r="AA150" i="3"/>
  <c r="F13" i="31"/>
  <c r="T45" i="3"/>
  <c r="E26" i="31"/>
  <c r="E39" i="31" s="1"/>
  <c r="AK303" i="3"/>
  <c r="AF304" i="3"/>
  <c r="AF236" i="3"/>
  <c r="AE346" i="3"/>
  <c r="AE237" i="3"/>
  <c r="AE42" i="3" s="1"/>
  <c r="AE104" i="3"/>
  <c r="AD103" i="3"/>
  <c r="AQ279" i="3"/>
  <c r="AQ201" i="3" s="1"/>
  <c r="AP331" i="3"/>
  <c r="AQ331" i="3" s="1"/>
  <c r="AG236" i="3"/>
  <c r="AD116" i="3"/>
  <c r="AC115" i="3"/>
  <c r="O352" i="3"/>
  <c r="O353" i="3" s="1"/>
  <c r="N258" i="3"/>
  <c r="AD128" i="3"/>
  <c r="AC127" i="3"/>
  <c r="AD124" i="3"/>
  <c r="AC123" i="3"/>
  <c r="AC292" i="3"/>
  <c r="V321" i="3"/>
  <c r="V260" i="3"/>
  <c r="W264" i="3"/>
  <c r="Z54" i="3"/>
  <c r="AH199" i="3"/>
  <c r="AK199" i="3"/>
  <c r="AI199" i="3"/>
  <c r="AJ199" i="3"/>
  <c r="AE59" i="3"/>
  <c r="AD58" i="3"/>
  <c r="AD92" i="3"/>
  <c r="AC91" i="3"/>
  <c r="AD110" i="3"/>
  <c r="AC109" i="3"/>
  <c r="AE80" i="3"/>
  <c r="AD79" i="3"/>
  <c r="AD142" i="3"/>
  <c r="AC141" i="3"/>
  <c r="AE175" i="3"/>
  <c r="AD174" i="3"/>
  <c r="AD130" i="3"/>
  <c r="AC129" i="3"/>
  <c r="AI368" i="3"/>
  <c r="Y13" i="3"/>
  <c r="AA125" i="3"/>
  <c r="AE134" i="3"/>
  <c r="AD133" i="3"/>
  <c r="AD86" i="3"/>
  <c r="AC85" i="3"/>
  <c r="AE296" i="3"/>
  <c r="AE365" i="3"/>
  <c r="AH279" i="3"/>
  <c r="AI279" i="3" s="1"/>
  <c r="AJ279" i="3" s="1"/>
  <c r="AK279" i="3" s="1"/>
  <c r="AC41" i="3"/>
  <c r="AA345" i="3"/>
  <c r="AB345" i="3" s="1"/>
  <c r="AA138" i="3"/>
  <c r="I263" i="3"/>
  <c r="I269" i="3" s="1"/>
  <c r="I299" i="3" s="1"/>
  <c r="I358" i="3"/>
  <c r="I360" i="3" s="1"/>
  <c r="AA89" i="3"/>
  <c r="AH368" i="3"/>
  <c r="AD163" i="3"/>
  <c r="AC162" i="3"/>
  <c r="AD144" i="3"/>
  <c r="AC143" i="3"/>
  <c r="AA107" i="3"/>
  <c r="AA53" i="3"/>
  <c r="AN262" i="3"/>
  <c r="W368" i="3" l="1"/>
  <c r="P21" i="37"/>
  <c r="P34" i="37" s="1"/>
  <c r="AE93" i="3"/>
  <c r="AF94" i="3"/>
  <c r="AA165" i="3"/>
  <c r="AE88" i="3"/>
  <c r="AD87" i="3"/>
  <c r="AF146" i="3"/>
  <c r="AE145" i="3"/>
  <c r="AG240" i="3"/>
  <c r="AG39" i="3" s="1"/>
  <c r="AF39" i="3"/>
  <c r="X264" i="3"/>
  <c r="X260" i="3" s="1"/>
  <c r="X330" i="3" s="1"/>
  <c r="AJ368" i="3"/>
  <c r="D39" i="37"/>
  <c r="AH244" i="3"/>
  <c r="AH240" i="3"/>
  <c r="AI229" i="3"/>
  <c r="AH252" i="3"/>
  <c r="AH246" i="3"/>
  <c r="E40" i="37"/>
  <c r="AE338" i="3"/>
  <c r="AF267" i="3"/>
  <c r="AH278" i="3"/>
  <c r="AF324" i="3"/>
  <c r="AG324" i="3" s="1"/>
  <c r="AG278" i="3"/>
  <c r="AD159" i="3"/>
  <c r="AC158" i="3"/>
  <c r="AC167" i="3" s="1"/>
  <c r="AI177" i="3"/>
  <c r="AC52" i="3"/>
  <c r="AC53" i="3" s="1"/>
  <c r="AF98" i="3"/>
  <c r="AE97" i="3"/>
  <c r="AA66" i="3"/>
  <c r="AF80" i="3"/>
  <c r="AE79" i="3"/>
  <c r="AC119" i="3"/>
  <c r="AC55" i="3"/>
  <c r="AC56" i="3" s="1"/>
  <c r="AF100" i="3"/>
  <c r="AE99" i="3"/>
  <c r="AH161" i="3"/>
  <c r="AF160" i="3"/>
  <c r="AF112" i="3"/>
  <c r="AE111" i="3"/>
  <c r="AE163" i="3"/>
  <c r="AD162" i="3"/>
  <c r="AF134" i="3"/>
  <c r="AE133" i="3"/>
  <c r="AC148" i="3"/>
  <c r="AE92" i="3"/>
  <c r="AD91" i="3"/>
  <c r="AF59" i="3"/>
  <c r="AE58" i="3"/>
  <c r="AL199" i="3"/>
  <c r="W260" i="3"/>
  <c r="V330" i="3"/>
  <c r="W330" i="3" s="1"/>
  <c r="AC131" i="3"/>
  <c r="P352" i="3"/>
  <c r="P353" i="3" s="1"/>
  <c r="O258" i="3"/>
  <c r="AE116" i="3"/>
  <c r="AD115" i="3"/>
  <c r="R367" i="3"/>
  <c r="R354" i="3"/>
  <c r="R356" i="3" s="1"/>
  <c r="R351" i="3"/>
  <c r="R353" i="3" s="1"/>
  <c r="AA152" i="3"/>
  <c r="X329" i="3"/>
  <c r="Y322" i="3"/>
  <c r="Z60" i="3"/>
  <c r="Z64" i="3" s="1"/>
  <c r="AE118" i="3"/>
  <c r="AD117" i="3"/>
  <c r="AA57" i="3"/>
  <c r="J358" i="3"/>
  <c r="J360" i="3" s="1"/>
  <c r="J263" i="3"/>
  <c r="J269" i="3" s="1"/>
  <c r="J299" i="3" s="1"/>
  <c r="AO262" i="3"/>
  <c r="AF296" i="3"/>
  <c r="AF175" i="3"/>
  <c r="AE174" i="3"/>
  <c r="AK304" i="3"/>
  <c r="AP303" i="3"/>
  <c r="AP304" i="3" s="1"/>
  <c r="G13" i="31"/>
  <c r="D39" i="31"/>
  <c r="AE144" i="3"/>
  <c r="AD143" i="3"/>
  <c r="AD41" i="3"/>
  <c r="AC345" i="3"/>
  <c r="AC89" i="3"/>
  <c r="AE130" i="3"/>
  <c r="AD129" i="3"/>
  <c r="AE142" i="3"/>
  <c r="AD141" i="3"/>
  <c r="AC113" i="3"/>
  <c r="AA169" i="3"/>
  <c r="Z13" i="3"/>
  <c r="S21" i="37" s="1"/>
  <c r="S34" i="37" s="1"/>
  <c r="Z70" i="3"/>
  <c r="V18" i="3"/>
  <c r="W321" i="3"/>
  <c r="V265" i="3"/>
  <c r="AD292" i="3"/>
  <c r="AE124" i="3"/>
  <c r="AD123" i="3"/>
  <c r="AE128" i="3"/>
  <c r="AD127" i="3"/>
  <c r="AM279" i="3"/>
  <c r="AN279" i="3" s="1"/>
  <c r="AO279" i="3" s="1"/>
  <c r="AP279" i="3" s="1"/>
  <c r="AF104" i="3"/>
  <c r="AE103" i="3"/>
  <c r="AH236" i="3"/>
  <c r="AF346" i="3"/>
  <c r="AG346" i="3" s="1"/>
  <c r="AF237" i="3"/>
  <c r="AG237" i="3" s="1"/>
  <c r="AC150" i="3"/>
  <c r="AA54" i="3"/>
  <c r="AE82" i="3"/>
  <c r="AD81" i="3"/>
  <c r="AD83" i="3" s="1"/>
  <c r="X289" i="3"/>
  <c r="AE136" i="3"/>
  <c r="AD135" i="3"/>
  <c r="AC125" i="3"/>
  <c r="AB293" i="3"/>
  <c r="AA295" i="3"/>
  <c r="AA56" i="3"/>
  <c r="AE106" i="3"/>
  <c r="AD105" i="3"/>
  <c r="AD107" i="3" s="1"/>
  <c r="K258" i="3"/>
  <c r="L352" i="3"/>
  <c r="L353" i="3" s="1"/>
  <c r="L258" i="3" s="1"/>
  <c r="AC165" i="3"/>
  <c r="AC95" i="3"/>
  <c r="N263" i="3"/>
  <c r="N269" i="3" s="1"/>
  <c r="N299" i="3" s="1"/>
  <c r="N358" i="3"/>
  <c r="N360" i="3" s="1"/>
  <c r="AP262" i="3"/>
  <c r="AF365" i="3"/>
  <c r="AE86" i="3"/>
  <c r="AD85" i="3"/>
  <c r="Y336" i="3"/>
  <c r="P29" i="37" s="1"/>
  <c r="P42" i="37" s="1"/>
  <c r="Y259" i="3"/>
  <c r="Y323" i="3"/>
  <c r="Y280" i="3"/>
  <c r="Y275" i="3"/>
  <c r="S21" i="31"/>
  <c r="S34" i="31" s="1"/>
  <c r="Y185" i="3"/>
  <c r="Y222" i="3"/>
  <c r="AE110" i="3"/>
  <c r="AD109" i="3"/>
  <c r="F14" i="31"/>
  <c r="E27" i="31"/>
  <c r="E40" i="31" s="1"/>
  <c r="AD101" i="3"/>
  <c r="X339" i="3"/>
  <c r="P29" i="31"/>
  <c r="P42" i="31" s="1"/>
  <c r="AE122" i="3"/>
  <c r="AD121" i="3"/>
  <c r="AK368" i="3"/>
  <c r="X321" i="3" l="1"/>
  <c r="X265" i="3" s="1"/>
  <c r="AJ229" i="3"/>
  <c r="AI244" i="3"/>
  <c r="AI240" i="3"/>
  <c r="AI39" i="3" s="1"/>
  <c r="AI246" i="3"/>
  <c r="AI252" i="3"/>
  <c r="AI278" i="3"/>
  <c r="AH324" i="3"/>
  <c r="AH39" i="3"/>
  <c r="AF88" i="3"/>
  <c r="AE87" i="3"/>
  <c r="D40" i="37"/>
  <c r="AE159" i="3"/>
  <c r="AD158" i="3"/>
  <c r="AD167" i="3" s="1"/>
  <c r="AF338" i="3"/>
  <c r="AG338" i="3" s="1"/>
  <c r="AH267" i="3"/>
  <c r="AG267" i="3"/>
  <c r="Y264" i="3"/>
  <c r="Y260" i="3" s="1"/>
  <c r="Y330" i="3" s="1"/>
  <c r="AF42" i="3"/>
  <c r="AF145" i="3"/>
  <c r="AH146" i="3"/>
  <c r="AF93" i="3"/>
  <c r="AH94" i="3"/>
  <c r="AJ177" i="3"/>
  <c r="AC54" i="3"/>
  <c r="AC63" i="3"/>
  <c r="AC66" i="3" s="1"/>
  <c r="Y289" i="3"/>
  <c r="AH98" i="3"/>
  <c r="AF97" i="3"/>
  <c r="AQ262" i="3"/>
  <c r="M258" i="3"/>
  <c r="L358" i="3"/>
  <c r="L360" i="3" s="1"/>
  <c r="L263" i="3"/>
  <c r="L269" i="3" s="1"/>
  <c r="L299" i="3" s="1"/>
  <c r="AH346" i="3"/>
  <c r="AI236" i="3"/>
  <c r="AH237" i="3"/>
  <c r="AE292" i="3"/>
  <c r="AD148" i="3"/>
  <c r="P258" i="3"/>
  <c r="Q352" i="3"/>
  <c r="Q353" i="3" s="1"/>
  <c r="Q258" i="3" s="1"/>
  <c r="AH59" i="3"/>
  <c r="AF58" i="3"/>
  <c r="AD125" i="3"/>
  <c r="AD113" i="3"/>
  <c r="AD52" i="3"/>
  <c r="AD89" i="3"/>
  <c r="AM368" i="3"/>
  <c r="AN368" i="3" s="1"/>
  <c r="K358" i="3"/>
  <c r="K360" i="3" s="1"/>
  <c r="K263" i="3"/>
  <c r="K269" i="3" s="1"/>
  <c r="K299" i="3" s="1"/>
  <c r="AD150" i="3"/>
  <c r="AF128" i="3"/>
  <c r="AE127" i="3"/>
  <c r="AF142" i="3"/>
  <c r="AE141" i="3"/>
  <c r="AF144" i="3"/>
  <c r="AE143" i="3"/>
  <c r="AH296" i="3"/>
  <c r="AG296" i="3"/>
  <c r="AD119" i="3"/>
  <c r="AD55" i="3"/>
  <c r="AD56" i="3" s="1"/>
  <c r="AD95" i="3"/>
  <c r="AE101" i="3"/>
  <c r="AH80" i="3"/>
  <c r="AF79" i="3"/>
  <c r="AH365" i="3"/>
  <c r="W18" i="3"/>
  <c r="V182" i="3"/>
  <c r="V168" i="3"/>
  <c r="V69" i="3"/>
  <c r="V151" i="3"/>
  <c r="AI161" i="3"/>
  <c r="AH160" i="3"/>
  <c r="AF110" i="3"/>
  <c r="AE109" i="3"/>
  <c r="W265" i="3"/>
  <c r="W266" i="3" s="1"/>
  <c r="V266" i="3"/>
  <c r="AD345" i="3"/>
  <c r="AE41" i="3"/>
  <c r="AH175" i="3"/>
  <c r="AF174" i="3"/>
  <c r="AA60" i="3"/>
  <c r="AA64" i="3" s="1"/>
  <c r="AF116" i="3"/>
  <c r="AE115" i="3"/>
  <c r="AN199" i="3"/>
  <c r="AM199" i="3"/>
  <c r="AP199" i="3"/>
  <c r="AO199" i="3"/>
  <c r="AF92" i="3"/>
  <c r="AE91" i="3"/>
  <c r="AD165" i="3"/>
  <c r="AH112" i="3"/>
  <c r="AF111" i="3"/>
  <c r="AH100" i="3"/>
  <c r="AF99" i="3"/>
  <c r="AC57" i="3"/>
  <c r="Y339" i="3"/>
  <c r="S29" i="31"/>
  <c r="S42" i="31" s="1"/>
  <c r="AA13" i="3"/>
  <c r="AA70" i="3"/>
  <c r="AD131" i="3"/>
  <c r="S352" i="3"/>
  <c r="S353" i="3" s="1"/>
  <c r="W352" i="3"/>
  <c r="AC152" i="3"/>
  <c r="AF122" i="3"/>
  <c r="AE121" i="3"/>
  <c r="AF86" i="3"/>
  <c r="AE85" i="3"/>
  <c r="D40" i="31"/>
  <c r="G14" i="31"/>
  <c r="Y329" i="3"/>
  <c r="Z322" i="3"/>
  <c r="AC169" i="3"/>
  <c r="AF106" i="3"/>
  <c r="AE105" i="3"/>
  <c r="AC293" i="3"/>
  <c r="AB295" i="3"/>
  <c r="AF136" i="3"/>
  <c r="AE135" i="3"/>
  <c r="AE138" i="3" s="1"/>
  <c r="AF82" i="3"/>
  <c r="AE81" i="3"/>
  <c r="AE83" i="3" s="1"/>
  <c r="AH104" i="3"/>
  <c r="AF103" i="3"/>
  <c r="AF124" i="3"/>
  <c r="AE123" i="3"/>
  <c r="Z336" i="3"/>
  <c r="Z323" i="3"/>
  <c r="Z275" i="3"/>
  <c r="Z259" i="3"/>
  <c r="Z280" i="3"/>
  <c r="Z185" i="3"/>
  <c r="Z222" i="3"/>
  <c r="AF130" i="3"/>
  <c r="AE129" i="3"/>
  <c r="AD138" i="3"/>
  <c r="AF118" i="3"/>
  <c r="AE117" i="3"/>
  <c r="O263" i="3"/>
  <c r="O269" i="3" s="1"/>
  <c r="O299" i="3" s="1"/>
  <c r="O358" i="3"/>
  <c r="O360" i="3" s="1"/>
  <c r="AH134" i="3"/>
  <c r="AF133" i="3"/>
  <c r="AF163" i="3"/>
  <c r="AE162" i="3"/>
  <c r="X18" i="3" l="1"/>
  <c r="Z339" i="3"/>
  <c r="S29" i="37"/>
  <c r="S42" i="37" s="1"/>
  <c r="Y321" i="3"/>
  <c r="Y18" i="3" s="1"/>
  <c r="AH93" i="3"/>
  <c r="AI94" i="3"/>
  <c r="AE158" i="3"/>
  <c r="AE167" i="3" s="1"/>
  <c r="AF159" i="3"/>
  <c r="AH88" i="3"/>
  <c r="AF87" i="3"/>
  <c r="AJ278" i="3"/>
  <c r="AI324" i="3"/>
  <c r="AH338" i="3"/>
  <c r="AI267" i="3"/>
  <c r="AJ244" i="3"/>
  <c r="AJ240" i="3"/>
  <c r="AJ39" i="3" s="1"/>
  <c r="AJ246" i="3"/>
  <c r="AJ252" i="3"/>
  <c r="AK229" i="3"/>
  <c r="AI146" i="3"/>
  <c r="AH145" i="3"/>
  <c r="AC60" i="3"/>
  <c r="AC64" i="3" s="1"/>
  <c r="AK177" i="3"/>
  <c r="AD57" i="3"/>
  <c r="AC70" i="3"/>
  <c r="AD54" i="3"/>
  <c r="AE52" i="3"/>
  <c r="AE53" i="3" s="1"/>
  <c r="V186" i="3"/>
  <c r="AI98" i="3"/>
  <c r="AH97" i="3"/>
  <c r="AO368" i="3"/>
  <c r="AP368" i="3" s="1"/>
  <c r="AH86" i="3"/>
  <c r="AF85" i="3"/>
  <c r="AH128" i="3"/>
  <c r="AF127" i="3"/>
  <c r="AD63" i="3"/>
  <c r="AD53" i="3"/>
  <c r="AI134" i="3"/>
  <c r="AH133" i="3"/>
  <c r="AH118" i="3"/>
  <c r="AF117" i="3"/>
  <c r="AH130" i="3"/>
  <c r="AF129" i="3"/>
  <c r="Z329" i="3"/>
  <c r="AA322" i="3"/>
  <c r="AB322" i="3" s="1"/>
  <c r="AI104" i="3"/>
  <c r="AH103" i="3"/>
  <c r="AH136" i="3"/>
  <c r="AF135" i="3"/>
  <c r="AH106" i="3"/>
  <c r="AF105" i="3"/>
  <c r="AF107" i="3" s="1"/>
  <c r="AH122" i="3"/>
  <c r="AF121" i="3"/>
  <c r="T352" i="3"/>
  <c r="T353" i="3" s="1"/>
  <c r="S258" i="3"/>
  <c r="AA336" i="3"/>
  <c r="AA339" i="3" s="1"/>
  <c r="AA275" i="3"/>
  <c r="AA259" i="3"/>
  <c r="AA280" i="3"/>
  <c r="AB280" i="3" s="1"/>
  <c r="AA323" i="3"/>
  <c r="AB323" i="3" s="1"/>
  <c r="AA185" i="3"/>
  <c r="AA222" i="3"/>
  <c r="AI112" i="3"/>
  <c r="AH111" i="3"/>
  <c r="AH116" i="3"/>
  <c r="AF115" i="3"/>
  <c r="X266" i="3"/>
  <c r="AJ161" i="3"/>
  <c r="AI160" i="3"/>
  <c r="X69" i="3"/>
  <c r="AH142" i="3"/>
  <c r="AF141" i="3"/>
  <c r="AI59" i="3"/>
  <c r="AH58" i="3"/>
  <c r="AI346" i="3"/>
  <c r="AJ236" i="3"/>
  <c r="AI237" i="3"/>
  <c r="M230" i="3"/>
  <c r="M358" i="3"/>
  <c r="M360" i="3" s="1"/>
  <c r="M263" i="3"/>
  <c r="M269" i="3" s="1"/>
  <c r="M299" i="3" s="1"/>
  <c r="X151" i="3"/>
  <c r="V154" i="3"/>
  <c r="V155" i="3" s="1"/>
  <c r="AI296" i="3"/>
  <c r="AE148" i="3"/>
  <c r="AF101" i="3"/>
  <c r="AE95" i="3"/>
  <c r="AQ199" i="3"/>
  <c r="AI175" i="3"/>
  <c r="AH174" i="3"/>
  <c r="AE113" i="3"/>
  <c r="X168" i="3"/>
  <c r="V171" i="3"/>
  <c r="V172" i="3" s="1"/>
  <c r="Q358" i="3"/>
  <c r="Q360" i="3" s="1"/>
  <c r="R258" i="3"/>
  <c r="Q263" i="3"/>
  <c r="Q269" i="3" s="1"/>
  <c r="Q299" i="3" s="1"/>
  <c r="AF292" i="3"/>
  <c r="AC13" i="3"/>
  <c r="Z289" i="3"/>
  <c r="AE125" i="3"/>
  <c r="AE55" i="3"/>
  <c r="AE56" i="3" s="1"/>
  <c r="AE119" i="3"/>
  <c r="AF41" i="3"/>
  <c r="AE345" i="3"/>
  <c r="AE107" i="3"/>
  <c r="AH144" i="3"/>
  <c r="AF143" i="3"/>
  <c r="AE165" i="3"/>
  <c r="AH163" i="3"/>
  <c r="AF162" i="3"/>
  <c r="AH124" i="3"/>
  <c r="AF123" i="3"/>
  <c r="AH82" i="3"/>
  <c r="AF81" i="3"/>
  <c r="AD293" i="3"/>
  <c r="AC295" i="3"/>
  <c r="AE89" i="3"/>
  <c r="AI100" i="3"/>
  <c r="AH99" i="3"/>
  <c r="AD169" i="3"/>
  <c r="AH92" i="3"/>
  <c r="AF91" i="3"/>
  <c r="AH110" i="3"/>
  <c r="AF109" i="3"/>
  <c r="X182" i="3"/>
  <c r="AI365" i="3"/>
  <c r="AI80" i="3"/>
  <c r="AH79" i="3"/>
  <c r="AE131" i="3"/>
  <c r="AE150" i="3"/>
  <c r="AH42" i="3"/>
  <c r="P358" i="3"/>
  <c r="P360" i="3" s="1"/>
  <c r="P263" i="3"/>
  <c r="P269" i="3" s="1"/>
  <c r="P299" i="3" s="1"/>
  <c r="AD152" i="3"/>
  <c r="Z264" i="3"/>
  <c r="AB13" i="3"/>
  <c r="AD70" i="3" l="1"/>
  <c r="Y265" i="3"/>
  <c r="AD60" i="3"/>
  <c r="AD64" i="3" s="1"/>
  <c r="AI145" i="3"/>
  <c r="AJ146" i="3"/>
  <c r="AI88" i="3"/>
  <c r="AH87" i="3"/>
  <c r="AK246" i="3"/>
  <c r="AL246" i="3" s="1"/>
  <c r="AM229" i="3"/>
  <c r="AK240" i="3"/>
  <c r="AK39" i="3" s="1"/>
  <c r="AK244" i="3"/>
  <c r="AK252" i="3"/>
  <c r="AL252" i="3" s="1"/>
  <c r="AL244" i="3"/>
  <c r="AF158" i="3"/>
  <c r="AF167" i="3" s="1"/>
  <c r="AH159" i="3"/>
  <c r="AL240" i="3"/>
  <c r="AJ324" i="3"/>
  <c r="AK278" i="3"/>
  <c r="AJ267" i="3"/>
  <c r="AI338" i="3"/>
  <c r="AI93" i="3"/>
  <c r="AJ94" i="3"/>
  <c r="AD13" i="3"/>
  <c r="AD323" i="3" s="1"/>
  <c r="AM177" i="3"/>
  <c r="AF150" i="3"/>
  <c r="Y182" i="3"/>
  <c r="AF52" i="3"/>
  <c r="AF53" i="3" s="1"/>
  <c r="AE54" i="3"/>
  <c r="AE57" i="3"/>
  <c r="AJ98" i="3"/>
  <c r="AI97" i="3"/>
  <c r="AJ296" i="3"/>
  <c r="X186" i="3"/>
  <c r="AI128" i="3"/>
  <c r="AH127" i="3"/>
  <c r="AI86" i="3"/>
  <c r="AH85" i="3"/>
  <c r="AE63" i="3"/>
  <c r="AI42" i="3"/>
  <c r="AJ80" i="3"/>
  <c r="AI79" i="3"/>
  <c r="AF113" i="3"/>
  <c r="AI163" i="3"/>
  <c r="AH162" i="3"/>
  <c r="AE169" i="3"/>
  <c r="AI144" i="3"/>
  <c r="AH143" i="3"/>
  <c r="R358" i="3"/>
  <c r="R360" i="3" s="1"/>
  <c r="R263" i="3"/>
  <c r="R269" i="3" s="1"/>
  <c r="R299" i="3" s="1"/>
  <c r="R230" i="3"/>
  <c r="AE152" i="3"/>
  <c r="Y151" i="3"/>
  <c r="X154" i="3"/>
  <c r="X155" i="3" s="1"/>
  <c r="AF148" i="3"/>
  <c r="AK161" i="3"/>
  <c r="AJ160" i="3"/>
  <c r="AF119" i="3"/>
  <c r="AF55" i="3"/>
  <c r="AA329" i="3"/>
  <c r="AB329" i="3" s="1"/>
  <c r="AB259" i="3"/>
  <c r="AC322" i="3"/>
  <c r="S230" i="3"/>
  <c r="S358" i="3"/>
  <c r="S360" i="3" s="1"/>
  <c r="S263" i="3"/>
  <c r="S269" i="3" s="1"/>
  <c r="S299" i="3" s="1"/>
  <c r="AI136" i="3"/>
  <c r="AH135" i="3"/>
  <c r="AJ134" i="3"/>
  <c r="AI133" i="3"/>
  <c r="AF345" i="3"/>
  <c r="AH41" i="3"/>
  <c r="AB222" i="3"/>
  <c r="AI124" i="3"/>
  <c r="AH123" i="3"/>
  <c r="AF138" i="3"/>
  <c r="AJ237" i="3"/>
  <c r="AK236" i="3"/>
  <c r="AJ346" i="3"/>
  <c r="AI142" i="3"/>
  <c r="AH141" i="3"/>
  <c r="AI116" i="3"/>
  <c r="AH115" i="3"/>
  <c r="U352" i="3"/>
  <c r="U353" i="3" s="1"/>
  <c r="T258" i="3"/>
  <c r="AD66" i="3"/>
  <c r="AI92" i="3"/>
  <c r="AH91" i="3"/>
  <c r="AJ100" i="3"/>
  <c r="AI99" i="3"/>
  <c r="AI82" i="3"/>
  <c r="AH81" i="3"/>
  <c r="AC336" i="3"/>
  <c r="AC323" i="3"/>
  <c r="AC280" i="3"/>
  <c r="AC275" i="3"/>
  <c r="AC259" i="3"/>
  <c r="AC185" i="3"/>
  <c r="AC222" i="3"/>
  <c r="AJ175" i="3"/>
  <c r="AI174" i="3"/>
  <c r="AJ112" i="3"/>
  <c r="AI111" i="3"/>
  <c r="AI122" i="3"/>
  <c r="AH121" i="3"/>
  <c r="AJ365" i="3"/>
  <c r="AI110" i="3"/>
  <c r="AH109" i="3"/>
  <c r="AB336" i="3"/>
  <c r="AE293" i="3"/>
  <c r="AD295" i="3"/>
  <c r="AA264" i="3"/>
  <c r="Z260" i="3"/>
  <c r="Z330" i="3" s="1"/>
  <c r="Z321" i="3"/>
  <c r="AF95" i="3"/>
  <c r="AH101" i="3"/>
  <c r="AG345" i="3"/>
  <c r="AG292" i="3"/>
  <c r="AF83" i="3"/>
  <c r="Y168" i="3"/>
  <c r="X171" i="3"/>
  <c r="X172" i="3" s="1"/>
  <c r="AJ59" i="3"/>
  <c r="AI58" i="3"/>
  <c r="Y69" i="3"/>
  <c r="Y266" i="3"/>
  <c r="AA289" i="3"/>
  <c r="AB275" i="3"/>
  <c r="AF125" i="3"/>
  <c r="AI106" i="3"/>
  <c r="AH105" i="3"/>
  <c r="AJ104" i="3"/>
  <c r="AI103" i="3"/>
  <c r="AI130" i="3"/>
  <c r="AH129" i="3"/>
  <c r="AI118" i="3"/>
  <c r="AH117" i="3"/>
  <c r="AF131" i="3"/>
  <c r="AF89" i="3"/>
  <c r="AF63" i="3" l="1"/>
  <c r="AL39" i="3"/>
  <c r="AD275" i="3"/>
  <c r="AD185" i="3"/>
  <c r="AD336" i="3"/>
  <c r="AD339" i="3" s="1"/>
  <c r="AK94" i="3"/>
  <c r="AJ93" i="3"/>
  <c r="AK324" i="3"/>
  <c r="AM278" i="3"/>
  <c r="AL278" i="3"/>
  <c r="AI87" i="3"/>
  <c r="AJ88" i="3"/>
  <c r="AD222" i="3"/>
  <c r="AD259" i="3"/>
  <c r="AL324" i="3"/>
  <c r="AN229" i="3"/>
  <c r="AM252" i="3"/>
  <c r="AM246" i="3"/>
  <c r="AM240" i="3"/>
  <c r="AM244" i="3"/>
  <c r="AK146" i="3"/>
  <c r="AJ145" i="3"/>
  <c r="AD280" i="3"/>
  <c r="AF165" i="3"/>
  <c r="AF169" i="3" s="1"/>
  <c r="AK267" i="3"/>
  <c r="AJ338" i="3"/>
  <c r="AI159" i="3"/>
  <c r="AH158" i="3"/>
  <c r="AH167" i="3" s="1"/>
  <c r="AE60" i="3"/>
  <c r="AE64" i="3" s="1"/>
  <c r="AN177" i="3"/>
  <c r="AE70" i="3"/>
  <c r="AE13" i="3"/>
  <c r="AH52" i="3"/>
  <c r="AK98" i="3"/>
  <c r="AJ97" i="3"/>
  <c r="AF66" i="3"/>
  <c r="AH53" i="3"/>
  <c r="AJ110" i="3"/>
  <c r="AI109" i="3"/>
  <c r="AJ82" i="3"/>
  <c r="AI81" i="3"/>
  <c r="AI83" i="3" s="1"/>
  <c r="AH119" i="3"/>
  <c r="AH55" i="3"/>
  <c r="AH56" i="3" s="1"/>
  <c r="AH148" i="3"/>
  <c r="AJ124" i="3"/>
  <c r="AI123" i="3"/>
  <c r="AJ86" i="3"/>
  <c r="AI85" i="3"/>
  <c r="AJ118" i="3"/>
  <c r="AI117" i="3"/>
  <c r="AK104" i="3"/>
  <c r="AJ103" i="3"/>
  <c r="Y186" i="3"/>
  <c r="Y171" i="3"/>
  <c r="Y172" i="3" s="1"/>
  <c r="AF293" i="3"/>
  <c r="AE295" i="3"/>
  <c r="AK365" i="3"/>
  <c r="AJ122" i="3"/>
  <c r="AI121" i="3"/>
  <c r="AC339" i="3"/>
  <c r="AI101" i="3"/>
  <c r="AJ116" i="3"/>
  <c r="AI115" i="3"/>
  <c r="AJ142" i="3"/>
  <c r="AI141" i="3"/>
  <c r="AJ136" i="3"/>
  <c r="AI135" i="3"/>
  <c r="AI138" i="3" s="1"/>
  <c r="AF56" i="3"/>
  <c r="AM161" i="3"/>
  <c r="AK160" i="3"/>
  <c r="Y154" i="3"/>
  <c r="Y155" i="3" s="1"/>
  <c r="AJ42" i="3"/>
  <c r="AH131" i="3"/>
  <c r="AH138" i="3"/>
  <c r="AB289" i="3"/>
  <c r="Z18" i="3"/>
  <c r="AK175" i="3"/>
  <c r="AJ174" i="3"/>
  <c r="AJ92" i="3"/>
  <c r="AI91" i="3"/>
  <c r="AF54" i="3"/>
  <c r="AB339" i="3"/>
  <c r="AB368" i="3"/>
  <c r="AK100" i="3"/>
  <c r="AJ99" i="3"/>
  <c r="T230" i="3"/>
  <c r="T358" i="3"/>
  <c r="T360" i="3" s="1"/>
  <c r="C406" i="3" s="1"/>
  <c r="T263" i="3"/>
  <c r="T269" i="3" s="1"/>
  <c r="T299" i="3" s="1"/>
  <c r="AM236" i="3"/>
  <c r="AK237" i="3"/>
  <c r="AK346" i="3"/>
  <c r="AL346" i="3" s="1"/>
  <c r="AL236" i="3"/>
  <c r="AK134" i="3"/>
  <c r="AJ133" i="3"/>
  <c r="AF57" i="3"/>
  <c r="AF152" i="3"/>
  <c r="AH165" i="3"/>
  <c r="AE66" i="3"/>
  <c r="AJ128" i="3"/>
  <c r="AI127" i="3"/>
  <c r="AH292" i="3"/>
  <c r="AH125" i="3"/>
  <c r="AC289" i="3"/>
  <c r="AD289" i="3" s="1"/>
  <c r="AH345" i="3"/>
  <c r="AI41" i="3"/>
  <c r="AJ130" i="3"/>
  <c r="AI129" i="3"/>
  <c r="AJ106" i="3"/>
  <c r="AI105" i="3"/>
  <c r="AI107" i="3" s="1"/>
  <c r="Z265" i="3"/>
  <c r="AK59" i="3"/>
  <c r="AJ58" i="3"/>
  <c r="AC264" i="3"/>
  <c r="AC321" i="3" s="1"/>
  <c r="AB264" i="3"/>
  <c r="AA260" i="3"/>
  <c r="AA321" i="3"/>
  <c r="AA18" i="3" s="1"/>
  <c r="AH113" i="3"/>
  <c r="AH150" i="3"/>
  <c r="AK112" i="3"/>
  <c r="AJ111" i="3"/>
  <c r="AC329" i="3"/>
  <c r="AD322" i="3"/>
  <c r="AH95" i="3"/>
  <c r="AH83" i="3"/>
  <c r="AH107" i="3"/>
  <c r="U258" i="3"/>
  <c r="V352" i="3"/>
  <c r="AL237" i="3"/>
  <c r="AJ144" i="3"/>
  <c r="AI143" i="3"/>
  <c r="AJ163" i="3"/>
  <c r="AI162" i="3"/>
  <c r="AK80" i="3"/>
  <c r="AJ79" i="3"/>
  <c r="AH89" i="3"/>
  <c r="AK296" i="3"/>
  <c r="AE259" i="3" l="1"/>
  <c r="AK42" i="3"/>
  <c r="AK338" i="3"/>
  <c r="AL338" i="3" s="1"/>
  <c r="AL267" i="3"/>
  <c r="AM267" i="3"/>
  <c r="AN278" i="3"/>
  <c r="AM324" i="3"/>
  <c r="AK145" i="3"/>
  <c r="AM146" i="3"/>
  <c r="AN246" i="3"/>
  <c r="AO229" i="3"/>
  <c r="AN240" i="3"/>
  <c r="AN252" i="3"/>
  <c r="AN244" i="3"/>
  <c r="AJ87" i="3"/>
  <c r="AK88" i="3"/>
  <c r="AJ159" i="3"/>
  <c r="AI158" i="3"/>
  <c r="AI167" i="3" s="1"/>
  <c r="AM39" i="3"/>
  <c r="AM94" i="3"/>
  <c r="AK93" i="3"/>
  <c r="AO177" i="3"/>
  <c r="AE280" i="3"/>
  <c r="AE275" i="3"/>
  <c r="AE336" i="3"/>
  <c r="AE339" i="3" s="1"/>
  <c r="AE222" i="3"/>
  <c r="AE185" i="3"/>
  <c r="AE323" i="3"/>
  <c r="AE289" i="3" s="1"/>
  <c r="AH57" i="3"/>
  <c r="AH63" i="3"/>
  <c r="AH66" i="3" s="1"/>
  <c r="AM98" i="3"/>
  <c r="AK97" i="3"/>
  <c r="AF60" i="3"/>
  <c r="AF64" i="3" s="1"/>
  <c r="AC18" i="3"/>
  <c r="AB18" i="3"/>
  <c r="AI148" i="3"/>
  <c r="AK86" i="3"/>
  <c r="AJ85" i="3"/>
  <c r="AM80" i="3"/>
  <c r="AK79" i="3"/>
  <c r="AK144" i="3"/>
  <c r="AJ143" i="3"/>
  <c r="AH54" i="3"/>
  <c r="AM112" i="3"/>
  <c r="AK111" i="3"/>
  <c r="AA265" i="3"/>
  <c r="Z266" i="3"/>
  <c r="AK130" i="3"/>
  <c r="AJ129" i="3"/>
  <c r="AJ101" i="3"/>
  <c r="AF13" i="3"/>
  <c r="AF70" i="3"/>
  <c r="AE322" i="3"/>
  <c r="AF322" i="3" s="1"/>
  <c r="AK142" i="3"/>
  <c r="AJ141" i="3"/>
  <c r="AI125" i="3"/>
  <c r="AK118" i="3"/>
  <c r="AJ117" i="3"/>
  <c r="AK110" i="3"/>
  <c r="AJ109" i="3"/>
  <c r="AM296" i="3"/>
  <c r="AL296" i="3"/>
  <c r="AK92" i="3"/>
  <c r="AJ91" i="3"/>
  <c r="AJ52" i="3" s="1"/>
  <c r="AN161" i="3"/>
  <c r="AM160" i="3"/>
  <c r="Z69" i="3"/>
  <c r="AH152" i="3"/>
  <c r="AI113" i="3"/>
  <c r="AI131" i="3"/>
  <c r="AH169" i="3"/>
  <c r="AM134" i="3"/>
  <c r="AK133" i="3"/>
  <c r="AM237" i="3"/>
  <c r="AM42" i="3" s="1"/>
  <c r="AN236" i="3"/>
  <c r="AM346" i="3"/>
  <c r="AM100" i="3"/>
  <c r="AK99" i="3"/>
  <c r="AM175" i="3"/>
  <c r="AK174" i="3"/>
  <c r="AD329" i="3"/>
  <c r="Z182" i="3"/>
  <c r="Z151" i="3"/>
  <c r="AI119" i="3"/>
  <c r="AI55" i="3"/>
  <c r="AI56" i="3" s="1"/>
  <c r="AK122" i="3"/>
  <c r="AJ121" i="3"/>
  <c r="AG293" i="3"/>
  <c r="AF295" i="3"/>
  <c r="Z168" i="3"/>
  <c r="AM59" i="3"/>
  <c r="AK58" i="3"/>
  <c r="AK136" i="3"/>
  <c r="AJ135" i="3"/>
  <c r="AI165" i="3"/>
  <c r="AI150" i="3"/>
  <c r="AJ150" i="3" s="1"/>
  <c r="AB260" i="3"/>
  <c r="AA330" i="3"/>
  <c r="AB330" i="3" s="1"/>
  <c r="AD264" i="3"/>
  <c r="AC260" i="3"/>
  <c r="AC330" i="3" s="1"/>
  <c r="AK163" i="3"/>
  <c r="AJ162" i="3"/>
  <c r="U230" i="3"/>
  <c r="V230" i="3" s="1"/>
  <c r="X230" i="3" s="1"/>
  <c r="Y230" i="3" s="1"/>
  <c r="Z230" i="3" s="1"/>
  <c r="AA230" i="3" s="1"/>
  <c r="AC230" i="3" s="1"/>
  <c r="AD230" i="3" s="1"/>
  <c r="AE230" i="3" s="1"/>
  <c r="AF230" i="3" s="1"/>
  <c r="AH230" i="3" s="1"/>
  <c r="AI230" i="3" s="1"/>
  <c r="AJ230" i="3" s="1"/>
  <c r="AK230" i="3" s="1"/>
  <c r="AM230" i="3" s="1"/>
  <c r="AN230" i="3" s="1"/>
  <c r="AO230" i="3" s="1"/>
  <c r="AP230" i="3" s="1"/>
  <c r="U358" i="3"/>
  <c r="U360" i="3" s="1"/>
  <c r="U263" i="3"/>
  <c r="U269" i="3" s="1"/>
  <c r="U299" i="3" s="1"/>
  <c r="AK106" i="3"/>
  <c r="AJ105" i="3"/>
  <c r="AJ107" i="3" s="1"/>
  <c r="AJ41" i="3"/>
  <c r="AI345" i="3"/>
  <c r="AI292" i="3"/>
  <c r="AK128" i="3"/>
  <c r="AJ127" i="3"/>
  <c r="AI52" i="3"/>
  <c r="AI95" i="3"/>
  <c r="AB321" i="3"/>
  <c r="AK116" i="3"/>
  <c r="AJ115" i="3"/>
  <c r="AM365" i="3"/>
  <c r="AM104" i="3"/>
  <c r="AK103" i="3"/>
  <c r="AI89" i="3"/>
  <c r="AK124" i="3"/>
  <c r="AJ123" i="3"/>
  <c r="AK82" i="3"/>
  <c r="AJ81" i="3"/>
  <c r="AJ83" i="3" s="1"/>
  <c r="V30" i="3" l="1"/>
  <c r="AK159" i="3"/>
  <c r="AJ158" i="3"/>
  <c r="AJ167" i="3" s="1"/>
  <c r="AN146" i="3"/>
  <c r="AM145" i="3"/>
  <c r="AN267" i="3"/>
  <c r="AM338" i="3"/>
  <c r="AM88" i="3"/>
  <c r="AK87" i="3"/>
  <c r="AN39" i="3"/>
  <c r="AO240" i="3"/>
  <c r="AO244" i="3"/>
  <c r="AO252" i="3"/>
  <c r="AO246" i="3"/>
  <c r="AP229" i="3"/>
  <c r="AM93" i="3"/>
  <c r="AN94" i="3"/>
  <c r="AO278" i="3"/>
  <c r="AN324" i="3"/>
  <c r="AP177" i="3"/>
  <c r="AI54" i="3"/>
  <c r="AN98" i="3"/>
  <c r="AM97" i="3"/>
  <c r="AA182" i="3"/>
  <c r="AM124" i="3"/>
  <c r="AK123" i="3"/>
  <c r="W30" i="3"/>
  <c r="V31" i="3"/>
  <c r="V34" i="3" s="1"/>
  <c r="AN134" i="3"/>
  <c r="AM133" i="3"/>
  <c r="AN112" i="3"/>
  <c r="AM111" i="3"/>
  <c r="AM128" i="3"/>
  <c r="AK127" i="3"/>
  <c r="AK41" i="3"/>
  <c r="AJ345" i="3"/>
  <c r="AI169" i="3"/>
  <c r="AM136" i="3"/>
  <c r="AK135" i="3"/>
  <c r="AK138" i="3" s="1"/>
  <c r="AJ125" i="3"/>
  <c r="AI57" i="3"/>
  <c r="AI60" i="3" s="1"/>
  <c r="AK101" i="3"/>
  <c r="AN237" i="3"/>
  <c r="AN42" i="3" s="1"/>
  <c r="AN346" i="3"/>
  <c r="AO236" i="3"/>
  <c r="AM92" i="3"/>
  <c r="AK91" i="3"/>
  <c r="AM118" i="3"/>
  <c r="AK117" i="3"/>
  <c r="AJ148" i="3"/>
  <c r="AH13" i="3"/>
  <c r="AH70" i="3"/>
  <c r="AN80" i="3"/>
  <c r="AM79" i="3"/>
  <c r="AM86" i="3"/>
  <c r="AK85" i="3"/>
  <c r="AM116" i="3"/>
  <c r="AK115" i="3"/>
  <c r="AJ131" i="3"/>
  <c r="AH293" i="3"/>
  <c r="AG295" i="3"/>
  <c r="AN175" i="3"/>
  <c r="AM174" i="3"/>
  <c r="AA69" i="3"/>
  <c r="AJ89" i="3"/>
  <c r="AE329" i="3"/>
  <c r="AN365" i="3"/>
  <c r="AN59" i="3"/>
  <c r="AM58" i="3"/>
  <c r="AA168" i="3"/>
  <c r="Z171" i="3"/>
  <c r="Z172" i="3" s="1"/>
  <c r="AM122" i="3"/>
  <c r="AK121" i="3"/>
  <c r="AN100" i="3"/>
  <c r="AM99" i="3"/>
  <c r="AO161" i="3"/>
  <c r="AN160" i="3"/>
  <c r="AJ113" i="3"/>
  <c r="AM142" i="3"/>
  <c r="AK141" i="3"/>
  <c r="AK150" i="3" s="1"/>
  <c r="AM130" i="3"/>
  <c r="AK129" i="3"/>
  <c r="AG322" i="3"/>
  <c r="AN104" i="3"/>
  <c r="AM103" i="3"/>
  <c r="AE264" i="3"/>
  <c r="AD260" i="3"/>
  <c r="AD330" i="3" s="1"/>
  <c r="AJ95" i="3"/>
  <c r="AN296" i="3"/>
  <c r="AF336" i="3"/>
  <c r="AF323" i="3"/>
  <c r="AF275" i="3"/>
  <c r="AF259" i="3"/>
  <c r="AF280" i="3"/>
  <c r="AG280" i="3" s="1"/>
  <c r="AF222" i="3"/>
  <c r="AF185" i="3"/>
  <c r="AG13" i="3"/>
  <c r="AC265" i="3"/>
  <c r="AB265" i="3"/>
  <c r="AB266" i="3" s="1"/>
  <c r="AA266" i="3"/>
  <c r="AM82" i="3"/>
  <c r="AK81" i="3"/>
  <c r="AK83" i="3" s="1"/>
  <c r="AJ165" i="3"/>
  <c r="AJ119" i="3"/>
  <c r="AJ55" i="3"/>
  <c r="AJ63" i="3" s="1"/>
  <c r="AI63" i="3"/>
  <c r="AI53" i="3"/>
  <c r="AJ292" i="3"/>
  <c r="AM106" i="3"/>
  <c r="AK105" i="3"/>
  <c r="AK107" i="3" s="1"/>
  <c r="AM163" i="3"/>
  <c r="AK162" i="3"/>
  <c r="AD321" i="3"/>
  <c r="AJ53" i="3"/>
  <c r="AA151" i="3"/>
  <c r="Z154" i="3"/>
  <c r="Z155" i="3" s="1"/>
  <c r="AM110" i="3"/>
  <c r="AK109" i="3"/>
  <c r="AJ138" i="3"/>
  <c r="AM144" i="3"/>
  <c r="AK143" i="3"/>
  <c r="AH60" i="3"/>
  <c r="AH64" i="3" s="1"/>
  <c r="AI152" i="3"/>
  <c r="Z186" i="3"/>
  <c r="AN93" i="3" l="1"/>
  <c r="AO94" i="3"/>
  <c r="AM87" i="3"/>
  <c r="AN88" i="3"/>
  <c r="AN145" i="3"/>
  <c r="AO146" i="3"/>
  <c r="AP244" i="3"/>
  <c r="AQ244" i="3" s="1"/>
  <c r="AP246" i="3"/>
  <c r="AP252" i="3"/>
  <c r="AQ252" i="3" s="1"/>
  <c r="AP240" i="3"/>
  <c r="AP39" i="3" s="1"/>
  <c r="AO39" i="3"/>
  <c r="AQ240" i="3"/>
  <c r="AQ39" i="3" s="1"/>
  <c r="AP278" i="3"/>
  <c r="AO324" i="3"/>
  <c r="AQ246" i="3"/>
  <c r="AO267" i="3"/>
  <c r="AN338" i="3"/>
  <c r="AM159" i="3"/>
  <c r="AK158" i="3"/>
  <c r="AK167" i="3" s="1"/>
  <c r="AI70" i="3"/>
  <c r="AM101" i="3"/>
  <c r="AJ56" i="3"/>
  <c r="AJ54" i="3"/>
  <c r="AC182" i="3"/>
  <c r="AO98" i="3"/>
  <c r="AN97" i="3"/>
  <c r="AJ66" i="3"/>
  <c r="AN106" i="3"/>
  <c r="AM105" i="3"/>
  <c r="AM107" i="3" s="1"/>
  <c r="AJ169" i="3"/>
  <c r="AH336" i="3"/>
  <c r="AH323" i="3"/>
  <c r="AH259" i="3"/>
  <c r="AH280" i="3"/>
  <c r="AH275" i="3"/>
  <c r="AH222" i="3"/>
  <c r="AH185" i="3"/>
  <c r="AO346" i="3"/>
  <c r="AP236" i="3"/>
  <c r="AO237" i="3"/>
  <c r="AQ236" i="3"/>
  <c r="AK165" i="3"/>
  <c r="AK292" i="3"/>
  <c r="AG222" i="3"/>
  <c r="AF339" i="3"/>
  <c r="AG336" i="3"/>
  <c r="AO104" i="3"/>
  <c r="AN103" i="3"/>
  <c r="AK148" i="3"/>
  <c r="AO100" i="3"/>
  <c r="AN99" i="3"/>
  <c r="AC168" i="3"/>
  <c r="AA171" i="3"/>
  <c r="AA172" i="3" s="1"/>
  <c r="AO175" i="3"/>
  <c r="AN174" i="3"/>
  <c r="AO80" i="3"/>
  <c r="AN79" i="3"/>
  <c r="AN118" i="3"/>
  <c r="AM117" i="3"/>
  <c r="AI64" i="3"/>
  <c r="AM41" i="3"/>
  <c r="AK345" i="3"/>
  <c r="AL345" i="3" s="1"/>
  <c r="AO112" i="3"/>
  <c r="AN111" i="3"/>
  <c r="AD18" i="3"/>
  <c r="AJ57" i="3"/>
  <c r="AO365" i="3"/>
  <c r="AK113" i="3"/>
  <c r="AO296" i="3"/>
  <c r="AN142" i="3"/>
  <c r="AM141" i="3"/>
  <c r="AP161" i="3"/>
  <c r="AP160" i="3" s="1"/>
  <c r="AO160" i="3"/>
  <c r="AK125" i="3"/>
  <c r="AK119" i="3"/>
  <c r="AK55" i="3"/>
  <c r="AK56" i="3" s="1"/>
  <c r="AK89" i="3"/>
  <c r="AJ152" i="3"/>
  <c r="AK95" i="3"/>
  <c r="AK131" i="3"/>
  <c r="AI13" i="3"/>
  <c r="AC151" i="3"/>
  <c r="AA154" i="3"/>
  <c r="AA155" i="3" s="1"/>
  <c r="AI66" i="3"/>
  <c r="AN82" i="3"/>
  <c r="AM81" i="3"/>
  <c r="AM83" i="3" s="1"/>
  <c r="AD265" i="3"/>
  <c r="AC266" i="3"/>
  <c r="AF289" i="3"/>
  <c r="AG323" i="3"/>
  <c r="AN144" i="3"/>
  <c r="AM143" i="3"/>
  <c r="AN163" i="3"/>
  <c r="AM162" i="3"/>
  <c r="AF329" i="3"/>
  <c r="AG329" i="3" s="1"/>
  <c r="AG259" i="3"/>
  <c r="AH322" i="3"/>
  <c r="AN110" i="3"/>
  <c r="AM109" i="3"/>
  <c r="AM113" i="3" s="1"/>
  <c r="AM150" i="3"/>
  <c r="AK52" i="3"/>
  <c r="AG275" i="3"/>
  <c r="AF264" i="3"/>
  <c r="AE260" i="3"/>
  <c r="AE330" i="3" s="1"/>
  <c r="AE321" i="3"/>
  <c r="AE18" i="3" s="1"/>
  <c r="AN130" i="3"/>
  <c r="AM129" i="3"/>
  <c r="AN122" i="3"/>
  <c r="AM121" i="3"/>
  <c r="AO59" i="3"/>
  <c r="AN58" i="3"/>
  <c r="AC69" i="3"/>
  <c r="AA186" i="3"/>
  <c r="AI293" i="3"/>
  <c r="AH295" i="3"/>
  <c r="AN116" i="3"/>
  <c r="AM115" i="3"/>
  <c r="AN86" i="3"/>
  <c r="AM85" i="3"/>
  <c r="AM89" i="3" s="1"/>
  <c r="AN92" i="3"/>
  <c r="AM91" i="3"/>
  <c r="AM95" i="3" s="1"/>
  <c r="AN136" i="3"/>
  <c r="AM135" i="3"/>
  <c r="AM138" i="3" s="1"/>
  <c r="AN128" i="3"/>
  <c r="AM127" i="3"/>
  <c r="AO134" i="3"/>
  <c r="AN133" i="3"/>
  <c r="W31" i="3"/>
  <c r="W34" i="3" s="1"/>
  <c r="AN124" i="3"/>
  <c r="AM123" i="3"/>
  <c r="AP267" i="3" l="1"/>
  <c r="AO338" i="3"/>
  <c r="AO88" i="3"/>
  <c r="AN87" i="3"/>
  <c r="AN159" i="3"/>
  <c r="AM158" i="3"/>
  <c r="AM167" i="3" s="1"/>
  <c r="AP146" i="3"/>
  <c r="AP145" i="3" s="1"/>
  <c r="AO145" i="3"/>
  <c r="AO93" i="3"/>
  <c r="AP94" i="3"/>
  <c r="AP93" i="3" s="1"/>
  <c r="AP324" i="3"/>
  <c r="AQ324" i="3" s="1"/>
  <c r="AQ278" i="3"/>
  <c r="AN101" i="3"/>
  <c r="AM131" i="3"/>
  <c r="AK54" i="3"/>
  <c r="AJ60" i="3"/>
  <c r="AJ64" i="3" s="1"/>
  <c r="AM54" i="3"/>
  <c r="AP98" i="3"/>
  <c r="AP97" i="3" s="1"/>
  <c r="AO97" i="3"/>
  <c r="AN41" i="3"/>
  <c r="AM345" i="3"/>
  <c r="AH289" i="3"/>
  <c r="AO124" i="3"/>
  <c r="AN123" i="3"/>
  <c r="AP134" i="3"/>
  <c r="AP133" i="3" s="1"/>
  <c r="AO133" i="3"/>
  <c r="AO136" i="3"/>
  <c r="AN135" i="3"/>
  <c r="AN138" i="3" s="1"/>
  <c r="AO116" i="3"/>
  <c r="AN115" i="3"/>
  <c r="AM125" i="3"/>
  <c r="AK63" i="3"/>
  <c r="AK53" i="3"/>
  <c r="AM52" i="3"/>
  <c r="AG289" i="3"/>
  <c r="AO82" i="3"/>
  <c r="AN81" i="3"/>
  <c r="AD151" i="3"/>
  <c r="AC154" i="3"/>
  <c r="AC155" i="3" s="1"/>
  <c r="AK57" i="3"/>
  <c r="AM148" i="3"/>
  <c r="AP296" i="3"/>
  <c r="AP175" i="3"/>
  <c r="AP174" i="3" s="1"/>
  <c r="AO174" i="3"/>
  <c r="AP100" i="3"/>
  <c r="AP99" i="3" s="1"/>
  <c r="AO99" i="3"/>
  <c r="AP104" i="3"/>
  <c r="AP103" i="3" s="1"/>
  <c r="AO103" i="3"/>
  <c r="AH339" i="3"/>
  <c r="AO106" i="3"/>
  <c r="AN105" i="3"/>
  <c r="AN107" i="3" s="1"/>
  <c r="AJ13" i="3"/>
  <c r="AP112" i="3"/>
  <c r="AP111" i="3" s="1"/>
  <c r="AO111" i="3"/>
  <c r="AO130" i="3"/>
  <c r="AN129" i="3"/>
  <c r="AO110" i="3"/>
  <c r="AN109" i="3"/>
  <c r="AN113" i="3" s="1"/>
  <c r="AI336" i="3"/>
  <c r="AI339" i="3" s="1"/>
  <c r="AI323" i="3"/>
  <c r="AI280" i="3"/>
  <c r="AI275" i="3"/>
  <c r="AI259" i="3"/>
  <c r="AI185" i="3"/>
  <c r="AI222" i="3"/>
  <c r="AO142" i="3"/>
  <c r="AN141" i="3"/>
  <c r="AN83" i="3"/>
  <c r="AK152" i="3"/>
  <c r="AG339" i="3"/>
  <c r="AG368" i="3"/>
  <c r="AL292" i="3"/>
  <c r="AP346" i="3"/>
  <c r="AQ346" i="3" s="1"/>
  <c r="AP237" i="3"/>
  <c r="AQ237" i="3" s="1"/>
  <c r="AM119" i="3"/>
  <c r="AM57" i="3" s="1"/>
  <c r="AM55" i="3"/>
  <c r="AM56" i="3" s="1"/>
  <c r="AP59" i="3"/>
  <c r="AP58" i="3" s="1"/>
  <c r="AO58" i="3"/>
  <c r="AP365" i="3"/>
  <c r="AK169" i="3"/>
  <c r="AO86" i="3"/>
  <c r="AN85" i="3"/>
  <c r="AD69" i="3"/>
  <c r="AC186" i="3"/>
  <c r="AO122" i="3"/>
  <c r="AN121" i="3"/>
  <c r="AH264" i="3"/>
  <c r="AF260" i="3"/>
  <c r="AG264" i="3"/>
  <c r="AF321" i="3"/>
  <c r="AO128" i="3"/>
  <c r="AN127" i="3"/>
  <c r="AO92" i="3"/>
  <c r="AN91" i="3"/>
  <c r="AN95" i="3" s="1"/>
  <c r="AJ293" i="3"/>
  <c r="AI295" i="3"/>
  <c r="AO163" i="3"/>
  <c r="AN162" i="3"/>
  <c r="AO144" i="3"/>
  <c r="AN143" i="3"/>
  <c r="AE265" i="3"/>
  <c r="AD266" i="3"/>
  <c r="AO118" i="3"/>
  <c r="AN117" i="3"/>
  <c r="AP80" i="3"/>
  <c r="AP79" i="3" s="1"/>
  <c r="AO79" i="3"/>
  <c r="AD168" i="3"/>
  <c r="AC171" i="3"/>
  <c r="AC172" i="3" s="1"/>
  <c r="AH329" i="3"/>
  <c r="AI322" i="3"/>
  <c r="AO42" i="3"/>
  <c r="AP42" i="3" s="1"/>
  <c r="AJ70" i="3"/>
  <c r="AD182" i="3"/>
  <c r="AO101" i="3" l="1"/>
  <c r="AN89" i="3"/>
  <c r="AN131" i="3"/>
  <c r="AO87" i="3"/>
  <c r="AP88" i="3"/>
  <c r="AP87" i="3" s="1"/>
  <c r="AN158" i="3"/>
  <c r="AN167" i="3" s="1"/>
  <c r="AO159" i="3"/>
  <c r="AP338" i="3"/>
  <c r="AQ338" i="3" s="1"/>
  <c r="AQ267" i="3"/>
  <c r="AN165" i="3"/>
  <c r="AM165" i="3"/>
  <c r="AM169" i="3" s="1"/>
  <c r="AP101" i="3"/>
  <c r="AK60" i="3"/>
  <c r="AK64" i="3" s="1"/>
  <c r="AN125" i="3"/>
  <c r="AK70" i="3"/>
  <c r="AM60" i="3"/>
  <c r="AN52" i="3"/>
  <c r="AE182" i="3"/>
  <c r="AI289" i="3"/>
  <c r="AP118" i="3"/>
  <c r="AP117" i="3" s="1"/>
  <c r="AO117" i="3"/>
  <c r="AP128" i="3"/>
  <c r="AP127" i="3" s="1"/>
  <c r="AO127" i="3"/>
  <c r="AN55" i="3"/>
  <c r="AN56" i="3" s="1"/>
  <c r="AN119" i="3"/>
  <c r="AO41" i="3"/>
  <c r="AN345" i="3"/>
  <c r="AE69" i="3"/>
  <c r="AN54" i="3"/>
  <c r="AP110" i="3"/>
  <c r="AP109" i="3" s="1"/>
  <c r="AP113" i="3" s="1"/>
  <c r="AO109" i="3"/>
  <c r="AO113" i="3" s="1"/>
  <c r="AJ336" i="3"/>
  <c r="AJ323" i="3"/>
  <c r="AJ280" i="3"/>
  <c r="AJ275" i="3"/>
  <c r="AJ259" i="3"/>
  <c r="AJ222" i="3"/>
  <c r="AJ185" i="3"/>
  <c r="AD186" i="3"/>
  <c r="AM63" i="3"/>
  <c r="AM66" i="3" s="1"/>
  <c r="AM53" i="3"/>
  <c r="AP116" i="3"/>
  <c r="AP115" i="3" s="1"/>
  <c r="AO115" i="3"/>
  <c r="AM70" i="3"/>
  <c r="AF265" i="3"/>
  <c r="AE266" i="3"/>
  <c r="AK293" i="3"/>
  <c r="AJ295" i="3"/>
  <c r="AM152" i="3"/>
  <c r="AP144" i="3"/>
  <c r="AP143" i="3" s="1"/>
  <c r="AO143" i="3"/>
  <c r="AP122" i="3"/>
  <c r="AP121" i="3" s="1"/>
  <c r="AO121" i="3"/>
  <c r="AM292" i="3"/>
  <c r="AN148" i="3"/>
  <c r="AI329" i="3"/>
  <c r="AJ322" i="3"/>
  <c r="AQ296" i="3"/>
  <c r="AP82" i="3"/>
  <c r="AP81" i="3" s="1"/>
  <c r="AP83" i="3" s="1"/>
  <c r="AO81" i="3"/>
  <c r="AO83" i="3" s="1"/>
  <c r="AK13" i="3"/>
  <c r="AE168" i="3"/>
  <c r="AD171" i="3"/>
  <c r="AD172" i="3" s="1"/>
  <c r="AP163" i="3"/>
  <c r="AP162" i="3" s="1"/>
  <c r="AO162" i="3"/>
  <c r="AI264" i="3"/>
  <c r="AI321" i="3" s="1"/>
  <c r="AI18" i="3" s="1"/>
  <c r="AH260" i="3"/>
  <c r="AH330" i="3" s="1"/>
  <c r="AE151" i="3"/>
  <c r="AD154" i="3"/>
  <c r="AD155" i="3" s="1"/>
  <c r="AP92" i="3"/>
  <c r="AP91" i="3" s="1"/>
  <c r="AP95" i="3" s="1"/>
  <c r="AO91" i="3"/>
  <c r="AO95" i="3" s="1"/>
  <c r="AH321" i="3"/>
  <c r="AN169" i="3"/>
  <c r="AF18" i="3"/>
  <c r="AG321" i="3"/>
  <c r="AG260" i="3"/>
  <c r="AF330" i="3"/>
  <c r="AG330" i="3" s="1"/>
  <c r="AP86" i="3"/>
  <c r="AP85" i="3" s="1"/>
  <c r="AO85" i="3"/>
  <c r="AN150" i="3"/>
  <c r="AN53" i="3"/>
  <c r="AP142" i="3"/>
  <c r="AP141" i="3" s="1"/>
  <c r="AO141" i="3"/>
  <c r="AO148" i="3" s="1"/>
  <c r="AP130" i="3"/>
  <c r="AP129" i="3" s="1"/>
  <c r="AO129" i="3"/>
  <c r="AP106" i="3"/>
  <c r="AP105" i="3" s="1"/>
  <c r="AP107" i="3" s="1"/>
  <c r="AO105" i="3"/>
  <c r="AO107" i="3" s="1"/>
  <c r="AK66" i="3"/>
  <c r="AP136" i="3"/>
  <c r="AP135" i="3" s="1"/>
  <c r="AP138" i="3" s="1"/>
  <c r="AO135" i="3"/>
  <c r="AO138" i="3" s="1"/>
  <c r="AP124" i="3"/>
  <c r="AP123" i="3" s="1"/>
  <c r="AO123" i="3"/>
  <c r="AM13" i="3"/>
  <c r="AO89" i="3" l="1"/>
  <c r="AP89" i="3"/>
  <c r="AP54" i="3" s="1"/>
  <c r="AN57" i="3"/>
  <c r="AN70" i="3" s="1"/>
  <c r="AP165" i="3"/>
  <c r="AP169" i="3" s="1"/>
  <c r="AP159" i="3"/>
  <c r="AP158" i="3" s="1"/>
  <c r="AO158" i="3"/>
  <c r="AO167" i="3" s="1"/>
  <c r="AP167" i="3" s="1"/>
  <c r="AP148" i="3"/>
  <c r="AN63" i="3"/>
  <c r="AN66" i="3" s="1"/>
  <c r="AM64" i="3"/>
  <c r="AO54" i="3"/>
  <c r="AK336" i="3"/>
  <c r="AK339" i="3" s="1"/>
  <c r="AK280" i="3"/>
  <c r="AL280" i="3" s="1"/>
  <c r="AK275" i="3"/>
  <c r="AM275" i="3" s="1"/>
  <c r="AK323" i="3"/>
  <c r="AL323" i="3" s="1"/>
  <c r="AK185" i="3"/>
  <c r="AK222" i="3"/>
  <c r="AK259" i="3"/>
  <c r="AM259" i="3" s="1"/>
  <c r="AL13" i="3"/>
  <c r="AN13" i="3"/>
  <c r="AM336" i="3"/>
  <c r="AM323" i="3"/>
  <c r="AM185" i="3"/>
  <c r="AM222" i="3"/>
  <c r="AP152" i="3"/>
  <c r="AO150" i="3"/>
  <c r="AP150" i="3" s="1"/>
  <c r="AN152" i="3"/>
  <c r="AN292" i="3"/>
  <c r="AH265" i="3"/>
  <c r="AG265" i="3"/>
  <c r="AG266" i="3" s="1"/>
  <c r="AF266" i="3"/>
  <c r="AJ329" i="3"/>
  <c r="AK322" i="3"/>
  <c r="AL322" i="3" s="1"/>
  <c r="AJ339" i="3"/>
  <c r="AO52" i="3"/>
  <c r="AO152" i="3"/>
  <c r="AN60" i="3"/>
  <c r="AO125" i="3"/>
  <c r="AO55" i="3"/>
  <c r="AO56" i="3" s="1"/>
  <c r="AO119" i="3"/>
  <c r="AF69" i="3"/>
  <c r="AE186" i="3"/>
  <c r="AP41" i="3"/>
  <c r="AP345" i="3" s="1"/>
  <c r="AO345" i="3"/>
  <c r="AO131" i="3"/>
  <c r="AF182" i="3"/>
  <c r="AJ289" i="3"/>
  <c r="AG18" i="3"/>
  <c r="AH18" i="3"/>
  <c r="AF151" i="3"/>
  <c r="AE154" i="3"/>
  <c r="AE155" i="3" s="1"/>
  <c r="AI260" i="3"/>
  <c r="AI330" i="3" s="1"/>
  <c r="AJ264" i="3"/>
  <c r="AF168" i="3"/>
  <c r="AE171" i="3"/>
  <c r="AE172" i="3" s="1"/>
  <c r="AP125" i="3"/>
  <c r="AP52" i="3"/>
  <c r="AL293" i="3"/>
  <c r="AK295" i="3"/>
  <c r="AP119" i="3"/>
  <c r="AP55" i="3"/>
  <c r="AP56" i="3" s="1"/>
  <c r="AP131" i="3"/>
  <c r="AN64" i="3" l="1"/>
  <c r="AO165" i="3"/>
  <c r="AO169" i="3" s="1"/>
  <c r="AQ345" i="3"/>
  <c r="AF186" i="3"/>
  <c r="AL336" i="3"/>
  <c r="AL339" i="3" s="1"/>
  <c r="AH182" i="3"/>
  <c r="AH69" i="3"/>
  <c r="AM293" i="3"/>
  <c r="AL295" i="3"/>
  <c r="AH168" i="3"/>
  <c r="AF171" i="3"/>
  <c r="AF172" i="3" s="1"/>
  <c r="AO57" i="3"/>
  <c r="AI265" i="3"/>
  <c r="AH266" i="3"/>
  <c r="AM280" i="3"/>
  <c r="AM339" i="3"/>
  <c r="AN336" i="3"/>
  <c r="AN339" i="3" s="1"/>
  <c r="AN259" i="3"/>
  <c r="AN323" i="3"/>
  <c r="AN222" i="3"/>
  <c r="AN185" i="3"/>
  <c r="AN275" i="3"/>
  <c r="AL222" i="3"/>
  <c r="AO292" i="3"/>
  <c r="AK329" i="3"/>
  <c r="AL329" i="3" s="1"/>
  <c r="AL259" i="3"/>
  <c r="AM322" i="3"/>
  <c r="AM329" i="3" s="1"/>
  <c r="AK289" i="3"/>
  <c r="AL289" i="3" s="1"/>
  <c r="AO63" i="3"/>
  <c r="AO66" i="3" s="1"/>
  <c r="AO53" i="3"/>
  <c r="AP63" i="3"/>
  <c r="AP66" i="3" s="1"/>
  <c r="AP53" i="3"/>
  <c r="AP57" i="3"/>
  <c r="AP60" i="3" s="1"/>
  <c r="AK264" i="3"/>
  <c r="AJ260" i="3"/>
  <c r="AJ330" i="3" s="1"/>
  <c r="AJ321" i="3"/>
  <c r="AH151" i="3"/>
  <c r="AF154" i="3"/>
  <c r="AF155" i="3" s="1"/>
  <c r="AL275" i="3"/>
  <c r="AP70" i="3" l="1"/>
  <c r="AP13" i="3"/>
  <c r="AP185" i="3" s="1"/>
  <c r="AL368" i="3"/>
  <c r="AH186" i="3"/>
  <c r="AN280" i="3"/>
  <c r="AM289" i="3"/>
  <c r="AN289" i="3" s="1"/>
  <c r="AN322" i="3"/>
  <c r="AO322" i="3" s="1"/>
  <c r="AM264" i="3"/>
  <c r="AM321" i="3" s="1"/>
  <c r="AL264" i="3"/>
  <c r="AK260" i="3"/>
  <c r="AK321" i="3"/>
  <c r="AK18" i="3" s="1"/>
  <c r="AI182" i="3"/>
  <c r="AJ18" i="3"/>
  <c r="AP64" i="3"/>
  <c r="AJ265" i="3"/>
  <c r="AI266" i="3"/>
  <c r="AI168" i="3"/>
  <c r="AH171" i="3"/>
  <c r="AH172" i="3" s="1"/>
  <c r="AP292" i="3"/>
  <c r="AO60" i="3"/>
  <c r="AO64" i="3" s="1"/>
  <c r="AO70" i="3"/>
  <c r="AO13" i="3"/>
  <c r="AI151" i="3"/>
  <c r="AH154" i="3"/>
  <c r="AH155" i="3" s="1"/>
  <c r="AN293" i="3"/>
  <c r="AM295" i="3"/>
  <c r="AI69" i="3"/>
  <c r="AP222" i="3" l="1"/>
  <c r="AP336" i="3"/>
  <c r="AP339" i="3" s="1"/>
  <c r="AP323" i="3"/>
  <c r="AN329" i="3"/>
  <c r="AJ151" i="3"/>
  <c r="AI154" i="3"/>
  <c r="AI155" i="3" s="1"/>
  <c r="AL18" i="3"/>
  <c r="AO293" i="3"/>
  <c r="AN295" i="3"/>
  <c r="AJ182" i="3"/>
  <c r="AQ292" i="3"/>
  <c r="AO280" i="3"/>
  <c r="AP280" i="3" s="1"/>
  <c r="AQ280" i="3" s="1"/>
  <c r="AO336" i="3"/>
  <c r="AO323" i="3"/>
  <c r="AO259" i="3"/>
  <c r="AO185" i="3"/>
  <c r="AO222" i="3"/>
  <c r="AO275" i="3"/>
  <c r="AQ13" i="3"/>
  <c r="AK265" i="3"/>
  <c r="AJ266" i="3"/>
  <c r="AM18" i="3"/>
  <c r="AJ69" i="3"/>
  <c r="AI186" i="3"/>
  <c r="AJ168" i="3"/>
  <c r="AI171" i="3"/>
  <c r="AI172" i="3" s="1"/>
  <c r="AL321" i="3"/>
  <c r="AL260" i="3"/>
  <c r="AK330" i="3"/>
  <c r="AL330" i="3" s="1"/>
  <c r="AN264" i="3"/>
  <c r="AM260" i="3"/>
  <c r="AM330" i="3" s="1"/>
  <c r="AK69" i="3" l="1"/>
  <c r="AO329" i="3"/>
  <c r="AP322" i="3"/>
  <c r="AQ322" i="3" s="1"/>
  <c r="AP259" i="3"/>
  <c r="AK151" i="3"/>
  <c r="AJ154" i="3"/>
  <c r="AJ155" i="3" s="1"/>
  <c r="AK168" i="3"/>
  <c r="AJ171" i="3"/>
  <c r="AJ172" i="3" s="1"/>
  <c r="AO289" i="3"/>
  <c r="AP289" i="3" s="1"/>
  <c r="AQ289" i="3" s="1"/>
  <c r="AQ323" i="3"/>
  <c r="AP275" i="3"/>
  <c r="AO339" i="3"/>
  <c r="AQ336" i="3"/>
  <c r="AJ186" i="3"/>
  <c r="AO264" i="3"/>
  <c r="AN260" i="3"/>
  <c r="AN330" i="3" s="1"/>
  <c r="AK182" i="3"/>
  <c r="AN321" i="3"/>
  <c r="AL265" i="3"/>
  <c r="AL266" i="3" s="1"/>
  <c r="AM265" i="3"/>
  <c r="AK266" i="3"/>
  <c r="AQ222" i="3"/>
  <c r="AP293" i="3"/>
  <c r="AO295" i="3"/>
  <c r="AM182" i="3" l="1"/>
  <c r="AP264" i="3"/>
  <c r="AO260" i="3"/>
  <c r="AO330" i="3" s="1"/>
  <c r="AO321" i="3"/>
  <c r="AO18" i="3" s="1"/>
  <c r="AP329" i="3"/>
  <c r="AQ329" i="3" s="1"/>
  <c r="AQ259" i="3"/>
  <c r="AQ293" i="3"/>
  <c r="AQ295" i="3" s="1"/>
  <c r="AP295" i="3"/>
  <c r="AN265" i="3"/>
  <c r="AM266" i="3"/>
  <c r="AM168" i="3"/>
  <c r="AK171" i="3"/>
  <c r="AK172" i="3" s="1"/>
  <c r="AQ339" i="3"/>
  <c r="AQ368" i="3"/>
  <c r="AM69" i="3"/>
  <c r="AK186" i="3"/>
  <c r="AN18" i="3"/>
  <c r="AQ275" i="3"/>
  <c r="AM151" i="3"/>
  <c r="AK154" i="3"/>
  <c r="AK155" i="3" s="1"/>
  <c r="AN69" i="3" l="1"/>
  <c r="AM186" i="3"/>
  <c r="AN151" i="3"/>
  <c r="AM154" i="3"/>
  <c r="AM155" i="3" s="1"/>
  <c r="AN168" i="3"/>
  <c r="AM171" i="3"/>
  <c r="AM172" i="3" s="1"/>
  <c r="AO265" i="3"/>
  <c r="AN266" i="3"/>
  <c r="AP260" i="3"/>
  <c r="AQ264" i="3"/>
  <c r="AP321" i="3"/>
  <c r="AN182" i="3"/>
  <c r="AO69" i="3" l="1"/>
  <c r="AN186" i="3"/>
  <c r="AQ260" i="3"/>
  <c r="AP330" i="3"/>
  <c r="AQ330" i="3" s="1"/>
  <c r="AO168" i="3"/>
  <c r="AN171" i="3"/>
  <c r="AN172" i="3" s="1"/>
  <c r="AO151" i="3"/>
  <c r="AN154" i="3"/>
  <c r="AN155" i="3" s="1"/>
  <c r="AO182" i="3"/>
  <c r="AP18" i="3"/>
  <c r="AQ321" i="3"/>
  <c r="AP265" i="3"/>
  <c r="AO266" i="3"/>
  <c r="AP182" i="3" l="1"/>
  <c r="AQ265" i="3"/>
  <c r="AQ266" i="3" s="1"/>
  <c r="AP266" i="3"/>
  <c r="AP168" i="3"/>
  <c r="AP171" i="3" s="1"/>
  <c r="AP172" i="3" s="1"/>
  <c r="AO171" i="3"/>
  <c r="AO172" i="3" s="1"/>
  <c r="AP69" i="3"/>
  <c r="AO186" i="3"/>
  <c r="AP151" i="3"/>
  <c r="AP154" i="3" s="1"/>
  <c r="AP155" i="3" s="1"/>
  <c r="AO154" i="3"/>
  <c r="AO155" i="3" s="1"/>
  <c r="AQ18" i="3"/>
  <c r="AP186" i="3" l="1"/>
  <c r="U72" i="3"/>
  <c r="U75" i="3" s="1"/>
  <c r="U76" i="3" s="1"/>
  <c r="U67" i="3"/>
  <c r="V67" i="3" s="1"/>
  <c r="U187" i="3"/>
  <c r="V68" i="3" l="1"/>
  <c r="X67" i="3"/>
  <c r="U73" i="3"/>
  <c r="Y67" i="3" l="1"/>
  <c r="X68" i="3"/>
  <c r="V19" i="3"/>
  <c r="V72" i="3"/>
  <c r="W72" i="3" l="1"/>
  <c r="V75" i="3"/>
  <c r="V73" i="3"/>
  <c r="V228" i="3"/>
  <c r="V187" i="3"/>
  <c r="W19" i="3"/>
  <c r="X72" i="3"/>
  <c r="X19" i="3"/>
  <c r="Z67" i="3"/>
  <c r="Y68" i="3"/>
  <c r="X75" i="3" l="1"/>
  <c r="X73" i="3"/>
  <c r="W228" i="3"/>
  <c r="V76" i="3"/>
  <c r="W75" i="3"/>
  <c r="Y72" i="3"/>
  <c r="Y19" i="3"/>
  <c r="Z68" i="3"/>
  <c r="AA67" i="3"/>
  <c r="X187" i="3"/>
  <c r="X228" i="3"/>
  <c r="AA68" i="3" l="1"/>
  <c r="AC67" i="3"/>
  <c r="Y75" i="3"/>
  <c r="Y76" i="3" s="1"/>
  <c r="Y73" i="3"/>
  <c r="X76" i="3"/>
  <c r="Z72" i="3"/>
  <c r="Z19" i="3"/>
  <c r="Y187" i="3"/>
  <c r="Y228" i="3"/>
  <c r="AA72" i="3" l="1"/>
  <c r="AA19" i="3"/>
  <c r="AB19" i="3" s="1"/>
  <c r="Z228" i="3"/>
  <c r="Z187" i="3"/>
  <c r="Z73" i="3"/>
  <c r="Z75" i="3"/>
  <c r="Z76" i="3" s="1"/>
  <c r="AD67" i="3"/>
  <c r="AC68" i="3"/>
  <c r="AA75" i="3" l="1"/>
  <c r="AA76" i="3" s="1"/>
  <c r="AA73" i="3"/>
  <c r="AB72" i="3"/>
  <c r="AC72" i="3"/>
  <c r="AC19" i="3"/>
  <c r="AB228" i="3"/>
  <c r="AD68" i="3"/>
  <c r="AE67" i="3"/>
  <c r="AA187" i="3"/>
  <c r="AA228" i="3"/>
  <c r="AB75" i="3" l="1"/>
  <c r="AB76" i="3" s="1"/>
  <c r="AE68" i="3"/>
  <c r="AF67" i="3"/>
  <c r="AC73" i="3"/>
  <c r="AC75" i="3"/>
  <c r="AC76" i="3" s="1"/>
  <c r="AD19" i="3"/>
  <c r="AD72" i="3"/>
  <c r="AC187" i="3"/>
  <c r="AC228" i="3"/>
  <c r="AD73" i="3" l="1"/>
  <c r="AD75" i="3"/>
  <c r="AD76" i="3" s="1"/>
  <c r="AD228" i="3"/>
  <c r="AD187" i="3"/>
  <c r="AE72" i="3"/>
  <c r="AE19" i="3"/>
  <c r="AF68" i="3"/>
  <c r="AH67" i="3"/>
  <c r="AF19" i="3" l="1"/>
  <c r="AF72" i="3"/>
  <c r="AE75" i="3"/>
  <c r="AE76" i="3" s="1"/>
  <c r="AE73" i="3"/>
  <c r="AI67" i="3"/>
  <c r="AH68" i="3"/>
  <c r="AE228" i="3"/>
  <c r="AE187" i="3"/>
  <c r="AH19" i="3" l="1"/>
  <c r="AH72" i="3"/>
  <c r="AF73" i="3"/>
  <c r="AF75" i="3"/>
  <c r="AF76" i="3" s="1"/>
  <c r="AJ67" i="3"/>
  <c r="AI68" i="3"/>
  <c r="AF228" i="3"/>
  <c r="AF187" i="3"/>
  <c r="AG19" i="3"/>
  <c r="AK67" i="3" l="1"/>
  <c r="AJ68" i="3"/>
  <c r="AH75" i="3"/>
  <c r="AH76" i="3" s="1"/>
  <c r="AH73" i="3"/>
  <c r="AH187" i="3"/>
  <c r="AH228" i="3"/>
  <c r="AG228" i="3"/>
  <c r="AI19" i="3"/>
  <c r="AI72" i="3"/>
  <c r="AI73" i="3" l="1"/>
  <c r="AI75" i="3"/>
  <c r="AI76" i="3" s="1"/>
  <c r="AJ72" i="3"/>
  <c r="AJ19" i="3"/>
  <c r="AI187" i="3"/>
  <c r="AI228" i="3"/>
  <c r="AM67" i="3"/>
  <c r="AK68" i="3"/>
  <c r="AN67" i="3" l="1"/>
  <c r="AM68" i="3"/>
  <c r="AJ187" i="3"/>
  <c r="AJ228" i="3"/>
  <c r="AJ73" i="3"/>
  <c r="AJ75" i="3"/>
  <c r="AJ76" i="3" s="1"/>
  <c r="AK19" i="3"/>
  <c r="AL19" i="3" s="1"/>
  <c r="AK72" i="3"/>
  <c r="AL228" i="3" l="1"/>
  <c r="AK75" i="3"/>
  <c r="AK76" i="3" s="1"/>
  <c r="AK73" i="3"/>
  <c r="AM19" i="3"/>
  <c r="AM72" i="3"/>
  <c r="AK187" i="3"/>
  <c r="AK228" i="3"/>
  <c r="AN68" i="3"/>
  <c r="AO67" i="3"/>
  <c r="AM75" i="3" l="1"/>
  <c r="AM76" i="3" s="1"/>
  <c r="AM73" i="3"/>
  <c r="AN19" i="3"/>
  <c r="AN72" i="3"/>
  <c r="AO68" i="3"/>
  <c r="AP67" i="3"/>
  <c r="AP68" i="3" s="1"/>
  <c r="AM187" i="3"/>
  <c r="AM228" i="3"/>
  <c r="AN228" i="3" l="1"/>
  <c r="AN187" i="3"/>
  <c r="AN75" i="3"/>
  <c r="AN76" i="3" s="1"/>
  <c r="AN73" i="3"/>
  <c r="AP72" i="3"/>
  <c r="AP19" i="3"/>
  <c r="AO72" i="3"/>
  <c r="AO19" i="3"/>
  <c r="AO73" i="3" l="1"/>
  <c r="AO75" i="3"/>
  <c r="AO76" i="3" s="1"/>
  <c r="AP228" i="3"/>
  <c r="AP187" i="3"/>
  <c r="AP73" i="3"/>
  <c r="AP75" i="3"/>
  <c r="AP76" i="3" s="1"/>
  <c r="AO187" i="3"/>
  <c r="AO228" i="3"/>
  <c r="AQ19" i="3"/>
  <c r="AQ228" i="3" l="1"/>
  <c r="U179" i="3"/>
  <c r="U189" i="3"/>
  <c r="V179" i="3" l="1"/>
  <c r="U183" i="3"/>
  <c r="U188" i="3" s="1"/>
  <c r="X179" i="3"/>
  <c r="V16" i="3"/>
  <c r="V23" i="3"/>
  <c r="V178" i="3"/>
  <c r="V17" i="3" l="1"/>
  <c r="W17" i="3" s="1"/>
  <c r="V15" i="3"/>
  <c r="V20" i="3"/>
  <c r="W20" i="3" s="1"/>
  <c r="W16" i="3"/>
  <c r="W227" i="3" s="1"/>
  <c r="V227" i="3"/>
  <c r="V274" i="3"/>
  <c r="W23" i="3"/>
  <c r="X17" i="3"/>
  <c r="X15" i="3"/>
  <c r="X20" i="3"/>
  <c r="X16" i="3"/>
  <c r="Y179" i="3"/>
  <c r="X178" i="3"/>
  <c r="X23" i="3"/>
  <c r="V24" i="3" l="1"/>
  <c r="V25" i="3" s="1"/>
  <c r="V27" i="3" s="1"/>
  <c r="J22" i="37" s="1"/>
  <c r="V188" i="3"/>
  <c r="V226" i="3"/>
  <c r="V273" i="3"/>
  <c r="X273" i="3" s="1"/>
  <c r="X333" i="3" s="1"/>
  <c r="W15" i="3"/>
  <c r="W226" i="3" s="1"/>
  <c r="X24" i="3"/>
  <c r="X25" i="3" s="1"/>
  <c r="X188" i="3"/>
  <c r="X226" i="3"/>
  <c r="Y20" i="3"/>
  <c r="Y15" i="3"/>
  <c r="Y23" i="3"/>
  <c r="Y17" i="3"/>
  <c r="Y178" i="3"/>
  <c r="Y16" i="3"/>
  <c r="Y227" i="3" s="1"/>
  <c r="Z179" i="3"/>
  <c r="X227" i="3"/>
  <c r="V189" i="3"/>
  <c r="V35" i="3"/>
  <c r="V223" i="3"/>
  <c r="X274" i="3"/>
  <c r="X332" i="3" s="1"/>
  <c r="W274" i="3"/>
  <c r="V332" i="3"/>
  <c r="W332" i="3" s="1"/>
  <c r="W24" i="3" l="1"/>
  <c r="W25" i="3" s="1"/>
  <c r="W223" i="3" s="1"/>
  <c r="J25" i="37"/>
  <c r="J38" i="37" s="1"/>
  <c r="J23" i="37"/>
  <c r="J36" i="37" s="1"/>
  <c r="J35" i="37"/>
  <c r="V333" i="3"/>
  <c r="W333" i="3" s="1"/>
  <c r="W273" i="3"/>
  <c r="Y273" i="3" s="1"/>
  <c r="Y333" i="3" s="1"/>
  <c r="W35" i="3"/>
  <c r="W36" i="3" s="1"/>
  <c r="W27" i="3"/>
  <c r="W224" i="3" s="1"/>
  <c r="V224" i="3"/>
  <c r="M22" i="31"/>
  <c r="X189" i="3"/>
  <c r="X27" i="3"/>
  <c r="M22" i="37" s="1"/>
  <c r="M23" i="37" s="1"/>
  <c r="M36" i="37" s="1"/>
  <c r="X223" i="3"/>
  <c r="Y24" i="3"/>
  <c r="Y25" i="3" s="1"/>
  <c r="Y188" i="3"/>
  <c r="Y226" i="3"/>
  <c r="Z17" i="3"/>
  <c r="Z23" i="3"/>
  <c r="Z15" i="3"/>
  <c r="Z16" i="3"/>
  <c r="Z227" i="3" s="1"/>
  <c r="AA179" i="3"/>
  <c r="Z178" i="3"/>
  <c r="Z20" i="3"/>
  <c r="Y274" i="3"/>
  <c r="Y332" i="3" s="1"/>
  <c r="V37" i="3"/>
  <c r="W37" i="3" s="1"/>
  <c r="M25" i="31"/>
  <c r="M38" i="31" s="1"/>
  <c r="V36" i="3"/>
  <c r="J24" i="37" s="1"/>
  <c r="J37" i="37" s="1"/>
  <c r="M35" i="37" l="1"/>
  <c r="W229" i="3"/>
  <c r="M24" i="31"/>
  <c r="M37" i="31" s="1"/>
  <c r="V38" i="3"/>
  <c r="V320" i="3" s="1"/>
  <c r="Z274" i="3"/>
  <c r="Z332" i="3" s="1"/>
  <c r="W40" i="3"/>
  <c r="AA15" i="3"/>
  <c r="AA23" i="3"/>
  <c r="AA17" i="3"/>
  <c r="AB17" i="3" s="1"/>
  <c r="AA20" i="3"/>
  <c r="AB20" i="3" s="1"/>
  <c r="AA178" i="3"/>
  <c r="AC179" i="3"/>
  <c r="AA16" i="3"/>
  <c r="V40" i="3"/>
  <c r="Y223" i="3"/>
  <c r="Y27" i="3"/>
  <c r="P22" i="37" s="1"/>
  <c r="P23" i="37" s="1"/>
  <c r="P36" i="37" s="1"/>
  <c r="Y189" i="3"/>
  <c r="W38" i="3"/>
  <c r="X224" i="3"/>
  <c r="P22" i="31"/>
  <c r="M23" i="31"/>
  <c r="M36" i="31" s="1"/>
  <c r="M35" i="31"/>
  <c r="Z24" i="3"/>
  <c r="Z25" i="3" s="1"/>
  <c r="Z226" i="3"/>
  <c r="Z273" i="3"/>
  <c r="Z333" i="3" s="1"/>
  <c r="Z188" i="3"/>
  <c r="P35" i="37" l="1"/>
  <c r="V44" i="3"/>
  <c r="J26" i="37"/>
  <c r="J39" i="37" s="1"/>
  <c r="V43" i="3"/>
  <c r="AA274" i="3"/>
  <c r="AB274" i="3" s="1"/>
  <c r="Z27" i="3"/>
  <c r="S22" i="37" s="1"/>
  <c r="S23" i="37" s="1"/>
  <c r="S36" i="37" s="1"/>
  <c r="Z189" i="3"/>
  <c r="Z223" i="3"/>
  <c r="P23" i="31"/>
  <c r="P36" i="31" s="1"/>
  <c r="P35" i="31"/>
  <c r="V334" i="3"/>
  <c r="V367" i="3" s="1"/>
  <c r="V290" i="3"/>
  <c r="AA227" i="3"/>
  <c r="AB16" i="3"/>
  <c r="AB227" i="3" s="1"/>
  <c r="M26" i="31"/>
  <c r="M39" i="31" s="1"/>
  <c r="V45" i="3"/>
  <c r="J27" i="37" s="1"/>
  <c r="J40" i="37" s="1"/>
  <c r="AC23" i="3"/>
  <c r="AC20" i="3"/>
  <c r="AD179" i="3"/>
  <c r="AC16" i="3"/>
  <c r="AC15" i="3"/>
  <c r="AC178" i="3"/>
  <c r="AC17" i="3"/>
  <c r="S22" i="31"/>
  <c r="Y224" i="3"/>
  <c r="W320" i="3"/>
  <c r="W334" i="3" s="1"/>
  <c r="W41" i="3"/>
  <c r="W43" i="3" s="1"/>
  <c r="W42" i="3"/>
  <c r="W45" i="3" s="1"/>
  <c r="W225" i="3" s="1"/>
  <c r="AB23" i="3"/>
  <c r="AA24" i="3"/>
  <c r="AA25" i="3" s="1"/>
  <c r="AA273" i="3"/>
  <c r="AA226" i="3"/>
  <c r="AA188" i="3"/>
  <c r="AB15" i="3"/>
  <c r="AA332" i="3" l="1"/>
  <c r="AB332" i="3" s="1"/>
  <c r="S35" i="37"/>
  <c r="M27" i="31"/>
  <c r="M40" i="31" s="1"/>
  <c r="W44" i="3"/>
  <c r="W354" i="3"/>
  <c r="W356" i="3" s="1"/>
  <c r="W367" i="3"/>
  <c r="S35" i="31"/>
  <c r="S23" i="31"/>
  <c r="S36" i="31" s="1"/>
  <c r="AB273" i="3"/>
  <c r="AA333" i="3"/>
  <c r="AB333" i="3" s="1"/>
  <c r="AC24" i="3"/>
  <c r="AC25" i="3" s="1"/>
  <c r="AC273" i="3"/>
  <c r="AC333" i="3" s="1"/>
  <c r="AC188" i="3"/>
  <c r="AC226" i="3"/>
  <c r="AC274" i="3"/>
  <c r="AC332" i="3" s="1"/>
  <c r="Z224" i="3"/>
  <c r="AD23" i="3"/>
  <c r="AD16" i="3"/>
  <c r="AD227" i="3" s="1"/>
  <c r="AD15" i="3"/>
  <c r="AD17" i="3"/>
  <c r="AD178" i="3"/>
  <c r="AE179" i="3"/>
  <c r="AD20" i="3"/>
  <c r="AB24" i="3"/>
  <c r="AB25" i="3" s="1"/>
  <c r="AB226" i="3"/>
  <c r="AA27" i="3"/>
  <c r="AA223" i="3"/>
  <c r="AA189" i="3"/>
  <c r="AC227" i="3"/>
  <c r="W290" i="3"/>
  <c r="W297" i="3" s="1"/>
  <c r="V297" i="3"/>
  <c r="V272" i="3" l="1"/>
  <c r="V277" i="3"/>
  <c r="V271" i="3"/>
  <c r="AE16" i="3"/>
  <c r="AE227" i="3" s="1"/>
  <c r="AE20" i="3"/>
  <c r="AE178" i="3"/>
  <c r="AE23" i="3"/>
  <c r="AE15" i="3"/>
  <c r="AF179" i="3"/>
  <c r="AE17" i="3"/>
  <c r="AD274" i="3"/>
  <c r="AD332" i="3" s="1"/>
  <c r="AC27" i="3"/>
  <c r="AC189" i="3"/>
  <c r="AC223" i="3"/>
  <c r="AA224" i="3"/>
  <c r="AB27" i="3"/>
  <c r="AB223" i="3"/>
  <c r="AD226" i="3"/>
  <c r="AD24" i="3"/>
  <c r="AD25" i="3" s="1"/>
  <c r="AD273" i="3"/>
  <c r="AD333" i="3" s="1"/>
  <c r="AD188" i="3"/>
  <c r="AB224" i="3" l="1"/>
  <c r="AE274" i="3"/>
  <c r="AE332" i="3" s="1"/>
  <c r="X29" i="3"/>
  <c r="V315" i="3"/>
  <c r="V341" i="3"/>
  <c r="V359" i="3"/>
  <c r="W271" i="3"/>
  <c r="W315" i="3"/>
  <c r="V276" i="3"/>
  <c r="V284" i="3" s="1"/>
  <c r="V298" i="3" s="1"/>
  <c r="AD189" i="3"/>
  <c r="AD223" i="3"/>
  <c r="AD27" i="3"/>
  <c r="AE24" i="3"/>
  <c r="AE25" i="3" s="1"/>
  <c r="AE226" i="3"/>
  <c r="AE273" i="3"/>
  <c r="AE333" i="3" s="1"/>
  <c r="AE188" i="3"/>
  <c r="W277" i="3"/>
  <c r="V343" i="3"/>
  <c r="W343" i="3" s="1"/>
  <c r="AC224" i="3"/>
  <c r="AF23" i="3"/>
  <c r="AF17" i="3"/>
  <c r="AG17" i="3" s="1"/>
  <c r="AF20" i="3"/>
  <c r="AG20" i="3" s="1"/>
  <c r="AF178" i="3"/>
  <c r="AF15" i="3"/>
  <c r="AG15" i="3" s="1"/>
  <c r="AH179" i="3"/>
  <c r="AF16" i="3"/>
  <c r="V342" i="3"/>
  <c r="W342" i="3" s="1"/>
  <c r="W272" i="3"/>
  <c r="W231" i="3" l="1"/>
  <c r="AF188" i="3"/>
  <c r="AF24" i="3"/>
  <c r="AF25" i="3" s="1"/>
  <c r="AF273" i="3"/>
  <c r="AF226" i="3"/>
  <c r="AF274" i="3"/>
  <c r="AG23" i="3"/>
  <c r="W359" i="3"/>
  <c r="W276" i="3"/>
  <c r="W284" i="3" s="1"/>
  <c r="W298" i="3" s="1"/>
  <c r="AH20" i="3"/>
  <c r="AI179" i="3"/>
  <c r="AH16" i="3"/>
  <c r="AH178" i="3"/>
  <c r="AH23" i="3"/>
  <c r="AH15" i="3"/>
  <c r="AH17" i="3"/>
  <c r="AG226" i="3"/>
  <c r="AE223" i="3"/>
  <c r="AE27" i="3"/>
  <c r="AE189" i="3"/>
  <c r="AF227" i="3"/>
  <c r="AG16" i="3"/>
  <c r="AG227" i="3" s="1"/>
  <c r="AD224" i="3"/>
  <c r="V349" i="3"/>
  <c r="V351" i="3" s="1"/>
  <c r="V353" i="3" s="1"/>
  <c r="V258" i="3" s="1"/>
  <c r="W341" i="3"/>
  <c r="W349" i="3" s="1"/>
  <c r="W351" i="3" s="1"/>
  <c r="W353" i="3" s="1"/>
  <c r="AG24" i="3" l="1"/>
  <c r="AG25" i="3" s="1"/>
  <c r="AG27" i="3" s="1"/>
  <c r="AE224" i="3"/>
  <c r="V263" i="3"/>
  <c r="V269" i="3" s="1"/>
  <c r="V299" i="3" s="1"/>
  <c r="W258" i="3"/>
  <c r="X30" i="3"/>
  <c r="V358" i="3"/>
  <c r="V360" i="3" s="1"/>
  <c r="AH227" i="3"/>
  <c r="AG274" i="3"/>
  <c r="AF332" i="3"/>
  <c r="AG332" i="3" s="1"/>
  <c r="AB352" i="3"/>
  <c r="X352" i="3"/>
  <c r="AH24" i="3"/>
  <c r="AH25" i="3" s="1"/>
  <c r="AH226" i="3"/>
  <c r="AH273" i="3"/>
  <c r="AH333" i="3" s="1"/>
  <c r="AH188" i="3"/>
  <c r="AF27" i="3"/>
  <c r="AF189" i="3"/>
  <c r="AF223" i="3"/>
  <c r="AI16" i="3"/>
  <c r="AI227" i="3" s="1"/>
  <c r="AI15" i="3"/>
  <c r="AI17" i="3"/>
  <c r="AI23" i="3"/>
  <c r="AJ179" i="3"/>
  <c r="AI20" i="3"/>
  <c r="AI178" i="3"/>
  <c r="AH274" i="3"/>
  <c r="AH332" i="3" s="1"/>
  <c r="AF333" i="3"/>
  <c r="AG333" i="3" s="1"/>
  <c r="AG273" i="3"/>
  <c r="AG223" i="3" l="1"/>
  <c r="AI226" i="3"/>
  <c r="AI24" i="3"/>
  <c r="AI25" i="3" s="1"/>
  <c r="AI273" i="3"/>
  <c r="AI333" i="3" s="1"/>
  <c r="AI188" i="3"/>
  <c r="AG224" i="3"/>
  <c r="AJ17" i="3"/>
  <c r="AJ23" i="3"/>
  <c r="AJ15" i="3"/>
  <c r="AJ16" i="3"/>
  <c r="AJ178" i="3"/>
  <c r="AK179" i="3"/>
  <c r="AJ20" i="3"/>
  <c r="AF224" i="3"/>
  <c r="AH27" i="3"/>
  <c r="AH189" i="3"/>
  <c r="AH223" i="3"/>
  <c r="W263" i="3"/>
  <c r="W269" i="3" s="1"/>
  <c r="W299" i="3" s="1"/>
  <c r="W358" i="3"/>
  <c r="W360" i="3" s="1"/>
  <c r="W230" i="3"/>
  <c r="AI274" i="3"/>
  <c r="AI332" i="3" s="1"/>
  <c r="X31" i="3"/>
  <c r="X34" i="3" s="1"/>
  <c r="X35" i="3" l="1"/>
  <c r="AJ227" i="3"/>
  <c r="AI27" i="3"/>
  <c r="AI223" i="3"/>
  <c r="AI189" i="3"/>
  <c r="AJ273" i="3"/>
  <c r="AJ333" i="3" s="1"/>
  <c r="AJ24" i="3"/>
  <c r="AJ25" i="3" s="1"/>
  <c r="AJ188" i="3"/>
  <c r="AJ226" i="3"/>
  <c r="AH224" i="3"/>
  <c r="AK15" i="3"/>
  <c r="AK178" i="3"/>
  <c r="AK17" i="3"/>
  <c r="AL17" i="3" s="1"/>
  <c r="AK23" i="3"/>
  <c r="AL23" i="3" s="1"/>
  <c r="AK16" i="3"/>
  <c r="AK227" i="3" s="1"/>
  <c r="AM179" i="3"/>
  <c r="AK20" i="3"/>
  <c r="AL20" i="3" s="1"/>
  <c r="AJ274" i="3"/>
  <c r="AJ332" i="3" s="1"/>
  <c r="M25" i="37" l="1"/>
  <c r="M38" i="37" s="1"/>
  <c r="AJ223" i="3"/>
  <c r="AJ27" i="3"/>
  <c r="AJ189" i="3"/>
  <c r="AI224" i="3"/>
  <c r="AN179" i="3"/>
  <c r="AM15" i="3"/>
  <c r="AM23" i="3"/>
  <c r="AM20" i="3"/>
  <c r="AM17" i="3"/>
  <c r="AM16" i="3"/>
  <c r="AM178" i="3"/>
  <c r="X37" i="3"/>
  <c r="X38" i="3" s="1"/>
  <c r="X36" i="3"/>
  <c r="M24" i="37" s="1"/>
  <c r="M37" i="37" s="1"/>
  <c r="P25" i="31"/>
  <c r="P38" i="31" s="1"/>
  <c r="AK24" i="3"/>
  <c r="AK25" i="3" s="1"/>
  <c r="AK188" i="3"/>
  <c r="AK273" i="3"/>
  <c r="AK226" i="3"/>
  <c r="AL15" i="3"/>
  <c r="AL16" i="3"/>
  <c r="AL227" i="3" s="1"/>
  <c r="AK274" i="3"/>
  <c r="P24" i="31" l="1"/>
  <c r="P37" i="31" s="1"/>
  <c r="X43" i="3"/>
  <c r="X320" i="3"/>
  <c r="X44" i="3"/>
  <c r="AO179" i="3"/>
  <c r="AN17" i="3"/>
  <c r="AN15" i="3"/>
  <c r="AN178" i="3"/>
  <c r="AN16" i="3"/>
  <c r="AN227" i="3" s="1"/>
  <c r="AN20" i="3"/>
  <c r="AN23" i="3"/>
  <c r="AJ224" i="3"/>
  <c r="AL24" i="3"/>
  <c r="AL25" i="3" s="1"/>
  <c r="AL226" i="3"/>
  <c r="AK27" i="3"/>
  <c r="AK189" i="3"/>
  <c r="AK223" i="3"/>
  <c r="X40" i="3"/>
  <c r="AK332" i="3"/>
  <c r="AL332" i="3" s="1"/>
  <c r="AL274" i="3"/>
  <c r="AM274" i="3"/>
  <c r="AM332" i="3" s="1"/>
  <c r="AL273" i="3"/>
  <c r="AK333" i="3"/>
  <c r="AL333" i="3" s="1"/>
  <c r="AM227" i="3"/>
  <c r="AM24" i="3"/>
  <c r="AM25" i="3" s="1"/>
  <c r="AM273" i="3"/>
  <c r="AM333" i="3" s="1"/>
  <c r="AM226" i="3"/>
  <c r="AM188" i="3"/>
  <c r="M26" i="37" l="1"/>
  <c r="M39" i="37" s="1"/>
  <c r="AN274" i="3"/>
  <c r="AN332" i="3" s="1"/>
  <c r="AN24" i="3"/>
  <c r="AN25" i="3" s="1"/>
  <c r="AN188" i="3"/>
  <c r="AN273" i="3"/>
  <c r="AN333" i="3" s="1"/>
  <c r="AN226" i="3"/>
  <c r="AL27" i="3"/>
  <c r="AL223" i="3"/>
  <c r="AP179" i="3"/>
  <c r="AO17" i="3"/>
  <c r="AO16" i="3"/>
  <c r="AO178" i="3"/>
  <c r="AO20" i="3"/>
  <c r="AO23" i="3"/>
  <c r="AO274" i="3" s="1"/>
  <c r="AO332" i="3" s="1"/>
  <c r="AO15" i="3"/>
  <c r="X334" i="3"/>
  <c r="X367" i="3" s="1"/>
  <c r="X290" i="3"/>
  <c r="P26" i="31"/>
  <c r="P39" i="31" s="1"/>
  <c r="X45" i="3"/>
  <c r="AK224" i="3"/>
  <c r="AM189" i="3"/>
  <c r="AM27" i="3"/>
  <c r="AM223" i="3"/>
  <c r="M27" i="37" l="1"/>
  <c r="M40" i="37" s="1"/>
  <c r="AP20" i="3"/>
  <c r="AQ20" i="3" s="1"/>
  <c r="AP178" i="3"/>
  <c r="AP23" i="3"/>
  <c r="AP15" i="3"/>
  <c r="AP16" i="3"/>
  <c r="AP227" i="3" s="1"/>
  <c r="AP17" i="3"/>
  <c r="AQ17" i="3" s="1"/>
  <c r="AM224" i="3"/>
  <c r="AL224" i="3"/>
  <c r="X297" i="3"/>
  <c r="P27" i="31"/>
  <c r="P40" i="31" s="1"/>
  <c r="AO227" i="3"/>
  <c r="AO24" i="3"/>
  <c r="AO25" i="3" s="1"/>
  <c r="AO226" i="3"/>
  <c r="AO188" i="3"/>
  <c r="AO273" i="3"/>
  <c r="AO333" i="3" s="1"/>
  <c r="AN223" i="3"/>
  <c r="AN189" i="3"/>
  <c r="AN27" i="3"/>
  <c r="AQ16" i="3" l="1"/>
  <c r="AQ227" i="3" s="1"/>
  <c r="AP24" i="3"/>
  <c r="AP25" i="3" s="1"/>
  <c r="AP188" i="3"/>
  <c r="AP273" i="3"/>
  <c r="AP226" i="3"/>
  <c r="AQ15" i="3"/>
  <c r="AN224" i="3"/>
  <c r="AO189" i="3"/>
  <c r="AO27" i="3"/>
  <c r="AO223" i="3"/>
  <c r="X271" i="3"/>
  <c r="X277" i="3"/>
  <c r="X343" i="3" s="1"/>
  <c r="X272" i="3"/>
  <c r="X342" i="3" s="1"/>
  <c r="AP274" i="3"/>
  <c r="AQ23" i="3"/>
  <c r="AO224" i="3" l="1"/>
  <c r="AP223" i="3"/>
  <c r="AP27" i="3"/>
  <c r="AP189" i="3"/>
  <c r="AP333" i="3"/>
  <c r="AQ333" i="3" s="1"/>
  <c r="AQ273" i="3"/>
  <c r="Y29" i="3"/>
  <c r="X315" i="3"/>
  <c r="X341" i="3"/>
  <c r="X276" i="3"/>
  <c r="X284" i="3" s="1"/>
  <c r="X298" i="3" s="1"/>
  <c r="X359" i="3"/>
  <c r="AQ24" i="3"/>
  <c r="AQ25" i="3" s="1"/>
  <c r="AQ226" i="3"/>
  <c r="AP332" i="3"/>
  <c r="AQ332" i="3" s="1"/>
  <c r="AQ274" i="3"/>
  <c r="AP224" i="3" l="1"/>
  <c r="AQ223" i="3"/>
  <c r="AQ27" i="3"/>
  <c r="X349" i="3"/>
  <c r="X351" i="3" s="1"/>
  <c r="X353" i="3" s="1"/>
  <c r="AQ224" i="3" l="1"/>
  <c r="X258" i="3"/>
  <c r="Y352" i="3"/>
  <c r="Y30" i="3" l="1"/>
  <c r="X263" i="3"/>
  <c r="X269" i="3" s="1"/>
  <c r="X299" i="3" s="1"/>
  <c r="X358" i="3"/>
  <c r="X360" i="3" s="1"/>
  <c r="Y31" i="3" l="1"/>
  <c r="Y34" i="3" s="1"/>
  <c r="Y35" i="3" l="1"/>
  <c r="P25" i="37" l="1"/>
  <c r="P38" i="37" s="1"/>
  <c r="S25" i="31"/>
  <c r="S38" i="31" s="1"/>
  <c r="Y36" i="3"/>
  <c r="P24" i="37" s="1"/>
  <c r="P37" i="37" s="1"/>
  <c r="Y37" i="3"/>
  <c r="S24" i="31" l="1"/>
  <c r="S37" i="31" s="1"/>
  <c r="Y40" i="3"/>
  <c r="Y38" i="3"/>
  <c r="P26" i="37" l="1"/>
  <c r="P39" i="37" s="1"/>
  <c r="Y320" i="3"/>
  <c r="Y43" i="3"/>
  <c r="Y44" i="3"/>
  <c r="Y45" i="3"/>
  <c r="S26" i="31"/>
  <c r="S39" i="31" s="1"/>
  <c r="P27" i="37" l="1"/>
  <c r="P40" i="37" s="1"/>
  <c r="S27" i="31"/>
  <c r="S40" i="31" s="1"/>
  <c r="C6" i="3"/>
  <c r="Y334" i="3"/>
  <c r="Y367" i="3" s="1"/>
  <c r="Y290" i="3"/>
  <c r="Y297" i="3" l="1"/>
  <c r="Y272" i="3" l="1"/>
  <c r="Y342" i="3" s="1"/>
  <c r="Y277" i="3"/>
  <c r="Y343" i="3" s="1"/>
  <c r="Y271" i="3"/>
  <c r="Y359" i="3" l="1"/>
  <c r="Y276" i="3"/>
  <c r="Y284" i="3" s="1"/>
  <c r="Y298" i="3" s="1"/>
  <c r="Z29" i="3"/>
  <c r="Y315" i="3"/>
  <c r="Y341" i="3"/>
  <c r="Y349" i="3" l="1"/>
  <c r="Y351" i="3" s="1"/>
  <c r="Y353" i="3" s="1"/>
  <c r="Y258" i="3" l="1"/>
  <c r="Z352" i="3"/>
  <c r="Y358" i="3" l="1"/>
  <c r="Y360" i="3" s="1"/>
  <c r="Y263" i="3"/>
  <c r="Y269" i="3" s="1"/>
  <c r="Y299" i="3" s="1"/>
  <c r="Z30" i="3"/>
  <c r="Z31" i="3" l="1"/>
  <c r="Z34" i="3" s="1"/>
  <c r="Z35" i="3" l="1"/>
  <c r="S25" i="37" s="1"/>
  <c r="S38" i="37" s="1"/>
  <c r="Z36" i="3" l="1"/>
  <c r="S24" i="37" s="1"/>
  <c r="S37" i="37" s="1"/>
  <c r="Z37" i="3"/>
  <c r="Z40" i="3" l="1"/>
  <c r="Z38" i="3"/>
  <c r="Z45" i="3" l="1"/>
  <c r="S27" i="37" s="1"/>
  <c r="S40" i="37" s="1"/>
  <c r="S26" i="37"/>
  <c r="S39" i="37" s="1"/>
  <c r="Z43" i="3"/>
  <c r="Z320" i="3"/>
  <c r="Z44" i="3"/>
  <c r="Z334" i="3" l="1"/>
  <c r="Z367" i="3" s="1"/>
  <c r="Z290" i="3"/>
  <c r="Z297" i="3" l="1"/>
  <c r="Z277" i="3" l="1"/>
  <c r="Z343" i="3" s="1"/>
  <c r="Z272" i="3"/>
  <c r="Z342" i="3" s="1"/>
  <c r="Z271" i="3"/>
  <c r="Z359" i="3" l="1"/>
  <c r="Z276" i="3"/>
  <c r="Z284" i="3" s="1"/>
  <c r="Z298" i="3" s="1"/>
  <c r="Z315" i="3"/>
  <c r="AA29" i="3"/>
  <c r="Z341" i="3"/>
  <c r="AB29" i="3" l="1"/>
  <c r="Z349" i="3"/>
  <c r="Z351" i="3" s="1"/>
  <c r="Z353" i="3" s="1"/>
  <c r="AA352" i="3" l="1"/>
  <c r="Z258" i="3"/>
  <c r="Z358" i="3" l="1"/>
  <c r="Z360" i="3" s="1"/>
  <c r="AA30" i="3"/>
  <c r="Z263" i="3"/>
  <c r="Z269" i="3" s="1"/>
  <c r="Z299" i="3" s="1"/>
  <c r="AB30" i="3" l="1"/>
  <c r="AA31" i="3"/>
  <c r="AA34" i="3" s="1"/>
  <c r="AA35" i="3" l="1"/>
  <c r="AB31" i="3"/>
  <c r="AB34" i="3" s="1"/>
  <c r="AB35" i="3" l="1"/>
  <c r="AA37" i="3"/>
  <c r="AA36" i="3"/>
  <c r="AB37" i="3" l="1"/>
  <c r="AB38" i="3" s="1"/>
  <c r="AA40" i="3"/>
  <c r="AA45" i="3" s="1"/>
  <c r="AA38" i="3"/>
  <c r="AB36" i="3"/>
  <c r="AB320" i="3" l="1"/>
  <c r="AB334" i="3" s="1"/>
  <c r="AB41" i="3"/>
  <c r="AB43" i="3" s="1"/>
  <c r="AB42" i="3"/>
  <c r="AB44" i="3" s="1"/>
  <c r="AA44" i="3"/>
  <c r="AA320" i="3"/>
  <c r="AA43" i="3"/>
  <c r="AB229" i="3"/>
  <c r="AB40" i="3"/>
  <c r="AB45" i="3" l="1"/>
  <c r="AB225" i="3" s="1"/>
  <c r="AB367" i="3"/>
  <c r="AB354" i="3"/>
  <c r="AB356" i="3" s="1"/>
  <c r="AA334" i="3"/>
  <c r="AA367" i="3" s="1"/>
  <c r="AA290" i="3"/>
  <c r="AB290" i="3" l="1"/>
  <c r="AB297" i="3" s="1"/>
  <c r="AA297" i="3"/>
  <c r="AA272" i="3" l="1"/>
  <c r="AA271" i="3"/>
  <c r="AA277" i="3"/>
  <c r="AA343" i="3" l="1"/>
  <c r="AB343" i="3" s="1"/>
  <c r="AB277" i="3"/>
  <c r="AA341" i="3"/>
  <c r="AB315" i="3"/>
  <c r="AA276" i="3"/>
  <c r="AA284" i="3" s="1"/>
  <c r="AA298" i="3" s="1"/>
  <c r="AA359" i="3"/>
  <c r="AB271" i="3"/>
  <c r="AC29" i="3"/>
  <c r="AA315" i="3"/>
  <c r="AA342" i="3"/>
  <c r="AB342" i="3" s="1"/>
  <c r="AB272" i="3"/>
  <c r="AB231" i="3" l="1"/>
  <c r="AB359" i="3"/>
  <c r="AB276" i="3"/>
  <c r="AB284" i="3" s="1"/>
  <c r="AB298" i="3" s="1"/>
  <c r="AA349" i="3"/>
  <c r="AA351" i="3" s="1"/>
  <c r="AA353" i="3" s="1"/>
  <c r="AA258" i="3" s="1"/>
  <c r="AB341" i="3"/>
  <c r="AB349" i="3" s="1"/>
  <c r="AB351" i="3" s="1"/>
  <c r="AB353" i="3" s="1"/>
  <c r="AC30" i="3" l="1"/>
  <c r="AA358" i="3"/>
  <c r="AA360" i="3" s="1"/>
  <c r="AB258" i="3"/>
  <c r="AA263" i="3"/>
  <c r="AA269" i="3" s="1"/>
  <c r="AA299" i="3" s="1"/>
  <c r="AG352" i="3"/>
  <c r="AC352" i="3"/>
  <c r="AB263" i="3" l="1"/>
  <c r="AB269" i="3" s="1"/>
  <c r="AB299" i="3" s="1"/>
  <c r="AB358" i="3"/>
  <c r="AB360" i="3" s="1"/>
  <c r="AB230" i="3"/>
  <c r="AC31" i="3"/>
  <c r="AC34" i="3" s="1"/>
  <c r="AC35" i="3" l="1"/>
  <c r="AC37" i="3" l="1"/>
  <c r="AC38" i="3" s="1"/>
  <c r="AC36" i="3"/>
  <c r="AC43" i="3" l="1"/>
  <c r="AC320" i="3"/>
  <c r="AC44" i="3"/>
  <c r="AC40" i="3"/>
  <c r="AC45" i="3" s="1"/>
  <c r="AC334" i="3" l="1"/>
  <c r="AC367" i="3" s="1"/>
  <c r="AC290" i="3"/>
  <c r="AC297" i="3" l="1"/>
  <c r="AC277" i="3" l="1"/>
  <c r="AC343" i="3" s="1"/>
  <c r="AC272" i="3"/>
  <c r="AC342" i="3" s="1"/>
  <c r="AC271" i="3"/>
  <c r="AD29" i="3" l="1"/>
  <c r="AC276" i="3"/>
  <c r="AC284" i="3" s="1"/>
  <c r="AC298" i="3" s="1"/>
  <c r="AC359" i="3"/>
  <c r="AC315" i="3"/>
  <c r="AC341" i="3"/>
  <c r="AC349" i="3" l="1"/>
  <c r="AC351" i="3" s="1"/>
  <c r="AC353" i="3" s="1"/>
  <c r="AC258" i="3" l="1"/>
  <c r="AD352" i="3"/>
  <c r="AC263" i="3" l="1"/>
  <c r="AC269" i="3" s="1"/>
  <c r="AC299" i="3" s="1"/>
  <c r="AC358" i="3"/>
  <c r="AC360" i="3" s="1"/>
  <c r="AD30" i="3"/>
  <c r="AD31" i="3" l="1"/>
  <c r="AD34" i="3" s="1"/>
  <c r="AD35" i="3" l="1"/>
  <c r="AD36" i="3" l="1"/>
  <c r="AD37" i="3"/>
  <c r="AD38" i="3" s="1"/>
  <c r="AD43" i="3" l="1"/>
  <c r="AD44" i="3"/>
  <c r="AD320" i="3"/>
  <c r="AD40" i="3"/>
  <c r="AD45" i="3" s="1"/>
  <c r="AD334" i="3" l="1"/>
  <c r="AD367" i="3" s="1"/>
  <c r="AD290" i="3"/>
  <c r="AD297" i="3" l="1"/>
  <c r="AD272" i="3" l="1"/>
  <c r="AD342" i="3" s="1"/>
  <c r="AD277" i="3"/>
  <c r="AD343" i="3" s="1"/>
  <c r="AD271" i="3"/>
  <c r="AE29" i="3" l="1"/>
  <c r="AD315" i="3"/>
  <c r="AD359" i="3"/>
  <c r="AD276" i="3"/>
  <c r="AD284" i="3" s="1"/>
  <c r="AD298" i="3" s="1"/>
  <c r="AD341" i="3"/>
  <c r="AD349" i="3" l="1"/>
  <c r="AD351" i="3" s="1"/>
  <c r="AD353" i="3" s="1"/>
  <c r="AD258" i="3" l="1"/>
  <c r="AE352" i="3"/>
  <c r="AD263" i="3" l="1"/>
  <c r="AD269" i="3" s="1"/>
  <c r="AD299" i="3" s="1"/>
  <c r="AE30" i="3"/>
  <c r="AD358" i="3"/>
  <c r="AD360" i="3" s="1"/>
  <c r="AE31" i="3" l="1"/>
  <c r="AE34" i="3" s="1"/>
  <c r="AE35" i="3" l="1"/>
  <c r="AE37" i="3" l="1"/>
  <c r="AE36" i="3"/>
  <c r="AE40" i="3" l="1"/>
  <c r="AE45" i="3" s="1"/>
  <c r="AE38" i="3"/>
  <c r="AE43" i="3" l="1"/>
  <c r="AE44" i="3"/>
  <c r="AE320" i="3"/>
  <c r="AE334" i="3" l="1"/>
  <c r="AE367" i="3" s="1"/>
  <c r="AE290" i="3"/>
  <c r="AE297" i="3" l="1"/>
  <c r="AE272" i="3" l="1"/>
  <c r="AE342" i="3" s="1"/>
  <c r="AE277" i="3"/>
  <c r="AE343" i="3" s="1"/>
  <c r="AE271" i="3"/>
  <c r="AF29" i="3" l="1"/>
  <c r="AE276" i="3"/>
  <c r="AE284" i="3" s="1"/>
  <c r="AE298" i="3" s="1"/>
  <c r="AE359" i="3"/>
  <c r="AE315" i="3"/>
  <c r="AE341" i="3"/>
  <c r="AE349" i="3" l="1"/>
  <c r="AE351" i="3" s="1"/>
  <c r="AE353" i="3" s="1"/>
  <c r="AG29" i="3"/>
  <c r="AF352" i="3" l="1"/>
  <c r="AE258" i="3"/>
  <c r="AE263" i="3" l="1"/>
  <c r="AE269" i="3" s="1"/>
  <c r="AE299" i="3" s="1"/>
  <c r="AE358" i="3"/>
  <c r="AE360" i="3" s="1"/>
  <c r="AF30" i="3"/>
  <c r="AG30" i="3" l="1"/>
  <c r="AF31" i="3"/>
  <c r="AF34" i="3" s="1"/>
  <c r="AF35" i="3" l="1"/>
  <c r="AG31" i="3"/>
  <c r="AG34" i="3" s="1"/>
  <c r="AG35" i="3" l="1"/>
  <c r="AF37" i="3"/>
  <c r="AF38" i="3" s="1"/>
  <c r="AF36" i="3"/>
  <c r="AF320" i="3" l="1"/>
  <c r="AF43" i="3"/>
  <c r="AF44" i="3"/>
  <c r="AG37" i="3"/>
  <c r="AG38" i="3" s="1"/>
  <c r="AF40" i="3"/>
  <c r="AF45" i="3" s="1"/>
  <c r="AG36" i="3"/>
  <c r="AG320" i="3" l="1"/>
  <c r="AG334" i="3" s="1"/>
  <c r="AG41" i="3"/>
  <c r="AG43" i="3" s="1"/>
  <c r="AG42" i="3"/>
  <c r="AG44" i="3" s="1"/>
  <c r="AG229" i="3"/>
  <c r="AG40" i="3"/>
  <c r="AF334" i="3"/>
  <c r="AF367" i="3" s="1"/>
  <c r="AF290" i="3"/>
  <c r="AG45" i="3" l="1"/>
  <c r="AG225" i="3" s="1"/>
  <c r="AF297" i="3"/>
  <c r="AG290" i="3"/>
  <c r="AG297" i="3" s="1"/>
  <c r="AG354" i="3"/>
  <c r="AG356" i="3" s="1"/>
  <c r="AG367" i="3"/>
  <c r="AF277" i="3" l="1"/>
  <c r="AF271" i="3"/>
  <c r="AF272" i="3"/>
  <c r="AF343" i="3" l="1"/>
  <c r="AG343" i="3" s="1"/>
  <c r="AG277" i="3"/>
  <c r="AG271" i="3"/>
  <c r="AF341" i="3"/>
  <c r="AF315" i="3"/>
  <c r="AF359" i="3"/>
  <c r="AH29" i="3"/>
  <c r="AF276" i="3"/>
  <c r="AF284" i="3" s="1"/>
  <c r="AF298" i="3" s="1"/>
  <c r="AG315" i="3"/>
  <c r="AG272" i="3"/>
  <c r="AG231" i="3" s="1"/>
  <c r="AF342" i="3"/>
  <c r="AG342" i="3" s="1"/>
  <c r="AF349" i="3" l="1"/>
  <c r="AF351" i="3" s="1"/>
  <c r="AF353" i="3" s="1"/>
  <c r="AF258" i="3" s="1"/>
  <c r="AG341" i="3"/>
  <c r="AG349" i="3" s="1"/>
  <c r="AG351" i="3" s="1"/>
  <c r="AG353" i="3" s="1"/>
  <c r="AG359" i="3"/>
  <c r="AG276" i="3"/>
  <c r="AG284" i="3" s="1"/>
  <c r="AG298" i="3" s="1"/>
  <c r="AL352" i="3" l="1"/>
  <c r="AH352" i="3"/>
  <c r="AH30" i="3"/>
  <c r="AG258" i="3"/>
  <c r="AF358" i="3"/>
  <c r="AF360" i="3" s="1"/>
  <c r="AF263" i="3"/>
  <c r="AF269" i="3" s="1"/>
  <c r="AF299" i="3" s="1"/>
  <c r="AH31" i="3" l="1"/>
  <c r="AH34" i="3" s="1"/>
  <c r="AG358" i="3"/>
  <c r="AG360" i="3" s="1"/>
  <c r="AG263" i="3"/>
  <c r="AG269" i="3" s="1"/>
  <c r="AG299" i="3" s="1"/>
  <c r="AG230" i="3"/>
  <c r="AH35" i="3" l="1"/>
  <c r="AH37" i="3" l="1"/>
  <c r="AH38" i="3" s="1"/>
  <c r="AH36" i="3"/>
  <c r="AH320" i="3" l="1"/>
  <c r="AH44" i="3"/>
  <c r="AH43" i="3"/>
  <c r="AH40" i="3"/>
  <c r="AH45" i="3" s="1"/>
  <c r="AH334" i="3" l="1"/>
  <c r="AH367" i="3" s="1"/>
  <c r="AH290" i="3"/>
  <c r="AH297" i="3" l="1"/>
  <c r="AH272" i="3" l="1"/>
  <c r="AH342" i="3" s="1"/>
  <c r="AH277" i="3"/>
  <c r="AH343" i="3" s="1"/>
  <c r="AH271" i="3"/>
  <c r="AI29" i="3" l="1"/>
  <c r="AH276" i="3"/>
  <c r="AH284" i="3" s="1"/>
  <c r="AH298" i="3" s="1"/>
  <c r="AH315" i="3"/>
  <c r="AH341" i="3"/>
  <c r="AH359" i="3"/>
  <c r="AH349" i="3" l="1"/>
  <c r="AH351" i="3" s="1"/>
  <c r="AH353" i="3" s="1"/>
  <c r="AI352" i="3" l="1"/>
  <c r="AH258" i="3"/>
  <c r="AH358" i="3" l="1"/>
  <c r="AH360" i="3" s="1"/>
  <c r="AH263" i="3"/>
  <c r="AH269" i="3" s="1"/>
  <c r="AH299" i="3" s="1"/>
  <c r="AI30" i="3"/>
  <c r="AI31" i="3" l="1"/>
  <c r="AI34" i="3" s="1"/>
  <c r="AI35" i="3" l="1"/>
  <c r="AI36" i="3" l="1"/>
  <c r="AI37" i="3"/>
  <c r="AI38" i="3" s="1"/>
  <c r="AI43" i="3" l="1"/>
  <c r="AI320" i="3"/>
  <c r="AI44" i="3"/>
  <c r="AI40" i="3"/>
  <c r="AI45" i="3" s="1"/>
  <c r="AI334" i="3" l="1"/>
  <c r="AI367" i="3" s="1"/>
  <c r="AI290" i="3"/>
  <c r="AI297" i="3" l="1"/>
  <c r="AI272" i="3" l="1"/>
  <c r="AI342" i="3" s="1"/>
  <c r="AI271" i="3"/>
  <c r="AI277" i="3"/>
  <c r="AI343" i="3" s="1"/>
  <c r="AI315" i="3" l="1"/>
  <c r="AJ29" i="3"/>
  <c r="AI359" i="3"/>
  <c r="AI341" i="3"/>
  <c r="AI276" i="3"/>
  <c r="AI284" i="3" s="1"/>
  <c r="AI298" i="3" s="1"/>
  <c r="AI349" i="3" l="1"/>
  <c r="AI351" i="3" s="1"/>
  <c r="AI353" i="3" s="1"/>
  <c r="AI258" i="3" l="1"/>
  <c r="AJ352" i="3"/>
  <c r="AI263" i="3" l="1"/>
  <c r="AI269" i="3" s="1"/>
  <c r="AI299" i="3" s="1"/>
  <c r="AJ30" i="3"/>
  <c r="AI358" i="3"/>
  <c r="AI360" i="3" s="1"/>
  <c r="AJ31" i="3" l="1"/>
  <c r="AJ34" i="3" s="1"/>
  <c r="AJ35" i="3" l="1"/>
  <c r="AJ36" i="3" l="1"/>
  <c r="AJ37" i="3"/>
  <c r="AJ40" i="3" l="1"/>
  <c r="AJ45" i="3" s="1"/>
  <c r="AJ38" i="3"/>
  <c r="AJ43" i="3" l="1"/>
  <c r="AJ44" i="3"/>
  <c r="AJ320" i="3"/>
  <c r="AJ334" i="3" l="1"/>
  <c r="AJ367" i="3" s="1"/>
  <c r="AJ290" i="3"/>
  <c r="AJ297" i="3" l="1"/>
  <c r="AJ272" i="3" l="1"/>
  <c r="AJ342" i="3" s="1"/>
  <c r="AJ277" i="3"/>
  <c r="AJ343" i="3" s="1"/>
  <c r="AJ271" i="3"/>
  <c r="AJ315" i="3" l="1"/>
  <c r="AJ359" i="3"/>
  <c r="AK29" i="3"/>
  <c r="AJ276" i="3"/>
  <c r="AJ284" i="3" s="1"/>
  <c r="AJ298" i="3" s="1"/>
  <c r="AJ341" i="3"/>
  <c r="AJ349" i="3" l="1"/>
  <c r="AJ351" i="3" s="1"/>
  <c r="AJ353" i="3" s="1"/>
  <c r="AL29" i="3"/>
  <c r="AK352" i="3" l="1"/>
  <c r="AJ258" i="3"/>
  <c r="AJ263" i="3" l="1"/>
  <c r="AJ269" i="3" s="1"/>
  <c r="AJ299" i="3" s="1"/>
  <c r="AJ358" i="3"/>
  <c r="AJ360" i="3" s="1"/>
  <c r="AK30" i="3"/>
  <c r="AL30" i="3" l="1"/>
  <c r="AK31" i="3"/>
  <c r="AK34" i="3" s="1"/>
  <c r="AK35" i="3" l="1"/>
  <c r="AL31" i="3"/>
  <c r="AL34" i="3" s="1"/>
  <c r="AL35" i="3" l="1"/>
  <c r="AK36" i="3"/>
  <c r="AK37" i="3"/>
  <c r="AK38" i="3" s="1"/>
  <c r="AK43" i="3" l="1"/>
  <c r="AK44" i="3"/>
  <c r="AK320" i="3"/>
  <c r="AL37" i="3"/>
  <c r="AK40" i="3"/>
  <c r="AK45" i="3" s="1"/>
  <c r="AL36" i="3"/>
  <c r="AL229" i="3" l="1"/>
  <c r="AL40" i="3"/>
  <c r="AK334" i="3"/>
  <c r="AK367" i="3" s="1"/>
  <c r="AK290" i="3"/>
  <c r="AL38" i="3"/>
  <c r="AK297" i="3" l="1"/>
  <c r="AL290" i="3"/>
  <c r="AL297" i="3" s="1"/>
  <c r="AL320" i="3"/>
  <c r="AL334" i="3" s="1"/>
  <c r="AL41" i="3"/>
  <c r="AL43" i="3" s="1"/>
  <c r="AL42" i="3"/>
  <c r="AL44" i="3" s="1"/>
  <c r="AL45" i="3" l="1"/>
  <c r="AL225" i="3" s="1"/>
  <c r="AL367" i="3"/>
  <c r="AL354" i="3"/>
  <c r="AL356" i="3" s="1"/>
  <c r="AK277" i="3"/>
  <c r="AK271" i="3"/>
  <c r="AK272" i="3"/>
  <c r="AK342" i="3" l="1"/>
  <c r="AL342" i="3" s="1"/>
  <c r="AL272" i="3"/>
  <c r="AK276" i="3"/>
  <c r="AK284" i="3" s="1"/>
  <c r="AK298" i="3" s="1"/>
  <c r="AL271" i="3"/>
  <c r="AK341" i="3"/>
  <c r="AK359" i="3"/>
  <c r="AK315" i="3"/>
  <c r="AM29" i="3"/>
  <c r="AL315" i="3"/>
  <c r="AK343" i="3"/>
  <c r="AL343" i="3" s="1"/>
  <c r="AL277" i="3"/>
  <c r="AL231" i="3" l="1"/>
  <c r="AK349" i="3"/>
  <c r="AK351" i="3" s="1"/>
  <c r="AK353" i="3" s="1"/>
  <c r="AK258" i="3" s="1"/>
  <c r="AL341" i="3"/>
  <c r="AL349" i="3" s="1"/>
  <c r="AL351" i="3" s="1"/>
  <c r="AL353" i="3" s="1"/>
  <c r="AL359" i="3"/>
  <c r="AL276" i="3"/>
  <c r="AL284" i="3" s="1"/>
  <c r="AL298" i="3" s="1"/>
  <c r="AK358" i="3" l="1"/>
  <c r="AK360" i="3" s="1"/>
  <c r="AM30" i="3"/>
  <c r="AL258" i="3"/>
  <c r="AK263" i="3"/>
  <c r="AK269" i="3" s="1"/>
  <c r="AK299" i="3" s="1"/>
  <c r="AQ352" i="3"/>
  <c r="AM352" i="3"/>
  <c r="AL358" i="3" l="1"/>
  <c r="AL360" i="3" s="1"/>
  <c r="AL263" i="3"/>
  <c r="AL269" i="3" s="1"/>
  <c r="AL299" i="3" s="1"/>
  <c r="AL230" i="3"/>
  <c r="AM31" i="3"/>
  <c r="AM34" i="3" s="1"/>
  <c r="AM35" i="3" l="1"/>
  <c r="AM37" i="3" l="1"/>
  <c r="AM38" i="3" s="1"/>
  <c r="AM36" i="3"/>
  <c r="AM320" i="3" l="1"/>
  <c r="AM43" i="3"/>
  <c r="AM44" i="3"/>
  <c r="AM40" i="3"/>
  <c r="AM45" i="3" s="1"/>
  <c r="AM334" i="3" l="1"/>
  <c r="AM367" i="3" s="1"/>
  <c r="AM290" i="3"/>
  <c r="AM297" i="3" l="1"/>
  <c r="AM271" i="3" l="1"/>
  <c r="AM277" i="3"/>
  <c r="AM343" i="3" s="1"/>
  <c r="AM272" i="3"/>
  <c r="AM342" i="3" s="1"/>
  <c r="AM315" i="3" l="1"/>
  <c r="AM341" i="3"/>
  <c r="AM276" i="3"/>
  <c r="AM284" i="3" s="1"/>
  <c r="AM298" i="3" s="1"/>
  <c r="AN29" i="3"/>
  <c r="AM359" i="3"/>
  <c r="AM349" i="3" l="1"/>
  <c r="AM351" i="3" s="1"/>
  <c r="AM353" i="3" s="1"/>
  <c r="AM258" i="3" l="1"/>
  <c r="AN352" i="3"/>
  <c r="AM358" i="3" l="1"/>
  <c r="AM360" i="3" s="1"/>
  <c r="AM263" i="3"/>
  <c r="AM269" i="3" s="1"/>
  <c r="AM299" i="3" s="1"/>
  <c r="AN30" i="3"/>
  <c r="AN31" i="3" l="1"/>
  <c r="AN34" i="3" s="1"/>
  <c r="AN35" i="3" l="1"/>
  <c r="AN36" i="3" l="1"/>
  <c r="AN37" i="3"/>
  <c r="AN38" i="3" s="1"/>
  <c r="AN43" i="3" l="1"/>
  <c r="AN320" i="3"/>
  <c r="AN44" i="3"/>
  <c r="AN40" i="3"/>
  <c r="AN45" i="3" s="1"/>
  <c r="AN334" i="3" l="1"/>
  <c r="AN367" i="3" s="1"/>
  <c r="AN290" i="3"/>
  <c r="AN297" i="3" l="1"/>
  <c r="AN272" i="3" l="1"/>
  <c r="AN342" i="3" s="1"/>
  <c r="AN277" i="3"/>
  <c r="AN343" i="3" s="1"/>
  <c r="AN271" i="3"/>
  <c r="AN359" i="3" l="1"/>
  <c r="AN276" i="3"/>
  <c r="AN284" i="3" s="1"/>
  <c r="AN298" i="3" s="1"/>
  <c r="AN315" i="3"/>
  <c r="AO29" i="3"/>
  <c r="AN341" i="3"/>
  <c r="AN349" i="3" l="1"/>
  <c r="AN351" i="3" s="1"/>
  <c r="AN353" i="3" s="1"/>
  <c r="AN258" i="3" l="1"/>
  <c r="AO352" i="3"/>
  <c r="AN358" i="3" l="1"/>
  <c r="AN360" i="3" s="1"/>
  <c r="AN263" i="3"/>
  <c r="AN269" i="3" s="1"/>
  <c r="AN299" i="3" s="1"/>
  <c r="AO30" i="3"/>
  <c r="AO31" i="3" l="1"/>
  <c r="AO34" i="3" s="1"/>
  <c r="AO35" i="3" l="1"/>
  <c r="AO36" i="3" l="1"/>
  <c r="AO37" i="3"/>
  <c r="AO40" i="3" l="1"/>
  <c r="AO45" i="3" s="1"/>
  <c r="AO38" i="3"/>
  <c r="AO44" i="3" l="1"/>
  <c r="AO320" i="3"/>
  <c r="AO43" i="3"/>
  <c r="AO334" i="3" l="1"/>
  <c r="AO367" i="3" s="1"/>
  <c r="AO290" i="3"/>
  <c r="AO297" i="3" l="1"/>
  <c r="AO277" i="3" l="1"/>
  <c r="AO343" i="3" s="1"/>
  <c r="AO272" i="3"/>
  <c r="AO342" i="3" s="1"/>
  <c r="AO271" i="3"/>
  <c r="AO315" i="3" l="1"/>
  <c r="AO276" i="3"/>
  <c r="AO284" i="3" s="1"/>
  <c r="AO298" i="3" s="1"/>
  <c r="AP29" i="3"/>
  <c r="AO359" i="3"/>
  <c r="AO341" i="3"/>
  <c r="AO349" i="3" l="1"/>
  <c r="AO351" i="3" s="1"/>
  <c r="AO353" i="3" s="1"/>
  <c r="AQ29" i="3"/>
  <c r="AO258" i="3" l="1"/>
  <c r="AP352" i="3"/>
  <c r="AO358" i="3" l="1"/>
  <c r="AO360" i="3" s="1"/>
  <c r="AO263" i="3"/>
  <c r="AO269" i="3" s="1"/>
  <c r="AO299" i="3" s="1"/>
  <c r="AP30" i="3"/>
  <c r="AQ30" i="3" l="1"/>
  <c r="AP31" i="3"/>
  <c r="AP34" i="3" s="1"/>
  <c r="AP35" i="3" l="1"/>
  <c r="AQ31" i="3"/>
  <c r="AQ34" i="3" s="1"/>
  <c r="AQ35" i="3" l="1"/>
  <c r="AP36" i="3"/>
  <c r="AP37" i="3"/>
  <c r="AP38" i="3" s="1"/>
  <c r="AP43" i="3" l="1"/>
  <c r="AP320" i="3"/>
  <c r="AP44" i="3"/>
  <c r="AQ37" i="3"/>
  <c r="AP40" i="3"/>
  <c r="AP45" i="3" s="1"/>
  <c r="AQ36" i="3"/>
  <c r="AQ229" i="3" l="1"/>
  <c r="AQ40" i="3"/>
  <c r="AQ38" i="3"/>
  <c r="AP334" i="3"/>
  <c r="AP367" i="3" s="1"/>
  <c r="AP290" i="3"/>
  <c r="AQ320" i="3" l="1"/>
  <c r="AQ334" i="3" s="1"/>
  <c r="AQ42" i="3"/>
  <c r="AQ45" i="3" s="1"/>
  <c r="AQ225" i="3" s="1"/>
  <c r="AQ41" i="3"/>
  <c r="AQ43" i="3" s="1"/>
  <c r="AP297" i="3"/>
  <c r="AQ290" i="3"/>
  <c r="AQ297" i="3" s="1"/>
  <c r="AP277" i="3" l="1"/>
  <c r="AP271" i="3"/>
  <c r="AP272" i="3"/>
  <c r="AQ44" i="3"/>
  <c r="AQ367" i="3"/>
  <c r="AQ354" i="3"/>
  <c r="AQ356" i="3" s="1"/>
  <c r="C405" i="3" s="1"/>
  <c r="AP359" i="3" l="1"/>
  <c r="AP315" i="3"/>
  <c r="AP276" i="3"/>
  <c r="AP284" i="3" s="1"/>
  <c r="AP298" i="3" s="1"/>
  <c r="AQ271" i="3"/>
  <c r="AQ315" i="3"/>
  <c r="AP341" i="3"/>
  <c r="AQ277" i="3"/>
  <c r="AP343" i="3"/>
  <c r="AQ343" i="3" s="1"/>
  <c r="AQ272" i="3"/>
  <c r="AP342" i="3"/>
  <c r="AQ342" i="3" s="1"/>
  <c r="AQ231" i="3" l="1"/>
  <c r="AP349" i="3"/>
  <c r="AP351" i="3" s="1"/>
  <c r="AP353" i="3" s="1"/>
  <c r="AP258" i="3" s="1"/>
  <c r="AQ341" i="3"/>
  <c r="AQ349" i="3" s="1"/>
  <c r="AQ351" i="3" s="1"/>
  <c r="AQ353" i="3" s="1"/>
  <c r="AQ359" i="3"/>
  <c r="AQ276" i="3"/>
  <c r="AQ284" i="3" s="1"/>
  <c r="AQ298" i="3" s="1"/>
  <c r="C404" i="3"/>
  <c r="C407" i="3" s="1"/>
  <c r="C381" i="3" l="1"/>
  <c r="C7" i="3"/>
  <c r="C8" i="3" s="1"/>
  <c r="C417" i="3" s="1"/>
  <c r="AP358" i="3"/>
  <c r="AP360" i="3" s="1"/>
  <c r="AQ258" i="3"/>
  <c r="AP263" i="3"/>
  <c r="AP269" i="3" s="1"/>
  <c r="AP299" i="3" s="1"/>
  <c r="C419" i="3" l="1"/>
  <c r="C418" i="3"/>
  <c r="AQ358" i="3"/>
  <c r="AQ360" i="3" s="1"/>
  <c r="AQ263" i="3"/>
  <c r="AQ269" i="3" s="1"/>
  <c r="AQ299" i="3" s="1"/>
  <c r="AQ230" i="3"/>
  <c r="C9"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GE User</author>
    <author>Owner</author>
  </authors>
  <commentList>
    <comment ref="W18" authorId="0" shapeId="0" xr:uid="{5571E9B1-1654-4F63-B66C-731AAF5EEC45}">
      <text>
        <r>
          <rPr>
            <sz val="9"/>
            <color indexed="81"/>
            <rFont val="Tahoma"/>
            <family val="2"/>
          </rPr>
          <t>Management guided depreciation &amp; amortization expense to ~$3B. 
Source: F4Q2018 earnings call 6/19/2018</t>
        </r>
      </text>
    </comment>
    <comment ref="S29" authorId="0" shapeId="0" xr:uid="{87CC66F6-0ED2-439B-B649-76B746E1E333}">
      <text>
        <r>
          <rPr>
            <sz val="9"/>
            <color indexed="81"/>
            <rFont val="Tahoma"/>
            <family val="2"/>
          </rPr>
          <t>From the 10-Q Supplemental Cash Flow information</t>
        </r>
      </text>
    </comment>
    <comment ref="W42" authorId="0" shapeId="0" xr:uid="{C66305EE-A86D-4D8D-A560-A89657FE1417}">
      <text>
        <r>
          <rPr>
            <sz val="9"/>
            <color indexed="81"/>
            <rFont val="Tahoma"/>
            <family val="2"/>
          </rPr>
          <t xml:space="preserve">Management's guidance for the expected TNT integration expense net of tax per share implies a FY2019 share count of 265M shares.
Source: F3Q2019 earnings call 3/19/2019
</t>
        </r>
      </text>
    </comment>
    <comment ref="W45" authorId="0" shapeId="0" xr:uid="{EE093795-DD6B-465A-BD6D-B908ACB7545E}">
      <text>
        <r>
          <rPr>
            <sz val="9"/>
            <color indexed="81"/>
            <rFont val="Tahoma"/>
            <family val="2"/>
          </rPr>
          <t xml:space="preserve">Management guided FY2019 diluted EPS excluding the MTM retirement adjustment and TNT Integration expense between $15.10 and $15.90
Source: F3Q2019 earnings call 3/19/2019
</t>
        </r>
        <r>
          <rPr>
            <b/>
            <sz val="9"/>
            <color indexed="81"/>
            <rFont val="Tahoma"/>
            <family val="2"/>
          </rPr>
          <t>Historic Guidance:</t>
        </r>
        <r>
          <rPr>
            <sz val="9"/>
            <color indexed="81"/>
            <rFont val="Tahoma"/>
            <family val="2"/>
          </rPr>
          <t xml:space="preserve">
&gt;Management guided FY2019 diluted EPS excluding the MTM retirement adjustment and TNT Integration expense between $17.20 and $17.80.
Source: F1Q2019 earnings call 9/17/2018
&gt;Management guided FY2019 diluted EPS excluding the MTM retirement adjustment and TNT Integration expense between $17.00 and $17.60.
Source: F4Q2018 earnings call 6/19/2018
&gt;Management guided FY2019 diluted EPS excluding the MTM retirement adjustment and TNT Integration expense between $15.50 and $16.60.
Source: F2Q2019 earnings call 12/18/2018</t>
        </r>
      </text>
    </comment>
    <comment ref="AB76" authorId="0" shapeId="0" xr:uid="{8A7A7153-0DC7-44EA-B3FB-C861CF91DFC1}">
      <text>
        <r>
          <rPr>
            <sz val="9"/>
            <color indexed="81"/>
            <rFont val="Tahoma"/>
            <family val="2"/>
          </rPr>
          <t xml:space="preserve">Management guided FY2020 Express Operating Income increase of $1.2B to $1.5B from FY2017 results.
Source: F4Q2018 earnings call 6/19/2018
Reaffirmed in F1Q2019 earnings press release on 9/17/2018. 
Will not meet this target: F2Q2019 earnings press release on 12/18/2018. </t>
        </r>
      </text>
    </comment>
    <comment ref="B137" authorId="0" shapeId="0" xr:uid="{C842BFEF-5D3C-4DB4-80E9-8B42CB4B0182}">
      <text>
        <r>
          <rPr>
            <sz val="9"/>
            <color indexed="81"/>
            <rFont val="Tahoma"/>
            <family val="2"/>
          </rPr>
          <t>This row is used if the details in the company's stat book do not reconcile (i.e. Revenue per lb x operating days x average daily pounds does not equal total revenue, which indicates the need for an adjustment.</t>
        </r>
      </text>
    </comment>
    <comment ref="B141" authorId="0" shapeId="0" xr:uid="{2A45B567-F809-4920-A9D3-2F54BCE0737F}">
      <text>
        <r>
          <rPr>
            <sz val="9"/>
            <color indexed="81"/>
            <rFont val="Tahoma"/>
            <family val="2"/>
          </rPr>
          <t>Use this to back into total Ground Revenue</t>
        </r>
      </text>
    </comment>
    <comment ref="B179" authorId="0" shapeId="0" xr:uid="{4C6D9F26-DE3D-49EB-952A-A5DBFCF3575D}">
      <text>
        <r>
          <rPr>
            <sz val="9"/>
            <color indexed="81"/>
            <rFont val="Tahoma"/>
            <family val="2"/>
          </rPr>
          <t>This is the full impact of the operating income adjustment plus the difference between the operating revenue and operating income</t>
        </r>
      </text>
    </comment>
    <comment ref="B183" authorId="0" shapeId="0" xr:uid="{0D6A47B5-847A-41CC-92DC-42E860D06162}">
      <text>
        <r>
          <rPr>
            <sz val="9"/>
            <color indexed="81"/>
            <rFont val="Tahoma"/>
            <family val="2"/>
          </rPr>
          <t xml:space="preserve">Plug to all other operating expenses so that Net Operating Income foots. Then review "All other operating expense" relative to historic results to ensure reasonable. Note that if you try to back into this in the forecast period you would end up with a circular reference error. To estimate, start by setting equal to the prior period then adjust until operating income reconciles.
</t>
        </r>
      </text>
    </comment>
    <comment ref="B195" authorId="0" shapeId="0" xr:uid="{EE63B956-6130-4B3C-87DF-980FAF4034B9}">
      <text>
        <r>
          <rPr>
            <sz val="9"/>
            <color indexed="81"/>
            <rFont val="Tahoma"/>
            <family val="2"/>
          </rPr>
          <t>Must remain above 80%</t>
        </r>
      </text>
    </comment>
    <comment ref="B197" authorId="0" shapeId="0" xr:uid="{55CD12DC-13B9-41E5-9A3C-CA89738272F9}">
      <text>
        <r>
          <rPr>
            <sz val="9"/>
            <color indexed="81"/>
            <rFont val="Tahoma"/>
            <family val="2"/>
          </rPr>
          <t>This is primarily the portion of the periodic benefit related to the amortization of prior services credit  which is recognized through OCI</t>
        </r>
      </text>
    </comment>
    <comment ref="M204" authorId="0" shapeId="0" xr:uid="{C69B17EC-2DF4-4062-9FC7-44F0EAC0BEA8}">
      <text>
        <r>
          <rPr>
            <sz val="9"/>
            <color indexed="81"/>
            <rFont val="Tahoma"/>
            <family val="2"/>
          </rPr>
          <t>Benefit payments were higher in 2017 because former employees with vested pension plans were able to make a one-time election to receive their benefit as a lump sum, which incresed benefit payments by $1.3B.</t>
        </r>
      </text>
    </comment>
    <comment ref="H205" authorId="0" shapeId="0" xr:uid="{00C6529B-8D50-4D47-9F99-A2D755164665}">
      <text>
        <r>
          <rPr>
            <sz val="9"/>
            <color indexed="81"/>
            <rFont val="Tahoma"/>
            <family val="2"/>
          </rPr>
          <t>Higher due to impact of TNT acquisition.</t>
        </r>
      </text>
    </comment>
    <comment ref="H207" authorId="0" shapeId="0" xr:uid="{579AF088-4783-4311-BFFE-0D2B3FB84AEC}">
      <text>
        <r>
          <rPr>
            <sz val="9"/>
            <color indexed="81"/>
            <rFont val="Tahoma"/>
            <family val="2"/>
          </rPr>
          <t>Actual return of 1.2% was lower than the expected return of 6.5%.</t>
        </r>
      </text>
    </comment>
    <comment ref="M207" authorId="0" shapeId="0" xr:uid="{6F52A86F-22B4-433C-BAB7-988446472BB8}">
      <text>
        <r>
          <rPr>
            <sz val="9"/>
            <color indexed="81"/>
            <rFont val="Tahoma"/>
            <family val="2"/>
          </rPr>
          <t>Actual return of 9.6% was higher than the expected return of 6.5%.</t>
        </r>
      </text>
    </comment>
    <comment ref="R207" authorId="0" shapeId="0" xr:uid="{6112CCD8-BB97-4372-AFE6-D6BE29FBC3C7}">
      <text>
        <r>
          <rPr>
            <sz val="9"/>
            <color indexed="81"/>
            <rFont val="Tahoma"/>
            <family val="2"/>
          </rPr>
          <t>Actual return of 6.3% was lower than the expected return of 6.5%.</t>
        </r>
      </text>
    </comment>
    <comment ref="R208" authorId="0" shapeId="0" xr:uid="{49775B38-CF18-4788-9408-5FB01CF39DDE}">
      <text>
        <r>
          <rPr>
            <sz val="9"/>
            <color indexed="81"/>
            <rFont val="Tahoma"/>
            <family val="2"/>
          </rPr>
          <t>MetLife group annuity contract transfered ~$6 billion of U.S. Pension Plan obligations.</t>
        </r>
      </text>
    </comment>
    <comment ref="H209" authorId="0" shapeId="0" xr:uid="{CEF0FA89-F20D-41AE-9E93-C58B17A8AF6D}">
      <text>
        <r>
          <rPr>
            <sz val="9"/>
            <color indexed="81"/>
            <rFont val="Tahoma"/>
            <family val="2"/>
          </rPr>
          <t xml:space="preserve">Discount rate decreased from 4.38% in 2015 to 4.04% in 2016. </t>
        </r>
      </text>
    </comment>
    <comment ref="M209" authorId="0" shapeId="0" xr:uid="{F0607158-74C8-4FF0-AFC2-216C98ACEAB5}">
      <text>
        <r>
          <rPr>
            <sz val="9"/>
            <color indexed="81"/>
            <rFont val="Tahoma"/>
            <family val="2"/>
          </rPr>
          <t xml:space="preserve">Discount rate decreased from 4.04% in 2016 to 3.98% in 2017. </t>
        </r>
      </text>
    </comment>
    <comment ref="R209" authorId="0" shapeId="0" xr:uid="{96027B91-4C12-4F59-AEA2-AAC007039DD9}">
      <text>
        <r>
          <rPr>
            <sz val="9"/>
            <color indexed="81"/>
            <rFont val="Tahoma"/>
            <family val="2"/>
          </rPr>
          <t xml:space="preserve">Discount rate decreased from 3.98% in 2017 to 4.11% in 2018. </t>
        </r>
      </text>
    </comment>
    <comment ref="H210" authorId="0" shapeId="0" xr:uid="{A99056AB-32FE-402B-BF36-E4AE1767997F}">
      <text>
        <r>
          <rPr>
            <sz val="9"/>
            <color indexed="81"/>
            <rFont val="Tahoma"/>
            <family val="2"/>
          </rPr>
          <t>Impact of updated Mortality Tables.</t>
        </r>
      </text>
    </comment>
    <comment ref="M210" authorId="0" shapeId="0" xr:uid="{875E1C91-C4F4-44FB-80B8-A18DFE1F39AD}">
      <text>
        <r>
          <rPr>
            <sz val="9"/>
            <color indexed="81"/>
            <rFont val="Tahoma"/>
            <family val="2"/>
          </rPr>
          <t>Impact of updated Mortality Tables.</t>
        </r>
      </text>
    </comment>
    <comment ref="R210" authorId="0" shapeId="0" xr:uid="{25E04B8A-AFF1-4D8A-8087-E07CC38AB02C}">
      <text>
        <r>
          <rPr>
            <sz val="9"/>
            <color indexed="81"/>
            <rFont val="Tahoma"/>
            <family val="2"/>
          </rPr>
          <t>Impact of updated Mortality Tables.</t>
        </r>
      </text>
    </comment>
    <comment ref="W214" authorId="0" shapeId="0" xr:uid="{1EF73BCE-1A83-490F-B98E-297FD69CCC2E}">
      <text>
        <r>
          <rPr>
            <sz val="9"/>
            <color indexed="81"/>
            <rFont val="Tahoma"/>
            <family val="2"/>
          </rPr>
          <t>Last disclosed in May-2018 10-K</t>
        </r>
      </text>
    </comment>
    <comment ref="B216" authorId="0" shapeId="0" xr:uid="{2EA5235B-F6D5-4558-B8C4-9D99562D0E3D}">
      <text>
        <r>
          <rPr>
            <sz val="9"/>
            <color indexed="81"/>
            <rFont val="Tahoma"/>
            <family val="2"/>
          </rPr>
          <t xml:space="preserve">The rate used to discount Projected Benefit Obligation to net present value terms. Actuaries calcualte the rate based on a theoretical portfolio of high-grade corporate bonds (Aa or better).
</t>
        </r>
      </text>
    </comment>
    <comment ref="W217" authorId="0" shapeId="0" xr:uid="{FF8BA979-9ECC-4F80-BCF9-593BABE9E93C}">
      <text>
        <r>
          <rPr>
            <sz val="9"/>
            <color indexed="81"/>
            <rFont val="Tahoma"/>
            <family val="2"/>
          </rPr>
          <t>Last disclosed in May-2018 10-K</t>
        </r>
      </text>
    </comment>
    <comment ref="B220" authorId="0" shapeId="0" xr:uid="{2DFF789A-76A9-427A-A256-E2AAEBDFC1B6}">
      <text>
        <r>
          <rPr>
            <sz val="9"/>
            <color indexed="81"/>
            <rFont val="Tahoma"/>
            <family val="2"/>
          </rPr>
          <t>As mortality tables are published by the IRS, and actuaries analyze the expected impact, adjust the pension MtM forecast to incorporate the impact.</t>
        </r>
      </text>
    </comment>
    <comment ref="W222" authorId="0" shapeId="0" xr:uid="{259E0A5B-753A-444B-9EF2-1562975E61FE}">
      <text>
        <r>
          <rPr>
            <sz val="9"/>
            <color indexed="81"/>
            <rFont val="Tahoma"/>
            <family val="2"/>
          </rPr>
          <t>Management guided FY2019 revenue growth to ~9% 
Original Source: F4Q2018 earnings call 6/19/2018
Reaffirmed on: F1Q2019 earnings call 9/17/2018
No longer providing guidance: F2Q2019 earnings call 12/18/2018</t>
        </r>
      </text>
    </comment>
    <comment ref="W224" authorId="0" shapeId="0" xr:uid="{49404006-C1DB-4F42-BD5A-764744382BFA}">
      <text>
        <r>
          <rPr>
            <sz val="9"/>
            <color indexed="81"/>
            <rFont val="Tahoma"/>
            <family val="2"/>
          </rPr>
          <t>Management guided FY2019 operating margin to ~7.9% and 8.5% excluding TNT integration costs. 
Original Source: F4Q2018 earnings call 6/19/2018
Reaffirmed on: F1Q2019 earnings call 9/17/2018
No longer providing guidance: F2Q2019 earnings call 12/18/2018</t>
        </r>
      </text>
    </comment>
    <comment ref="W229" authorId="0" shapeId="0" xr:uid="{B25E5183-5E0D-43E3-8B77-6103C3D28FAE}">
      <text>
        <r>
          <rPr>
            <sz val="9"/>
            <color indexed="81"/>
            <rFont val="Tahoma"/>
            <family val="2"/>
          </rPr>
          <t xml:space="preserve">Management guided the effective tax rate between 22% and 23%. 
Source: F3Q2019 earnings call 3/19/2019
</t>
        </r>
      </text>
    </comment>
    <comment ref="W241" authorId="0" shapeId="0" xr:uid="{112C2E22-9290-4A83-A85C-6EE76FEC8811}">
      <text>
        <r>
          <rPr>
            <sz val="9"/>
            <color indexed="81"/>
            <rFont val="Tahoma"/>
            <family val="2"/>
          </rPr>
          <t xml:space="preserve">Management guided TNT integration expense to $435M $350M net of tax effect. Total cummulative TNT integration expense expected to exceed $1.5B through 2021.
</t>
        </r>
        <r>
          <rPr>
            <b/>
            <sz val="9"/>
            <color indexed="81"/>
            <rFont val="Tahoma"/>
            <family val="2"/>
          </rPr>
          <t>Source:</t>
        </r>
        <r>
          <rPr>
            <sz val="9"/>
            <color indexed="81"/>
            <rFont val="Tahoma"/>
            <family val="2"/>
          </rPr>
          <t xml:space="preserve"> F3Q2019 earnings call 3/19/2019
</t>
        </r>
      </text>
    </comment>
    <comment ref="AF242" authorId="0" shapeId="0" xr:uid="{F6C1009A-1F8E-4647-8AAE-35ADB6A88889}">
      <text>
        <r>
          <rPr>
            <sz val="9"/>
            <color indexed="81"/>
            <rFont val="Tahoma"/>
            <family val="2"/>
          </rPr>
          <t xml:space="preserve">Management guided TNT integration expense to $435M $350M net of tax effect. Total cummulative TNT integration expense expected to exceed $1.5B through 2021.
Source: F3Q2019 earnings call 3/19/2019
</t>
        </r>
      </text>
    </comment>
    <comment ref="W244" authorId="0" shapeId="0" xr:uid="{66B38228-13A3-4CA3-8FE8-7DD42B8F9490}">
      <text>
        <r>
          <rPr>
            <sz val="9"/>
            <color indexed="81"/>
            <rFont val="Tahoma"/>
            <family val="2"/>
          </rPr>
          <t>Management guided TNT integration expense to $435M $350M net of tax effect. Total cummulative TNT integration expense expected to exceed $1.5B through 2021.
Source: F3Q2019 earnings call 3/19/2019</t>
        </r>
      </text>
    </comment>
    <comment ref="W245" authorId="0" shapeId="0" xr:uid="{A1A325EE-443C-4D65-99DE-9214FF48ECF9}">
      <text>
        <r>
          <rPr>
            <sz val="9"/>
            <color indexed="81"/>
            <rFont val="Tahoma"/>
            <family val="2"/>
          </rPr>
          <t>Management guided FedEx Ground Legal Expense to $46M 
Source: F3Q2019 earnings call 3/19/2019</t>
        </r>
      </text>
    </comment>
    <comment ref="W247" authorId="0" shapeId="0" xr:uid="{F89019DA-30D1-48FB-B135-8015F4471B6B}">
      <text>
        <r>
          <rPr>
            <sz val="9"/>
            <color indexed="81"/>
            <rFont val="Tahoma"/>
            <family val="2"/>
          </rPr>
          <t>Management guided Business alignment (primarily voluntary buyout charges) between  $450M and $575M pre-tax (primarily in F4Q2019). Tax impact -$110M to -$140M.
Source: F3Q2019 earnings call 3/18/2019</t>
        </r>
      </text>
    </comment>
    <comment ref="Z248" authorId="0" shapeId="0" xr:uid="{A5C8C9C2-20F1-4681-B4ED-FB45EA4D588C}">
      <text>
        <r>
          <rPr>
            <sz val="9"/>
            <color indexed="81"/>
            <rFont val="Tahoma"/>
            <family val="2"/>
          </rPr>
          <t>Management guided Business alignment (primarily voluntary buyout charges) between  $450M and $575M pre-tax (primarily in F4Q2019). Tax impact -$110M to -$140M.
Source: F3Q2019 earnings call 3/18/2019</t>
        </r>
      </text>
    </comment>
    <comment ref="B315" authorId="0" shapeId="0" xr:uid="{0AC8C104-EB4A-4380-855D-1388A823A7E5}">
      <text>
        <r>
          <rPr>
            <sz val="9"/>
            <color indexed="81"/>
            <rFont val="Tahoma"/>
            <family val="2"/>
          </rPr>
          <t xml:space="preserve">There is a covenant for the relvolving credit facility which requires the company to maintain a ratio of debt to consolidated earnings (excluding non-cash pension mark-to-market adjustments and non-cash asset impairment charges) before interest, taxes, depreciation and amortization (“adjusted EBITDA”) of not more than 3.5 to 1.0, calculated as of the end of the applicable quarter on a rolling four-quarters basis. 
</t>
        </r>
      </text>
    </comment>
    <comment ref="W336" authorId="0" shapeId="0" xr:uid="{66A64359-4E7E-442B-8289-5E351FE151F7}">
      <text>
        <r>
          <rPr>
            <sz val="9"/>
            <color indexed="81"/>
            <rFont val="Tahoma"/>
            <family val="2"/>
          </rPr>
          <t>Management guided FY2019 capex to $5.6B or ~8% of revenue.
Original Source: F4Q2018 earnings call 6/19/2018
Reaffirmed: F1Q2019 earnings call 9/17/2018
Reaffirmed: F2Q2019 earnings call 12/18/2018</t>
        </r>
      </text>
    </comment>
    <comment ref="B354" authorId="0" shapeId="0" xr:uid="{FA95C4A7-0B69-4F13-92E4-DBC34B46CEE3}">
      <text>
        <r>
          <rPr>
            <sz val="9"/>
            <color indexed="81"/>
            <rFont val="Tahoma"/>
            <family val="2"/>
          </rPr>
          <t>Cash Flow from Operations - Capital Expenditures + After tax Interest Expense</t>
        </r>
      </text>
    </comment>
    <comment ref="C384" authorId="0" shapeId="0" xr:uid="{C8595294-E50A-485C-94B7-52DE006F807D}">
      <text>
        <r>
          <rPr>
            <sz val="9"/>
            <color indexed="81"/>
            <rFont val="Tahoma"/>
            <family val="2"/>
          </rPr>
          <t xml:space="preserve">The DCF calculation relies on an estimate of the equity to total capital ratio. Since the share price goes into the calculation of the capital ratio, this will naturally cause a circular reference. To demonstrate assume the current share price is $100 and the DCF is projecting a price of $150. If the DCF target price of $150 came to pass, then equity would make up a larger percentage of the total capital structure and the share price would actually be much lower.
Consider what would happen if we simply used the current share price in the DCF calculation, and market risk increased from one quarter to the next. As the share price declines, the equity to total capital ratio will also decline. As a result the discount rate will decline, and the share price projected by the DCF would actually increase, despite the heighten level of risk. The reverse effect would occur in a scenario where market risk decreases from one period to the next. From a reasonableness standpoint this simply does not make sense directionally.
To solve this issue the target share price must be used in the calculation of debt to equity. You can use trial and error to type in share prices until the price for the market capitalization calculation equals that of the DCF target. Or you can simply input the equation of cell C375 minus C398 and use the Goal Seek function to change C375 to make C375 equal C398. Note that you cannot simply set C375 equal to C398 as this will cause a circular reference error. This should be the final step in your model, as any changes in the inputs could impact the valuation.
</t>
        </r>
      </text>
    </comment>
    <comment ref="C404" authorId="1" shapeId="0" xr:uid="{00000000-0006-0000-0200-000053000000}">
      <text>
        <r>
          <rPr>
            <b/>
            <sz val="9"/>
            <color indexed="81"/>
            <rFont val="Tahoma"/>
            <family val="2"/>
          </rPr>
          <t>Equation:
CFO:</t>
        </r>
        <r>
          <rPr>
            <sz val="9"/>
            <color indexed="81"/>
            <rFont val="Tahoma"/>
            <family val="2"/>
          </rPr>
          <t xml:space="preserve"> [CFO x (1 + Constant CFO growth rate)] 
</t>
        </r>
        <r>
          <rPr>
            <b/>
            <sz val="9"/>
            <color indexed="81"/>
            <rFont val="Tahoma"/>
            <family val="2"/>
          </rPr>
          <t>Minus Capex:</t>
        </r>
        <r>
          <rPr>
            <sz val="9"/>
            <color indexed="81"/>
            <rFont val="Tahoma"/>
            <family val="2"/>
          </rPr>
          <t xml:space="preserve"> [(Average Capex to sales ratio) x [Sales x (1 + Constant Sales growth rate)]
</t>
        </r>
        <r>
          <rPr>
            <b/>
            <sz val="9"/>
            <color indexed="81"/>
            <rFont val="Tahoma"/>
            <family val="2"/>
          </rPr>
          <t>Plus after-tax cost of debt:</t>
        </r>
        <r>
          <rPr>
            <sz val="9"/>
            <color indexed="81"/>
            <rFont val="Tahoma"/>
            <family val="2"/>
          </rPr>
          <t xml:space="preserve"> [After tax cost of debt x Long-Term debt] </t>
        </r>
      </text>
    </comment>
    <comment ref="C406" authorId="2" shapeId="0" xr:uid="{00000000-0006-0000-0200-000054000000}">
      <text>
        <r>
          <rPr>
            <sz val="9"/>
            <color indexed="81"/>
            <rFont val="Tahoma"/>
            <family val="2"/>
          </rPr>
          <t xml:space="preserve">This adds back cash and removes debt from the enterprise value to arrive at the equity only value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5A23D195-6077-4A91-8F98-11AD466213CA}">
      <text>
        <r>
          <rPr>
            <sz val="9"/>
            <color indexed="81"/>
            <rFont val="Tahoma"/>
            <family val="2"/>
          </rPr>
          <t>Copy/paste special values before the next earnings release.</t>
        </r>
      </text>
    </comment>
    <comment ref="F7" authorId="0" shapeId="0" xr:uid="{4925B438-A3CA-4709-9CB5-A34372AE07DE}">
      <text>
        <r>
          <rPr>
            <sz val="9"/>
            <color indexed="81"/>
            <rFont val="Tahoma"/>
            <family val="2"/>
          </rPr>
          <t>To be updated after the next earnings release.</t>
        </r>
      </text>
    </comment>
    <comment ref="J7" authorId="0" shapeId="0" xr:uid="{8F9A4EFA-6BFF-466A-B41E-CDF4E3559E02}">
      <text>
        <r>
          <rPr>
            <sz val="9"/>
            <color indexed="81"/>
            <rFont val="Tahoma"/>
            <family val="2"/>
          </rPr>
          <t>Copy/paste special values before the next earnings release.</t>
        </r>
      </text>
    </comment>
    <comment ref="M7" authorId="0" shapeId="0" xr:uid="{582309C8-CEB6-4531-AB49-E8CCC108F221}">
      <text>
        <r>
          <rPr>
            <sz val="9"/>
            <color indexed="81"/>
            <rFont val="Tahoma"/>
            <family val="2"/>
          </rPr>
          <t>Copy/paste special values before the next earnings release.</t>
        </r>
      </text>
    </comment>
    <comment ref="P7" authorId="0" shapeId="0" xr:uid="{787C3AF6-116E-4908-A0FA-DDE6E14B399E}">
      <text>
        <r>
          <rPr>
            <sz val="9"/>
            <color indexed="81"/>
            <rFont val="Tahoma"/>
            <family val="2"/>
          </rPr>
          <t>Copy/paste special values before the next earnings release.</t>
        </r>
      </text>
    </comment>
    <comment ref="S7" authorId="0" shapeId="0" xr:uid="{405006F0-50A1-4731-8AE0-C5FAA552399C}">
      <text>
        <r>
          <rPr>
            <sz val="9"/>
            <color indexed="81"/>
            <rFont val="Tahoma"/>
            <family val="2"/>
          </rPr>
          <t>Copy/paste special values before the next earnings release.</t>
        </r>
      </text>
    </comment>
    <comment ref="I20" authorId="0" shapeId="0" xr:uid="{FE68B3F7-D389-4CF4-B96F-0C43D8DFF55B}">
      <text>
        <r>
          <rPr>
            <sz val="9"/>
            <color indexed="81"/>
            <rFont val="Tahoma"/>
            <family val="2"/>
          </rPr>
          <t>Consensus will not update automatically. After the release pull the new consensus estimates after Analysts have updated their models.</t>
        </r>
      </text>
    </comment>
    <comment ref="J20" authorId="0" shapeId="0" xr:uid="{3A8EB0CC-C756-493A-9E43-E1B3E0B7B8FC}">
      <text>
        <r>
          <rPr>
            <sz val="9"/>
            <color indexed="81"/>
            <rFont val="Tahoma"/>
            <family val="2"/>
          </rPr>
          <t>Cells are linked to the model. Values will change after the release as the model is updated.</t>
        </r>
      </text>
    </comment>
    <comment ref="M20" authorId="0" shapeId="0" xr:uid="{47AC1B2D-299B-4A6D-A62B-9E0C9112CDB4}">
      <text>
        <r>
          <rPr>
            <sz val="9"/>
            <color indexed="81"/>
            <rFont val="Tahoma"/>
            <family val="2"/>
          </rPr>
          <t>Cells are linked to the model. Values will change after the release as the model is updated.</t>
        </r>
      </text>
    </comment>
    <comment ref="P20" authorId="0" shapeId="0" xr:uid="{6E12A996-4F31-4B75-9614-A70BC25CBA97}">
      <text>
        <r>
          <rPr>
            <sz val="9"/>
            <color indexed="81"/>
            <rFont val="Tahoma"/>
            <family val="2"/>
          </rPr>
          <t>Cells are linked to the model. Values will change after the release as the model is updated.</t>
        </r>
      </text>
    </comment>
    <comment ref="S20" authorId="0" shapeId="0" xr:uid="{04D0353E-AC58-4FC0-BE4E-37F1CDE94729}">
      <text>
        <r>
          <rPr>
            <sz val="9"/>
            <color indexed="81"/>
            <rFont val="Tahoma"/>
            <family val="2"/>
          </rPr>
          <t>Cells are linked to the model. Values will change after the release as the model is updated.</t>
        </r>
      </text>
    </comment>
    <comment ref="E32" authorId="0" shapeId="0" xr:uid="{6F8C58BF-F1B4-4AAA-8B1F-F16BBE84D266}">
      <text>
        <r>
          <rPr>
            <sz val="9"/>
            <color indexed="81"/>
            <rFont val="Tahoma"/>
            <family val="2"/>
          </rPr>
          <t>This section compares the Actual results against the consensus estimates and our model forecast estimates.</t>
        </r>
      </text>
    </comment>
    <comment ref="H32" authorId="0" shapeId="0" xr:uid="{461E6680-646C-42FE-B0FA-9030C2C4B07E}">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431FD0B0-2B9F-4900-8614-4831614FCA0F}">
      <text>
        <r>
          <rPr>
            <sz val="9"/>
            <color indexed="81"/>
            <rFont val="Tahoma"/>
            <family val="2"/>
          </rPr>
          <t>Copy/paste special values before the next earnings release.</t>
        </r>
      </text>
    </comment>
    <comment ref="F7" authorId="0" shapeId="0" xr:uid="{0D16AEBF-60CF-4840-9536-5E8C105BFE9F}">
      <text>
        <r>
          <rPr>
            <sz val="9"/>
            <color indexed="81"/>
            <rFont val="Tahoma"/>
            <family val="2"/>
          </rPr>
          <t>To be updated after the next earnings release.</t>
        </r>
      </text>
    </comment>
    <comment ref="J7" authorId="0" shapeId="0" xr:uid="{7CC788D5-4886-4977-9658-92AB885A0E29}">
      <text>
        <r>
          <rPr>
            <sz val="9"/>
            <color indexed="81"/>
            <rFont val="Tahoma"/>
            <family val="2"/>
          </rPr>
          <t>Copy/paste special values before the next earnings release.</t>
        </r>
      </text>
    </comment>
    <comment ref="M7" authorId="0" shapeId="0" xr:uid="{F72C32C7-D973-4F67-A8EE-3302AC40F0FF}">
      <text>
        <r>
          <rPr>
            <sz val="9"/>
            <color indexed="81"/>
            <rFont val="Tahoma"/>
            <family val="2"/>
          </rPr>
          <t>Copy/paste special values before the next earnings release.</t>
        </r>
      </text>
    </comment>
    <comment ref="P7" authorId="0" shapeId="0" xr:uid="{A2E99635-D792-408E-8A5D-8B5801A143B0}">
      <text>
        <r>
          <rPr>
            <sz val="9"/>
            <color indexed="81"/>
            <rFont val="Tahoma"/>
            <family val="2"/>
          </rPr>
          <t>Copy/paste special values before the next earnings release.</t>
        </r>
      </text>
    </comment>
    <comment ref="S7" authorId="0" shapeId="0" xr:uid="{02B9E770-A668-4A92-AC6C-6E002E92C3D9}">
      <text>
        <r>
          <rPr>
            <sz val="9"/>
            <color indexed="81"/>
            <rFont val="Tahoma"/>
            <family val="2"/>
          </rPr>
          <t>Copy/paste special values before the next earnings release.</t>
        </r>
      </text>
    </comment>
    <comment ref="I20" authorId="0" shapeId="0" xr:uid="{FC446C40-EED3-4514-B0A8-6A6D2ADD0BA4}">
      <text>
        <r>
          <rPr>
            <sz val="9"/>
            <color indexed="81"/>
            <rFont val="Tahoma"/>
            <family val="2"/>
          </rPr>
          <t>Consensus will not update automatically. After the release pull the new consensus estimates after Analysts have updated their models.</t>
        </r>
      </text>
    </comment>
    <comment ref="J20" authorId="0" shapeId="0" xr:uid="{6BEBB996-0F66-41AE-9A35-B1EF29934E57}">
      <text>
        <r>
          <rPr>
            <sz val="9"/>
            <color indexed="81"/>
            <rFont val="Tahoma"/>
            <family val="2"/>
          </rPr>
          <t>Cells are linked to the model. Values will change after the release as the model is updated.</t>
        </r>
      </text>
    </comment>
    <comment ref="M20" authorId="0" shapeId="0" xr:uid="{16ABF093-CB76-4ED6-B8D6-359FB4F0C1AD}">
      <text>
        <r>
          <rPr>
            <sz val="9"/>
            <color indexed="81"/>
            <rFont val="Tahoma"/>
            <family val="2"/>
          </rPr>
          <t>Cells are linked to the model. Values will change after the release as the model is updated.</t>
        </r>
      </text>
    </comment>
    <comment ref="P20" authorId="0" shapeId="0" xr:uid="{FC95F62F-A5C5-4FDB-ADBD-2E1C4219CFC2}">
      <text>
        <r>
          <rPr>
            <sz val="9"/>
            <color indexed="81"/>
            <rFont val="Tahoma"/>
            <family val="2"/>
          </rPr>
          <t>Cells are linked to the model. Values will change after the release as the model is updated.</t>
        </r>
      </text>
    </comment>
    <comment ref="S20" authorId="0" shapeId="0" xr:uid="{A2FEDF5D-7EA0-416F-B73A-7A5D91C08533}">
      <text>
        <r>
          <rPr>
            <sz val="9"/>
            <color indexed="81"/>
            <rFont val="Tahoma"/>
            <family val="2"/>
          </rPr>
          <t>Cells are linked to the model. Values will change after the release as the model is updated.</t>
        </r>
      </text>
    </comment>
    <comment ref="E32" authorId="0" shapeId="0" xr:uid="{68D95508-7093-4520-88EF-E51EF67898D3}">
      <text>
        <r>
          <rPr>
            <sz val="9"/>
            <color indexed="81"/>
            <rFont val="Tahoma"/>
            <family val="2"/>
          </rPr>
          <t>This section compares the Actual results against the consensus estimates and our model forecast estimates.</t>
        </r>
      </text>
    </comment>
    <comment ref="H32" authorId="0" shapeId="0" xr:uid="{BB4E247F-B92F-4A9B-997D-2BD181C66EEE}">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A01E0047-1F3B-4184-87CB-23C27F632E70}">
      <text>
        <r>
          <rPr>
            <sz val="9"/>
            <color indexed="81"/>
            <rFont val="Tahoma"/>
            <family val="2"/>
          </rPr>
          <t>Copy/paste special values before the next earnings release.</t>
        </r>
      </text>
    </comment>
    <comment ref="F7" authorId="0" shapeId="0" xr:uid="{68237BF9-C56C-40AE-BD0D-401A65884045}">
      <text>
        <r>
          <rPr>
            <sz val="9"/>
            <color indexed="81"/>
            <rFont val="Tahoma"/>
            <family val="2"/>
          </rPr>
          <t>To be updated after the next earnings release.</t>
        </r>
      </text>
    </comment>
    <comment ref="J7" authorId="0" shapeId="0" xr:uid="{62868D80-DFB2-4775-893B-2475C05A56A7}">
      <text>
        <r>
          <rPr>
            <sz val="9"/>
            <color indexed="81"/>
            <rFont val="Tahoma"/>
            <family val="2"/>
          </rPr>
          <t>Copy/paste special values before the next earnings release.</t>
        </r>
      </text>
    </comment>
    <comment ref="M7" authorId="0" shapeId="0" xr:uid="{1BC15715-6445-4BA1-9389-90A825CD4F93}">
      <text>
        <r>
          <rPr>
            <sz val="9"/>
            <color indexed="81"/>
            <rFont val="Tahoma"/>
            <family val="2"/>
          </rPr>
          <t>Copy/paste special values before the next earnings release.</t>
        </r>
      </text>
    </comment>
    <comment ref="P7" authorId="0" shapeId="0" xr:uid="{89EC3991-C938-47A0-8F06-52D73AA04710}">
      <text>
        <r>
          <rPr>
            <sz val="9"/>
            <color indexed="81"/>
            <rFont val="Tahoma"/>
            <family val="2"/>
          </rPr>
          <t>Copy/paste special values before the next earnings release.</t>
        </r>
      </text>
    </comment>
    <comment ref="S7" authorId="0" shapeId="0" xr:uid="{9CB28DE1-1C2E-4FD6-B9E8-A2B3EDD2B064}">
      <text>
        <r>
          <rPr>
            <sz val="9"/>
            <color indexed="81"/>
            <rFont val="Tahoma"/>
            <family val="2"/>
          </rPr>
          <t>Copy/paste special values before the next earnings release.</t>
        </r>
      </text>
    </comment>
    <comment ref="I20" authorId="0" shapeId="0" xr:uid="{C8AFC9B5-30E7-436D-A1B6-7C9EA17220D0}">
      <text>
        <r>
          <rPr>
            <sz val="9"/>
            <color indexed="81"/>
            <rFont val="Tahoma"/>
            <family val="2"/>
          </rPr>
          <t>Consensus will not update automatically. After the release pull the new consensus estimates after Analysts have updated their models.</t>
        </r>
      </text>
    </comment>
    <comment ref="J20" authorId="0" shapeId="0" xr:uid="{96BF3970-8392-4CA6-9EBF-FE9D29FC5ED1}">
      <text>
        <r>
          <rPr>
            <sz val="9"/>
            <color indexed="81"/>
            <rFont val="Tahoma"/>
            <family val="2"/>
          </rPr>
          <t>Cells are linked to the model. Values will change after the release as the model is updated.</t>
        </r>
      </text>
    </comment>
    <comment ref="M20" authorId="0" shapeId="0" xr:uid="{D23420D4-CD24-4549-9D57-A415D7235F46}">
      <text>
        <r>
          <rPr>
            <sz val="9"/>
            <color indexed="81"/>
            <rFont val="Tahoma"/>
            <family val="2"/>
          </rPr>
          <t>Cells are linked to the model. Values will change after the release as the model is updated.</t>
        </r>
      </text>
    </comment>
    <comment ref="P20" authorId="0" shapeId="0" xr:uid="{E220AA1B-BE0A-4DB6-A330-DB0123002C6F}">
      <text>
        <r>
          <rPr>
            <sz val="9"/>
            <color indexed="81"/>
            <rFont val="Tahoma"/>
            <family val="2"/>
          </rPr>
          <t>Cells are linked to the model. Values will change after the release as the model is updated.</t>
        </r>
      </text>
    </comment>
    <comment ref="S20" authorId="0" shapeId="0" xr:uid="{BA97E4AC-D545-40D3-82CA-BA4C858101DF}">
      <text>
        <r>
          <rPr>
            <sz val="9"/>
            <color indexed="81"/>
            <rFont val="Tahoma"/>
            <family val="2"/>
          </rPr>
          <t>Cells are linked to the model. Values will change after the release as the model is updated.</t>
        </r>
      </text>
    </comment>
    <comment ref="E32" authorId="0" shapeId="0" xr:uid="{B6F70674-C017-432A-A858-79DB01486AE6}">
      <text>
        <r>
          <rPr>
            <sz val="9"/>
            <color indexed="81"/>
            <rFont val="Tahoma"/>
            <family val="2"/>
          </rPr>
          <t>This section compares the Actual results against the consensus estimates and our model forecast estimates.</t>
        </r>
      </text>
    </comment>
    <comment ref="H32" authorId="0" shapeId="0" xr:uid="{AA0CBE35-D210-4633-A739-15C743FE0127}">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sharedStrings.xml><?xml version="1.0" encoding="utf-8"?>
<sst xmlns="http://schemas.openxmlformats.org/spreadsheetml/2006/main" count="2003" uniqueCount="791">
  <si>
    <t>Basic shares outstanding</t>
  </si>
  <si>
    <t xml:space="preserve">Diluted shares outstanding </t>
  </si>
  <si>
    <t>Effective tax rate</t>
  </si>
  <si>
    <t>(Dollars in millions, except per share data)</t>
  </si>
  <si>
    <t>Total Current Assets</t>
  </si>
  <si>
    <t>Total Assets</t>
  </si>
  <si>
    <t>Assets</t>
  </si>
  <si>
    <t>Liabilities</t>
  </si>
  <si>
    <t>Total Current liabilities</t>
  </si>
  <si>
    <t>Other current assets</t>
  </si>
  <si>
    <t>Total liabilities</t>
  </si>
  <si>
    <t>Common stock</t>
  </si>
  <si>
    <t>Total liabilities and equity</t>
  </si>
  <si>
    <t>Cash flows from operating activities</t>
  </si>
  <si>
    <t>Net income (loss)</t>
  </si>
  <si>
    <t>Net cash provided by operating activities</t>
  </si>
  <si>
    <t>Cash flows from investing activities</t>
  </si>
  <si>
    <t>Net cash provided by (used for) investing</t>
  </si>
  <si>
    <t>Cash flows from financing activities</t>
  </si>
  <si>
    <t>Net cash provided by (used for) financing</t>
  </si>
  <si>
    <t>Net increase (decrease) in cash and equivalents</t>
  </si>
  <si>
    <t>Cash and equivalents at beginning of period</t>
  </si>
  <si>
    <t>Cash and equivalents at end of period</t>
  </si>
  <si>
    <t>Multiple Valuation</t>
  </si>
  <si>
    <t>Balance Sheet Ratios &amp; Assumptions</t>
  </si>
  <si>
    <t>Receivables turnover</t>
  </si>
  <si>
    <t>Number of days of payables</t>
  </si>
  <si>
    <t>Cash Flow Ratios &amp; Assumptions</t>
  </si>
  <si>
    <t>Operating margin (GAAP)</t>
  </si>
  <si>
    <t>Share repurchase assumptions: average price</t>
  </si>
  <si>
    <t>Share repurchase: amount in the period ($M)</t>
  </si>
  <si>
    <t>Discounted FCFF</t>
  </si>
  <si>
    <t>Discounted Cash Flow Valuation</t>
  </si>
  <si>
    <t>Shares outstanding</t>
  </si>
  <si>
    <t>Market Capitalization ($M)</t>
  </si>
  <si>
    <t>Equity market risk premium</t>
  </si>
  <si>
    <t>Required return on equity (CAPM)</t>
  </si>
  <si>
    <t>Equity to total capital</t>
  </si>
  <si>
    <t>Average cost of debt</t>
  </si>
  <si>
    <t xml:space="preserve">After tax cost of debt </t>
  </si>
  <si>
    <t>P/E used for valuation</t>
  </si>
  <si>
    <t>Provisions for income tax</t>
  </si>
  <si>
    <t>Dividends per share</t>
  </si>
  <si>
    <t>Cash and equivalents</t>
  </si>
  <si>
    <t>Goodwill</t>
  </si>
  <si>
    <t>Accounts payable</t>
  </si>
  <si>
    <t>Accrued expenses</t>
  </si>
  <si>
    <t>Other non-current liabilities</t>
  </si>
  <si>
    <t>Commitments and contingencies</t>
  </si>
  <si>
    <t xml:space="preserve">Retained earnings </t>
  </si>
  <si>
    <t>Total shareholders' equity</t>
  </si>
  <si>
    <t>Dividends paid</t>
  </si>
  <si>
    <t>Beta (relative to the S&amp;P500)</t>
  </si>
  <si>
    <t>Revenue growth (in perpetuity)</t>
  </si>
  <si>
    <t>Constant CFO growth rate</t>
  </si>
  <si>
    <t>DCF Valuation</t>
  </si>
  <si>
    <t xml:space="preserve">Net income </t>
  </si>
  <si>
    <t xml:space="preserve">Basic EPS </t>
  </si>
  <si>
    <t xml:space="preserve">Diluted EPS </t>
  </si>
  <si>
    <t>P/E 3-month high</t>
  </si>
  <si>
    <t>P/E 3-month low</t>
  </si>
  <si>
    <t>DCF Period (approximate number of years)</t>
  </si>
  <si>
    <t xml:space="preserve">Plus cash/(debt) per share </t>
  </si>
  <si>
    <t>P/E 3-month average (a)</t>
  </si>
  <si>
    <t>(d) Assumes constant networking capital in the constant growth stage.
(e) Assumes debt balance and interest expense remains constant in the constant growth stage, and that book value of debt approximates fair value.</t>
  </si>
  <si>
    <t>Implied P/E 12-month target value</t>
  </si>
  <si>
    <t>Implied DCF 12-month target value</t>
  </si>
  <si>
    <t>Total operating expenses</t>
  </si>
  <si>
    <t>Change in basic shares  (excluding repurchases)</t>
  </si>
  <si>
    <t>Change in diluted shares  (excluding repurchases)</t>
  </si>
  <si>
    <t>Consensus</t>
  </si>
  <si>
    <t>F1Q16</t>
  </si>
  <si>
    <t>By obtaining this model you are deemed to have read and agreed to our Terms of Use. Visit our website for details: https://www.gutenbergresearch.com/terms-of-use.html</t>
  </si>
  <si>
    <t>GR</t>
  </si>
  <si>
    <t>F2Q16</t>
  </si>
  <si>
    <t>F3Q16</t>
  </si>
  <si>
    <t>Ratio Analysis</t>
  </si>
  <si>
    <t>Shares repurchased (in millions)</t>
  </si>
  <si>
    <t>F4Q16</t>
  </si>
  <si>
    <t>FY 2016</t>
  </si>
  <si>
    <t>F1Q17</t>
  </si>
  <si>
    <t xml:space="preserve">Net Cash and investments per share </t>
  </si>
  <si>
    <t>Debt-to-Equity Ratio</t>
  </si>
  <si>
    <t>Dividend growth rate (YoY)</t>
  </si>
  <si>
    <t>Day Count (number of days in the quarter)</t>
  </si>
  <si>
    <t>Days sales outstanding</t>
  </si>
  <si>
    <t>Payables turnover</t>
  </si>
  <si>
    <t>Total other income/(expense)</t>
  </si>
  <si>
    <t>Share Count Analysis</t>
  </si>
  <si>
    <t>Segment &amp; Product Data</t>
  </si>
  <si>
    <t>Net Cash from Operations growth rate (YoY)</t>
  </si>
  <si>
    <t>F2Q17</t>
  </si>
  <si>
    <t>Revenue</t>
  </si>
  <si>
    <t>Quarterly Consensus Estimates</t>
  </si>
  <si>
    <t>Metric</t>
  </si>
  <si>
    <t># of Analysts</t>
  </si>
  <si>
    <t>Annual Consensus Estimates</t>
  </si>
  <si>
    <t>FY2019E</t>
  </si>
  <si>
    <t>FY2020E</t>
  </si>
  <si>
    <t>EBITDA</t>
  </si>
  <si>
    <t>Mean monthly return</t>
  </si>
  <si>
    <t xml:space="preserve">Standard deviation </t>
  </si>
  <si>
    <t>Implied upper bound</t>
  </si>
  <si>
    <t>Implied Lower bound</t>
  </si>
  <si>
    <t>Implied target value</t>
  </si>
  <si>
    <t>Implied 50/50 average target value</t>
  </si>
  <si>
    <t>Risk Estimation Summary (g)</t>
  </si>
  <si>
    <t xml:space="preserve">Implied target price band </t>
  </si>
  <si>
    <t>Stage 2 Long-Term WACC (f)</t>
  </si>
  <si>
    <t>F3Q17</t>
  </si>
  <si>
    <t>FedEx Corp Income Statement</t>
  </si>
  <si>
    <t>FedEx Corp Balance Sheet</t>
  </si>
  <si>
    <t>FedEx Corp Cash Flow Statement</t>
  </si>
  <si>
    <t>F4Q17</t>
  </si>
  <si>
    <t>FY 2017</t>
  </si>
  <si>
    <t>F1Q18</t>
  </si>
  <si>
    <t>F2Q18</t>
  </si>
  <si>
    <t>F3Q18</t>
  </si>
  <si>
    <t>F4Q18</t>
  </si>
  <si>
    <t>FY 2018</t>
  </si>
  <si>
    <t>Aug-15</t>
  </si>
  <si>
    <t>Nov-15</t>
  </si>
  <si>
    <t>Feb-16</t>
  </si>
  <si>
    <t>May-16</t>
  </si>
  <si>
    <t>Aug-16</t>
  </si>
  <si>
    <t>Nov-16</t>
  </si>
  <si>
    <t>Feb-17</t>
  </si>
  <si>
    <t>May-17</t>
  </si>
  <si>
    <t>Aug-17</t>
  </si>
  <si>
    <t>Nov-17</t>
  </si>
  <si>
    <t>Feb-18</t>
  </si>
  <si>
    <t>May-18</t>
  </si>
  <si>
    <t>Aug-18</t>
  </si>
  <si>
    <t>Nov-18</t>
  </si>
  <si>
    <t>Feb-19</t>
  </si>
  <si>
    <t>May-19</t>
  </si>
  <si>
    <t>Aug-19</t>
  </si>
  <si>
    <t>Nov-19</t>
  </si>
  <si>
    <t>Feb-20</t>
  </si>
  <si>
    <t>May-20</t>
  </si>
  <si>
    <t>Aug-20</t>
  </si>
  <si>
    <t>Nov-20</t>
  </si>
  <si>
    <t>Feb-21</t>
  </si>
  <si>
    <t>May-21</t>
  </si>
  <si>
    <t>Aug-21</t>
  </si>
  <si>
    <t>Nov-21</t>
  </si>
  <si>
    <t>Feb-22</t>
  </si>
  <si>
    <t>May-22</t>
  </si>
  <si>
    <t>Aug-22</t>
  </si>
  <si>
    <t>Nov-22</t>
  </si>
  <si>
    <t>Feb-23</t>
  </si>
  <si>
    <t>May-23</t>
  </si>
  <si>
    <t>Total Revenue</t>
  </si>
  <si>
    <t>Operating expenses:</t>
  </si>
  <si>
    <t>Salaries and employee benefits</t>
  </si>
  <si>
    <t>Purchased transportation</t>
  </si>
  <si>
    <t>Rentals and landing fees</t>
  </si>
  <si>
    <t>Depreciation and amortization</t>
  </si>
  <si>
    <t>Fuel</t>
  </si>
  <si>
    <t>Maintenance and repairs</t>
  </si>
  <si>
    <t>Impairment and other charges</t>
  </si>
  <si>
    <t>Retirement plans mark-to-market adjustment</t>
  </si>
  <si>
    <t xml:space="preserve">Other  </t>
  </si>
  <si>
    <t>Total operating income/(loss)</t>
  </si>
  <si>
    <t>Other Income/(Expense):</t>
  </si>
  <si>
    <t xml:space="preserve">Other, net </t>
  </si>
  <si>
    <t>Income/(loss) before income tax</t>
  </si>
  <si>
    <t>U.S. Overnight Box Revenue ($M)</t>
  </si>
  <si>
    <t>Express Segment - U.S. Overnight Box</t>
  </si>
  <si>
    <t>Express Segment - U.S. Overnight Envelope</t>
  </si>
  <si>
    <t>U.S. Overnight Envelope Revenue ($M)</t>
  </si>
  <si>
    <t>Express Segment - U.S. Deferred</t>
  </si>
  <si>
    <t>U.S. Deferrred Revenue ($M)</t>
  </si>
  <si>
    <t>U.S. Overnight Box Yield (Revenue per package, in $)</t>
  </si>
  <si>
    <t>U.S. Overnight Envelope Yield (Revenue per package, in $)</t>
  </si>
  <si>
    <t>U.S. Deferred Yield (Revenue per package, in $)</t>
  </si>
  <si>
    <t>Express Segment - International Priority</t>
  </si>
  <si>
    <t>International Priority Yield (Revenue per package, in $)</t>
  </si>
  <si>
    <t>International Priority Revenue ($M)</t>
  </si>
  <si>
    <t>Express Segment - International Economy</t>
  </si>
  <si>
    <t>International Economy Yield (Revenue per package, in $)</t>
  </si>
  <si>
    <t>International Economy Revenue ($M)</t>
  </si>
  <si>
    <t>Express Segment - International Domestic</t>
  </si>
  <si>
    <t>International Domestic Yield (Revenue per package, in $)</t>
  </si>
  <si>
    <t>International Domestic Revenue ($M)</t>
  </si>
  <si>
    <t>Express Segment - U.S. Freight</t>
  </si>
  <si>
    <t>U.S. Freight Yield (Revenue per Freight LB, in $)</t>
  </si>
  <si>
    <t>U.S. Freight Revenue ($M)</t>
  </si>
  <si>
    <t>Express Segment - International Priority Freight</t>
  </si>
  <si>
    <t>Intl Priority Freight Yield (Revenue per Freight LB, in $)</t>
  </si>
  <si>
    <t>Intl Priority Freight Revenue ($M)</t>
  </si>
  <si>
    <t>Express Segment - International Economy Freight</t>
  </si>
  <si>
    <t>Intl Economy Freight Yield (Revenue per Freight LB, in $)</t>
  </si>
  <si>
    <t>Intl Economy Freight Revenue ($M)</t>
  </si>
  <si>
    <t>Express Segment - International Airfreight Freight</t>
  </si>
  <si>
    <t>Intl Airfreight Freight Yield (Revenue per Freight LB, in $)</t>
  </si>
  <si>
    <t>Intl Airfreight Freight Revenue ($M)</t>
  </si>
  <si>
    <t>Express Segment - Totals</t>
  </si>
  <si>
    <r>
      <rPr>
        <b/>
        <sz val="11"/>
        <rFont val="Calibri"/>
        <family val="2"/>
        <scheme val="minor"/>
      </rPr>
      <t>Packages:</t>
    </r>
    <r>
      <rPr>
        <sz val="11"/>
        <rFont val="Calibri"/>
        <family val="2"/>
        <scheme val="minor"/>
      </rPr>
      <t xml:space="preserve"> Composite Yield (Revenue per package, in $)</t>
    </r>
  </si>
  <si>
    <r>
      <rPr>
        <b/>
        <sz val="11"/>
        <rFont val="Calibri"/>
        <family val="2"/>
        <scheme val="minor"/>
      </rPr>
      <t>Freight:</t>
    </r>
    <r>
      <rPr>
        <sz val="11"/>
        <rFont val="Calibri"/>
        <family val="2"/>
        <scheme val="minor"/>
      </rPr>
      <t xml:space="preserve"> Composite Freight Yield (Revenue per package, in $)</t>
    </r>
  </si>
  <si>
    <t>Express Segment - Details</t>
  </si>
  <si>
    <t>Packages: Revenue</t>
  </si>
  <si>
    <t>Freight: Revenue</t>
  </si>
  <si>
    <t>YoY Percentage Increases in Yield</t>
  </si>
  <si>
    <t>YoY Percentage Increases in Average Daily Volume</t>
  </si>
  <si>
    <t>Other Express Revenue</t>
  </si>
  <si>
    <t>Ground Segment</t>
  </si>
  <si>
    <t>Ground Yield (Revenue per Freight LB, in $)</t>
  </si>
  <si>
    <t>FedEx Ground</t>
  </si>
  <si>
    <t>Receivables, less allowances</t>
  </si>
  <si>
    <t>Spare parts, supplies and fuel, less allowances</t>
  </si>
  <si>
    <t>Deferred income taxes</t>
  </si>
  <si>
    <t>Less: Less accumulated depreciation and amortization</t>
  </si>
  <si>
    <t>Other long-term assets</t>
  </si>
  <si>
    <t>Short-term borrowings</t>
  </si>
  <si>
    <t>Current portion of long-term debt</t>
  </si>
  <si>
    <t>Accrued salaries and employee benefits</t>
  </si>
  <si>
    <t>Long-term debt, less current portion</t>
  </si>
  <si>
    <t>Pension, postretirement healthcare and other benefit obligations</t>
  </si>
  <si>
    <t>Self-insurance accruals</t>
  </si>
  <si>
    <t>Deferred lease obligations</t>
  </si>
  <si>
    <t>Deferred gains, principally related to aircraft transactions</t>
  </si>
  <si>
    <t>Additional paid-in capital</t>
  </si>
  <si>
    <t>Treasury stock, at cost</t>
  </si>
  <si>
    <t xml:space="preserve">Depreciation and amortization </t>
  </si>
  <si>
    <t>Provision for uncollectible accounts</t>
  </si>
  <si>
    <t>Stock-based compensation expense</t>
  </si>
  <si>
    <t>Deferred income taxes and other noncash items</t>
  </si>
  <si>
    <t>Gain from sale of investment</t>
  </si>
  <si>
    <t>Changes in operating assets and liabilities, net of the effects</t>
  </si>
  <si>
    <t>Receivable</t>
  </si>
  <si>
    <t>Pension and postretirement assets and liabilities, net</t>
  </si>
  <si>
    <t>Accounts payable other operating liabilities</t>
  </si>
  <si>
    <t>Other, net</t>
  </si>
  <si>
    <t>Capital expenditures</t>
  </si>
  <si>
    <t>Business acquisitions, net of cash acquired</t>
  </si>
  <si>
    <t>Proceeds from asset dispositions and other</t>
  </si>
  <si>
    <t>Proceeds from short-term borrowings</t>
  </si>
  <si>
    <t>Principal payments on debt</t>
  </si>
  <si>
    <t>Proceeds from debt issuances</t>
  </si>
  <si>
    <t>Proceeds from stock issuances</t>
  </si>
  <si>
    <t>Purchase of treasury stock</t>
  </si>
  <si>
    <t>Effect of exchange rate changes on cash</t>
  </si>
  <si>
    <t>Excess tax benefit on the exercise of stock options</t>
  </si>
  <si>
    <t>Freight Segment</t>
  </si>
  <si>
    <t>FedEx Freight</t>
  </si>
  <si>
    <t>YoY Percentage change in weight LTL</t>
  </si>
  <si>
    <t>YoY Percentage change in shipments per day</t>
  </si>
  <si>
    <t>Weight per Less-than-Truck-Load (LTL) per shipment (lbs)</t>
  </si>
  <si>
    <t>Services Segment and Other</t>
  </si>
  <si>
    <t>FedEx Services Revenue</t>
  </si>
  <si>
    <t>YoY change in services revenue</t>
  </si>
  <si>
    <t>Express Segment Operating Expenses</t>
  </si>
  <si>
    <t>All other operating expenses</t>
  </si>
  <si>
    <t>Express operating margin</t>
  </si>
  <si>
    <t>All other operating expenses as a % of revenue</t>
  </si>
  <si>
    <t>Total fuel expense</t>
  </si>
  <si>
    <t>Price per gallon ($ per gallon)</t>
  </si>
  <si>
    <t>Jet fuel expense ($ in millions)</t>
  </si>
  <si>
    <t>Other Express fuel expense</t>
  </si>
  <si>
    <t>FedEx Ground Revenue ($M)</t>
  </si>
  <si>
    <t>Ground Segment Operating Expenses</t>
  </si>
  <si>
    <t>Express operating income</t>
  </si>
  <si>
    <t>Ground operating margin</t>
  </si>
  <si>
    <t>Freight Segment Operating Expenses</t>
  </si>
  <si>
    <t>Freight operating income</t>
  </si>
  <si>
    <t>Freight operating margin</t>
  </si>
  <si>
    <t>FedEx Freight Total Revenue ($M)</t>
  </si>
  <si>
    <t>Operating Income</t>
  </si>
  <si>
    <t>Implied opex not reported in 3 main segments:</t>
  </si>
  <si>
    <t>Fuel expense</t>
  </si>
  <si>
    <t>All other operating expense</t>
  </si>
  <si>
    <t>Reconciling items (Consolidated results vs Segments):</t>
  </si>
  <si>
    <t>Segment Reconciliation Checks:</t>
  </si>
  <si>
    <t>Depreciation and Amortization</t>
  </si>
  <si>
    <t>Fuel Expense</t>
  </si>
  <si>
    <t xml:space="preserve">Pension Fund Analysis </t>
  </si>
  <si>
    <t>Components of pre-tax MtM retirement plan adjustments:</t>
  </si>
  <si>
    <t>Actual vs expected return on assets</t>
  </si>
  <si>
    <t>Discount rate changes</t>
  </si>
  <si>
    <t>Demographic assumption experience</t>
  </si>
  <si>
    <t>Net Retirement plans mark-to-market adjustment</t>
  </si>
  <si>
    <t xml:space="preserve">Plan Assumptions and Macroeconomic Data: </t>
  </si>
  <si>
    <t>Plan Expected Return</t>
  </si>
  <si>
    <t>Plan Actual Return</t>
  </si>
  <si>
    <t>Funded Status of Plans:</t>
  </si>
  <si>
    <t>Projected Benefit Obligation (PBO)</t>
  </si>
  <si>
    <t>Fair value of plan assets</t>
  </si>
  <si>
    <t xml:space="preserve">Funded status </t>
  </si>
  <si>
    <t>Cash contributions during the year</t>
  </si>
  <si>
    <t>Benefit payments during the year</t>
  </si>
  <si>
    <t>Percentage Funded</t>
  </si>
  <si>
    <t>Impact of 1bp in expected return on pension expense  ($ in millions, disclosed in 10-K)</t>
  </si>
  <si>
    <t>Weighted Average Discount Rate (for all Plans)</t>
  </si>
  <si>
    <t xml:space="preserve">Hold flat </t>
  </si>
  <si>
    <t>Forecast assumption: Impact of changes in mortality tables (Gutenberg proxy for forecasting)</t>
  </si>
  <si>
    <t>Forecast assumption: Expected increase in Plan (market return) in excess of expected return</t>
  </si>
  <si>
    <t>Forecast assumption: Expected increase in discount rate</t>
  </si>
  <si>
    <t>Impact on MtM adjustment of 1bp increase in discount rate ($ in millions largest Plan only [use as proxy], disclosed in 10-K)</t>
  </si>
  <si>
    <t>Other Opex (exDep/Amort, Fuel and Retirement MtM)</t>
  </si>
  <si>
    <t>Fuel expense as a % of revenue</t>
  </si>
  <si>
    <t>Purchased transportation expense as a % of revenue</t>
  </si>
  <si>
    <t>Salaries and employee benefits as a % of revenue</t>
  </si>
  <si>
    <t>Property and equipment, at cost (P&amp;E)</t>
  </si>
  <si>
    <t>Total Net P&amp;E</t>
  </si>
  <si>
    <t>Depreciation &amp; amortization-to-average P&amp;E</t>
  </si>
  <si>
    <t>Spare parts, supplies and fuel as a percentage of Gross P&amp;E</t>
  </si>
  <si>
    <t>Prepaid expenses and other current assets</t>
  </si>
  <si>
    <t>Debt covenant check: Debt to Adjusted EBTIDA</t>
  </si>
  <si>
    <t>Commercial Paper-to-total Debt</t>
  </si>
  <si>
    <t>Current portion of debt-to-total Debt</t>
  </si>
  <si>
    <t>Average accrued expenses-to-revenue</t>
  </si>
  <si>
    <t>Amounts recognized in OCI (net of tax)</t>
  </si>
  <si>
    <t>Accumulated Other Comprehensive Income (AOCI):</t>
  </si>
  <si>
    <t>Total AOCI</t>
  </si>
  <si>
    <t>All other changes in AOCI</t>
  </si>
  <si>
    <t>Foreign currency translation (end of period balance)</t>
  </si>
  <si>
    <t>Retirement plan adjustments (end of period balance)</t>
  </si>
  <si>
    <t>Reconciling funded status to the Balance Sheet</t>
  </si>
  <si>
    <t>Amounts recognized in OCI (tax impact)</t>
  </si>
  <si>
    <t>Balance Sheet check</t>
  </si>
  <si>
    <t>Implied portion of liability classified as current</t>
  </si>
  <si>
    <t xml:space="preserve"> Service costs/Interest Cost/Actuarial loss/other PBO increases (note DBP only)</t>
  </si>
  <si>
    <t>Amounts recognized in OCI (gross)</t>
  </si>
  <si>
    <t>Average Self Insurance Accrual-to-revenue</t>
  </si>
  <si>
    <t>YoY Percentage Change in Other Express Revenue</t>
  </si>
  <si>
    <t>YoY Percentage Change in Other Ground Revenue</t>
  </si>
  <si>
    <t>Ground operating income ($M)</t>
  </si>
  <si>
    <t>All Other Ground Revenue ($M)</t>
  </si>
  <si>
    <t>Revenue per Shipment</t>
  </si>
  <si>
    <t>YoY change in revenue per shipment</t>
  </si>
  <si>
    <t>Express Operating Weekdays</t>
  </si>
  <si>
    <t>Ground Operating Weekdays</t>
  </si>
  <si>
    <t>Freight Operating Weekdays</t>
  </si>
  <si>
    <t>All other non-Segment Revenue and Corp cons eliminations</t>
  </si>
  <si>
    <t>All other non-Segment Operating Expense and Corp cons eliminations</t>
  </si>
  <si>
    <t>Revenue Adjustments</t>
  </si>
  <si>
    <t>Anuity contract purchase</t>
  </si>
  <si>
    <t>Settlements</t>
  </si>
  <si>
    <t>Interest expense</t>
  </si>
  <si>
    <t>Interest income</t>
  </si>
  <si>
    <t>Net Interest Income/(Expense)</t>
  </si>
  <si>
    <t>Free Cash Flow to Firm (FCFF)</t>
  </si>
  <si>
    <t>Total Debt</t>
  </si>
  <si>
    <t xml:space="preserve">Cash and investments </t>
  </si>
  <si>
    <t xml:space="preserve">Adjusted net cash  per share </t>
  </si>
  <si>
    <t>Net cash/(debt) per share</t>
  </si>
  <si>
    <t>Non-GAAP Adjustments</t>
  </si>
  <si>
    <t>FedEx Supply Chain GW &amp; asset impairments (opex)</t>
  </si>
  <si>
    <t>FedEx Supply Chain GW &amp; asset impairments (tax)</t>
  </si>
  <si>
    <t>TNT Express integration expenses (tax)</t>
  </si>
  <si>
    <t>MtM Retirment plan accounting and other (opex)</t>
  </si>
  <si>
    <t>MtM Retirment plan accounting and other (tax)</t>
  </si>
  <si>
    <t>Net U.S. deferred tax liability remeasurement (tax)</t>
  </si>
  <si>
    <t>Legal matters (opex)</t>
  </si>
  <si>
    <t>Legal matters (tax)</t>
  </si>
  <si>
    <t>Non-GAAP Operating Income Adjustments</t>
  </si>
  <si>
    <t xml:space="preserve">Non-GAAP Operating Income  </t>
  </si>
  <si>
    <t>Non-GAAP tax adjustments</t>
  </si>
  <si>
    <t>Non-GAAP Net Income</t>
  </si>
  <si>
    <t>Non-GAAP Diluted EPS</t>
  </si>
  <si>
    <t>U.S. Overnight Box Average Daily Volume (ADV, in thousands)</t>
  </si>
  <si>
    <t>U.S. Overnight Envelope Average Daily Volume (ADV, in thousands)</t>
  </si>
  <si>
    <r>
      <rPr>
        <b/>
        <sz val="11"/>
        <rFont val="Calibri"/>
        <family val="2"/>
        <scheme val="minor"/>
      </rPr>
      <t>Packages:</t>
    </r>
    <r>
      <rPr>
        <sz val="11"/>
        <rFont val="Calibri"/>
        <family val="2"/>
        <scheme val="minor"/>
      </rPr>
      <t xml:space="preserve"> Total Average Daily Volume (ADV, in thousands)</t>
    </r>
  </si>
  <si>
    <r>
      <rPr>
        <b/>
        <sz val="11"/>
        <rFont val="Calibri"/>
        <family val="2"/>
        <scheme val="minor"/>
      </rPr>
      <t xml:space="preserve">Freight: </t>
    </r>
    <r>
      <rPr>
        <sz val="11"/>
        <rFont val="Calibri"/>
        <family val="2"/>
        <scheme val="minor"/>
      </rPr>
      <t>Total Average Daily Freight LBS (ADV, in thousands)</t>
    </r>
  </si>
  <si>
    <t>Jet fuel gallons (in thousands)</t>
  </si>
  <si>
    <t>U.S. Deferred Average Daily Volume (ADV, in thousands)</t>
  </si>
  <si>
    <t>International Priority Average Daily Volume (ADV, in thousands)</t>
  </si>
  <si>
    <t>International Economy Average Daily Volume (ADV, in thousands)</t>
  </si>
  <si>
    <t>International Domestic Average Daily Volume (ADV, in thousands)</t>
  </si>
  <si>
    <t>U.S. Freight Average Daily Freight LB (ADV, in thousands)</t>
  </si>
  <si>
    <t>Intl Priority Freight Average Daily Freight LB (ADV, in thousands)</t>
  </si>
  <si>
    <t>Intl Economy Freight Average Daily Freight LB (ADV, in thousands)</t>
  </si>
  <si>
    <t>Intl Airfreight Freight Average Daily Freight LB (ADV, in thousands)</t>
  </si>
  <si>
    <t>Ground Average Daily Freight LB (in thousands LBS)</t>
  </si>
  <si>
    <t>Shipments per day (in thousands)</t>
  </si>
  <si>
    <t>F2Q19E</t>
  </si>
  <si>
    <t>F3Q19E</t>
  </si>
  <si>
    <t>F4Q19E</t>
  </si>
  <si>
    <t>FY 2019E</t>
  </si>
  <si>
    <t>F1Q20E</t>
  </si>
  <si>
    <t>F2Q20E</t>
  </si>
  <si>
    <t>F3Q20E</t>
  </si>
  <si>
    <t>F4Q20E</t>
  </si>
  <si>
    <t>FY 2020E</t>
  </si>
  <si>
    <t>F1Q21E</t>
  </si>
  <si>
    <t>F2Q21E</t>
  </si>
  <si>
    <t>F3Q21E</t>
  </si>
  <si>
    <t>F4Q21E</t>
  </si>
  <si>
    <t>FY 2021E</t>
  </si>
  <si>
    <t>F1Q22E</t>
  </si>
  <si>
    <t>F2Q22E</t>
  </si>
  <si>
    <t>F3Q22E</t>
  </si>
  <si>
    <t>F4Q22E</t>
  </si>
  <si>
    <t>FY 2022E</t>
  </si>
  <si>
    <t>F1Q23E</t>
  </si>
  <si>
    <t>F2Q23E</t>
  </si>
  <si>
    <t>F3Q23E</t>
  </si>
  <si>
    <t>F4Q23E</t>
  </si>
  <si>
    <t>FY 2023E</t>
  </si>
  <si>
    <t>Provision for uncollectible accounts as a % of A/R</t>
  </si>
  <si>
    <t>Cash Flow Statement Ratios</t>
  </si>
  <si>
    <t>Corp cons eliminations (implied Total decrease in opex)</t>
  </si>
  <si>
    <t>Capex to revenue</t>
  </si>
  <si>
    <t>Equity</t>
  </si>
  <si>
    <t>Annual Interest expense as a percentage of average debt</t>
  </si>
  <si>
    <t>Annual Interest and dividend income as a % of investments</t>
  </si>
  <si>
    <t>Guidance</t>
  </si>
  <si>
    <t>Actual Reported Results</t>
  </si>
  <si>
    <t>Guidance For</t>
  </si>
  <si>
    <t>Date Released</t>
  </si>
  <si>
    <t>Capex</t>
  </si>
  <si>
    <t xml:space="preserve">EPS </t>
  </si>
  <si>
    <t>(Non-GAAP exMtM, incTNT)</t>
  </si>
  <si>
    <t>(Non-GAAP exMtM, exTNT)</t>
  </si>
  <si>
    <t>FY2015</t>
  </si>
  <si>
    <t>$4.2B</t>
  </si>
  <si>
    <t>N/A</t>
  </si>
  <si>
    <t>$8.50 to $9.00</t>
  </si>
  <si>
    <t xml:space="preserve">$8.50 to $9.00 </t>
  </si>
  <si>
    <t>$8.80 to $8.95</t>
  </si>
  <si>
    <t>$4.3B</t>
  </si>
  <si>
    <t>FY2016</t>
  </si>
  <si>
    <t>$4.6B</t>
  </si>
  <si>
    <t>$10.60 to $11.10</t>
  </si>
  <si>
    <t>$10.40 to $10.90</t>
  </si>
  <si>
    <t>$4.8B</t>
  </si>
  <si>
    <t>$10.70 to $10.90</t>
  </si>
  <si>
    <t>FY2017</t>
  </si>
  <si>
    <t>$5.1B</t>
  </si>
  <si>
    <t>$11.75 to $12.25</t>
  </si>
  <si>
    <t>$5.6B</t>
  </si>
  <si>
    <t>$10.85 to $11.35</t>
  </si>
  <si>
    <t>$11.85 to $12.35</t>
  </si>
  <si>
    <t>$10.95 to $11.45</t>
  </si>
  <si>
    <t>$5.3B</t>
  </si>
  <si>
    <t>$10.80 to $11.30</t>
  </si>
  <si>
    <t>FY2018</t>
  </si>
  <si>
    <t>$5.9B</t>
  </si>
  <si>
    <t>$12.45 to $13.25</t>
  </si>
  <si>
    <t>$13.20 to $14.00</t>
  </si>
  <si>
    <t>$11.05 to $11.85</t>
  </si>
  <si>
    <t>$12.00 to $12.80</t>
  </si>
  <si>
    <t>$11.45 to $12.05</t>
  </si>
  <si>
    <t>$12.70 to $13.30</t>
  </si>
  <si>
    <t>$5.8B</t>
  </si>
  <si>
    <t>$17.90 to $18.30</t>
  </si>
  <si>
    <t>$15.00 to $15.40</t>
  </si>
  <si>
    <t>$5.7B</t>
  </si>
  <si>
    <t>6/18/2014 From the F4Q14 release</t>
  </si>
  <si>
    <r>
      <rPr>
        <b/>
        <sz val="11"/>
        <color theme="1"/>
        <rFont val="Calibri"/>
        <family val="2"/>
        <scheme val="minor"/>
      </rPr>
      <t>Purpose:</t>
    </r>
    <r>
      <rPr>
        <sz val="11"/>
        <color theme="1"/>
        <rFont val="Calibri"/>
        <family val="2"/>
        <scheme val="minor"/>
      </rPr>
      <t xml:space="preserve"> This worksheet tracks the primary components of management's guidance over time</t>
    </r>
  </si>
  <si>
    <t>9/17/2014 From the F1Q15 release</t>
  </si>
  <si>
    <t>12/17/2014 From the F2Q15 release</t>
  </si>
  <si>
    <t>3/18/2015 From the F3Q15 release</t>
  </si>
  <si>
    <t>6/17/2015 From the F4Q15 release</t>
  </si>
  <si>
    <t>9/16/2015 From the F1Q16 release</t>
  </si>
  <si>
    <t>12/16/2015 From the F2Q16 release</t>
  </si>
  <si>
    <t>3/16/2016 From the F3Q16 release</t>
  </si>
  <si>
    <t>6/21/2016 From the F4Q16 release</t>
  </si>
  <si>
    <t>9/20/2016 From the F1Q17 release</t>
  </si>
  <si>
    <t>12/20/2016 From the F2Q17 release</t>
  </si>
  <si>
    <t>3/21/2017 From the F3Q17 release</t>
  </si>
  <si>
    <t>6/20/2018 From the F4Q17 release</t>
  </si>
  <si>
    <t>9/17/2018 From the F1Q18 release</t>
  </si>
  <si>
    <t>12/19/2017 From the F2Q18 release</t>
  </si>
  <si>
    <t>3/20/2018 From the F3Q18 release</t>
  </si>
  <si>
    <r>
      <rPr>
        <b/>
        <sz val="11"/>
        <color theme="1"/>
        <rFont val="Calibri"/>
        <family val="2"/>
        <scheme val="minor"/>
      </rPr>
      <t>Purpose:</t>
    </r>
    <r>
      <rPr>
        <sz val="11"/>
        <color theme="1"/>
        <rFont val="Calibri"/>
        <family val="2"/>
        <scheme val="minor"/>
      </rPr>
      <t xml:space="preserve"> This worksheet tracks the consensus estimates for key metrics</t>
    </r>
  </si>
  <si>
    <t>F1Q2019E</t>
  </si>
  <si>
    <t>F2Q2019E</t>
  </si>
  <si>
    <t>F3Q2019E</t>
  </si>
  <si>
    <t>F4Q2019E</t>
  </si>
  <si>
    <t>FY2021E</t>
  </si>
  <si>
    <t>FY2022E</t>
  </si>
  <si>
    <t>Revenue ($M)</t>
  </si>
  <si>
    <t>EBITDA ($M)</t>
  </si>
  <si>
    <t>Pre-tax profit ($M)</t>
  </si>
  <si>
    <t>Net income (non-GAAP, $M)</t>
  </si>
  <si>
    <t>Operating Profit ($M)</t>
  </si>
  <si>
    <t>EPS (non-GAAP, $/per share)</t>
  </si>
  <si>
    <t>Free cash flow ($M)</t>
  </si>
  <si>
    <t>Capital expenditures ($M)</t>
  </si>
  <si>
    <t>Implied Operating Margin (%)</t>
  </si>
  <si>
    <t>Quarterly Estimates (Before Release)</t>
  </si>
  <si>
    <t>Quarterly Estimates (After Release)</t>
  </si>
  <si>
    <t>F1Q2020E</t>
  </si>
  <si>
    <t>Gutenberg Estimates</t>
  </si>
  <si>
    <t>Reported Actual</t>
  </si>
  <si>
    <t>Difference (Actual vs GR)</t>
  </si>
  <si>
    <t>Operating Profit (non-GAAP $M)</t>
  </si>
  <si>
    <r>
      <rPr>
        <b/>
        <sz val="11"/>
        <color theme="1"/>
        <rFont val="Calibri"/>
        <family val="2"/>
        <scheme val="minor"/>
      </rPr>
      <t>Instructions:</t>
    </r>
    <r>
      <rPr>
        <sz val="11"/>
        <color theme="1"/>
        <rFont val="Calibri"/>
        <family val="2"/>
        <scheme val="minor"/>
      </rPr>
      <t xml:space="preserve"> Before the release copy/paste/values in E8:E16, J8:J16, M8:M16, P8:P16, S8:S16. After the release J21:J29, M21:M29, P21:P29, S21:S29 will update and you can compare the estimate before and after.</t>
    </r>
  </si>
  <si>
    <t>F1Q2019A</t>
  </si>
  <si>
    <t>Differences From Estimates Prior to the Latest Earnings Release</t>
  </si>
  <si>
    <t>(b) This model uses the Constant Sharpe approach to estimate the Equity Risk Premium (ERP). The S&amp;P500 Constant Sharpe is calculated by taking the excess return on the index over the risk-free rate, divided by the standard deviation of returns. The Constant Sharpe ratio is then multiplied by the estimate of implied volatility to calculate the ERP.</t>
  </si>
  <si>
    <t>Average CapEx (% of sales)</t>
  </si>
  <si>
    <t>Weighted Average Cost of Capital (WACC) Inputs</t>
  </si>
  <si>
    <t>Stage 1 WACC</t>
  </si>
  <si>
    <t>Constant market Sharpe ratio (b)</t>
  </si>
  <si>
    <t>S&amp;P500 implied volatility (c)</t>
  </si>
  <si>
    <r>
      <t xml:space="preserve">Constant Growth Stage Assumptions </t>
    </r>
    <r>
      <rPr>
        <sz val="11"/>
        <rFont val="Calibri"/>
        <family val="2"/>
        <scheme val="minor"/>
      </rPr>
      <t>(d,e)</t>
    </r>
  </si>
  <si>
    <t>(f) The Stage 2 long-term WACC assumes the weight and cost of debt remains constant, and cost of equity reaches the long-term average based on an ERP of 6.2% and a required return on equity of 13.9% using the historic average VIX of 18.59%, the historic average 10 year U.S. Treasury rate of 6.3%, and Constant Sharpe of 0.325.</t>
  </si>
  <si>
    <t>Share-based compensation to revenue</t>
  </si>
  <si>
    <t>Average accrued salaries to salary expense</t>
  </si>
  <si>
    <t>NPV of Stage 1 cash flows</t>
  </si>
  <si>
    <t>PV of terminal value (Stage 2)</t>
  </si>
  <si>
    <t xml:space="preserve">Other adjustments - 1 </t>
  </si>
  <si>
    <t>Other adjustments - 2</t>
  </si>
  <si>
    <t xml:space="preserve">(a) Multiples are calculated excluding the value of net cash and are based on the 3-month average daily share price compared to the consensus EPS estimates for the next twelve month period. </t>
  </si>
  <si>
    <t>F1Q19</t>
  </si>
  <si>
    <t>Other retirement plans income/(expense)</t>
  </si>
  <si>
    <r>
      <rPr>
        <b/>
        <sz val="11"/>
        <color theme="1"/>
        <rFont val="Calibri"/>
        <family val="2"/>
        <scheme val="minor"/>
      </rPr>
      <t>Last updated:</t>
    </r>
    <r>
      <rPr>
        <sz val="11"/>
        <color theme="1"/>
        <rFont val="Calibri"/>
        <family val="2"/>
        <scheme val="minor"/>
      </rPr>
      <t xml:space="preserve"> 11/26/2018</t>
    </r>
  </si>
  <si>
    <t>FY2019</t>
  </si>
  <si>
    <t>9/17/2018 From the F1Q19 release</t>
  </si>
  <si>
    <t>6/19/2018 From the F4Q18 release</t>
  </si>
  <si>
    <t>$17.00 to $17.60</t>
  </si>
  <si>
    <t>$15.65 to $16.25</t>
  </si>
  <si>
    <t>Growth of 9%</t>
  </si>
  <si>
    <t>Operating Margin</t>
  </si>
  <si>
    <t>Effective Tax Rate (exMtM adjustment)</t>
  </si>
  <si>
    <t>Operating Margin (exTNT integration expense)</t>
  </si>
  <si>
    <t>TNT Integration Expense</t>
  </si>
  <si>
    <t>$450M, $365M net of tax effect</t>
  </si>
  <si>
    <t>Implied 2019 weighted average share count (M)</t>
  </si>
  <si>
    <t>$15.85 to $16.45</t>
  </si>
  <si>
    <t>$17.20 to $17.80</t>
  </si>
  <si>
    <t>November-2018 Roadshow Presentation - Long-Term Targets</t>
  </si>
  <si>
    <t>Other</t>
  </si>
  <si>
    <t>Reaffirmed FedEx Express Operating income target up $1.2B to $1.5B from F2017</t>
  </si>
  <si>
    <t xml:space="preserve">&gt; Increase EPS 10% to 15% per year
&gt; Grow profitable revenue
&gt; Achieve 10%+ operating margin
</t>
  </si>
  <si>
    <t>&gt; Improve cash flow
&gt; Increase ROIC
&gt; Increase returns to shareholders</t>
  </si>
  <si>
    <t>Operating margin (Non-GAAP)</t>
  </si>
  <si>
    <t>Revenue growth rate (year-over-year)</t>
  </si>
  <si>
    <t>EPS Growth (Non-GAAP, year-over-year)</t>
  </si>
  <si>
    <t>FedEx Express Segment Charts</t>
  </si>
  <si>
    <t>FedEx Ground Segment Charts</t>
  </si>
  <si>
    <t>Express Segment Revenue ($M)</t>
  </si>
  <si>
    <t>FedEx Freight Segment Charts</t>
  </si>
  <si>
    <t>FedEx Corp Consolidated Charts</t>
  </si>
  <si>
    <t>Express segment revenue produced per gallon of jet fuel</t>
  </si>
  <si>
    <t>Implied Operating Margin (%, non-GAAP)</t>
  </si>
  <si>
    <t>Actuals</t>
  </si>
  <si>
    <t>Operating Profit ($M, non-GAAP)</t>
  </si>
  <si>
    <t>F2Q2020E</t>
  </si>
  <si>
    <t>F2Q2019A</t>
  </si>
  <si>
    <r>
      <rPr>
        <b/>
        <sz val="11"/>
        <color theme="1"/>
        <rFont val="Calibri"/>
        <family val="2"/>
        <scheme val="minor"/>
      </rPr>
      <t>Purpose:</t>
    </r>
    <r>
      <rPr>
        <sz val="11"/>
        <color theme="1"/>
        <rFont val="Calibri"/>
        <family val="2"/>
        <scheme val="minor"/>
      </rPr>
      <t xml:space="preserve"> This worksheet tracks the mean monthly share return and standard deviation.</t>
    </r>
  </si>
  <si>
    <t>Date</t>
  </si>
  <si>
    <t>Open</t>
  </si>
  <si>
    <t>High</t>
  </si>
  <si>
    <t>Low</t>
  </si>
  <si>
    <t>Close</t>
  </si>
  <si>
    <t>Volume</t>
  </si>
  <si>
    <t>Monthly return</t>
  </si>
  <si>
    <t>Diff from mean</t>
  </si>
  <si>
    <t>Diff Squared</t>
  </si>
  <si>
    <t>Mean</t>
  </si>
  <si>
    <t>Sum of squared differences</t>
  </si>
  <si>
    <t>Variance</t>
  </si>
  <si>
    <t>Standard Deviation</t>
  </si>
  <si>
    <t>Enter the absolute mean return and standard deviation into the model</t>
  </si>
  <si>
    <t>check</t>
  </si>
  <si>
    <t>Absolute value of mean monthly return</t>
  </si>
  <si>
    <t>Adjusted Close</t>
  </si>
  <si>
    <t>Estimate</t>
  </si>
  <si>
    <t>Q1 19</t>
  </si>
  <si>
    <t>08/18</t>
  </si>
  <si>
    <t>-9.02%</t>
  </si>
  <si>
    <t>-5.53%</t>
  </si>
  <si>
    <t>Q4 18</t>
  </si>
  <si>
    <t>05/18</t>
  </si>
  <si>
    <t>3.87%</t>
  </si>
  <si>
    <t>-2.69%</t>
  </si>
  <si>
    <t>Q3 18</t>
  </si>
  <si>
    <t>02/18</t>
  </si>
  <si>
    <t>19.77%</t>
  </si>
  <si>
    <t>-1.18%</t>
  </si>
  <si>
    <t>Q2 18</t>
  </si>
  <si>
    <t>11/17</t>
  </si>
  <si>
    <t>10.23%</t>
  </si>
  <si>
    <t>3.52%</t>
  </si>
  <si>
    <t>Q1 18</t>
  </si>
  <si>
    <t>08/17</t>
  </si>
  <si>
    <t>-17.02%</t>
  </si>
  <si>
    <t>2.08%</t>
  </si>
  <si>
    <t>Q4 17</t>
  </si>
  <si>
    <t>05/17</t>
  </si>
  <si>
    <t>9.68%</t>
  </si>
  <si>
    <t>1.60%</t>
  </si>
  <si>
    <t>Q3 17</t>
  </si>
  <si>
    <t>02/17</t>
  </si>
  <si>
    <t>-10.44%</t>
  </si>
  <si>
    <t>2.13%</t>
  </si>
  <si>
    <t>Q2 17</t>
  </si>
  <si>
    <t>11/16</t>
  </si>
  <si>
    <t>-3.71%</t>
  </si>
  <si>
    <t>-3.33%</t>
  </si>
  <si>
    <t>Q1 17</t>
  </si>
  <si>
    <t>08/16</t>
  </si>
  <si>
    <t>3.76%</t>
  </si>
  <si>
    <t>6.89%</t>
  </si>
  <si>
    <t>Q4 16</t>
  </si>
  <si>
    <t>05/16</t>
  </si>
  <si>
    <t>0.49%</t>
  </si>
  <si>
    <t>-4.54%</t>
  </si>
  <si>
    <t>Q3 16</t>
  </si>
  <si>
    <t>02/16</t>
  </si>
  <si>
    <t>7.40%</t>
  </si>
  <si>
    <t>11.83%</t>
  </si>
  <si>
    <t>Q2 16</t>
  </si>
  <si>
    <t>11/15</t>
  </si>
  <si>
    <t>3.20%</t>
  </si>
  <si>
    <t>2.02%</t>
  </si>
  <si>
    <t>Q1 16</t>
  </si>
  <si>
    <t>08/15</t>
  </si>
  <si>
    <t>-1.39%</t>
  </si>
  <si>
    <t>-2.84%</t>
  </si>
  <si>
    <t>Q4 15</t>
  </si>
  <si>
    <t>05/15</t>
  </si>
  <si>
    <t>-0.93%</t>
  </si>
  <si>
    <t>-2.96%</t>
  </si>
  <si>
    <t>Q3 15</t>
  </si>
  <si>
    <t>02/15</t>
  </si>
  <si>
    <t>7.03%</t>
  </si>
  <si>
    <t>-1.37%</t>
  </si>
  <si>
    <t>Q2 15</t>
  </si>
  <si>
    <t>11/14</t>
  </si>
  <si>
    <t>-4.76%</t>
  </si>
  <si>
    <t>-3.72%</t>
  </si>
  <si>
    <t>Q1 15</t>
  </si>
  <si>
    <t>08/14</t>
  </si>
  <si>
    <t>6.98%</t>
  </si>
  <si>
    <t>3.27%</t>
  </si>
  <si>
    <t>Q4 14</t>
  </si>
  <si>
    <t>05/14</t>
  </si>
  <si>
    <t>4.33%</t>
  </si>
  <si>
    <t>6.16%</t>
  </si>
  <si>
    <t>Q3 14</t>
  </si>
  <si>
    <t>02/14</t>
  </si>
  <si>
    <t>-15.81%</t>
  </si>
  <si>
    <t>-0.14%</t>
  </si>
  <si>
    <t>Q2 14</t>
  </si>
  <si>
    <t>11/13</t>
  </si>
  <si>
    <t>-4.38%</t>
  </si>
  <si>
    <t>0.45%</t>
  </si>
  <si>
    <t>Q1 14</t>
  </si>
  <si>
    <t>08/13</t>
  </si>
  <si>
    <t>2.27%</t>
  </si>
  <si>
    <t>5.03%</t>
  </si>
  <si>
    <t>Q4 13</t>
  </si>
  <si>
    <t>05/13</t>
  </si>
  <si>
    <t>9.01%</t>
  </si>
  <si>
    <t>1.07%</t>
  </si>
  <si>
    <t>Q3 13</t>
  </si>
  <si>
    <t>02/13</t>
  </si>
  <si>
    <t>-10.80%</t>
  </si>
  <si>
    <t>-6.89%</t>
  </si>
  <si>
    <t>Q2 13</t>
  </si>
  <si>
    <t>11/12</t>
  </si>
  <si>
    <t>-1.14%</t>
  </si>
  <si>
    <t>0.91%</t>
  </si>
  <si>
    <t>Q1 13</t>
  </si>
  <si>
    <t>08/12</t>
  </si>
  <si>
    <t>3.57%</t>
  </si>
  <si>
    <t>-3.06%</t>
  </si>
  <si>
    <t>Q4 12</t>
  </si>
  <si>
    <t>05/12</t>
  </si>
  <si>
    <t>3.73%</t>
  </si>
  <si>
    <t>Q3 12</t>
  </si>
  <si>
    <t>02/12</t>
  </si>
  <si>
    <t>14.99%</t>
  </si>
  <si>
    <t>-3.46%</t>
  </si>
  <si>
    <t>Q2 12</t>
  </si>
  <si>
    <t>11/11</t>
  </si>
  <si>
    <t>2.95%</t>
  </si>
  <si>
    <t>8.00%</t>
  </si>
  <si>
    <t>Q1 12</t>
  </si>
  <si>
    <t>08/11</t>
  </si>
  <si>
    <t>1.11%</t>
  </si>
  <si>
    <t>-8.17%</t>
  </si>
  <si>
    <t>Q4 11</t>
  </si>
  <si>
    <t>05/11</t>
  </si>
  <si>
    <t>2.26%</t>
  </si>
  <si>
    <t>2.59%</t>
  </si>
  <si>
    <t>Q3 11</t>
  </si>
  <si>
    <t>02/11</t>
  </si>
  <si>
    <t>-0.77%</t>
  </si>
  <si>
    <t>3.06%</t>
  </si>
  <si>
    <t>Q2 11</t>
  </si>
  <si>
    <t>11/10</t>
  </si>
  <si>
    <t>-10.82%</t>
  </si>
  <si>
    <t>1.98%</t>
  </si>
  <si>
    <t>Q1 11</t>
  </si>
  <si>
    <t>08/10</t>
  </si>
  <si>
    <t>-0.74%</t>
  </si>
  <si>
    <t>-3.75%</t>
  </si>
  <si>
    <t>Q4 10</t>
  </si>
  <si>
    <t>05/10</t>
  </si>
  <si>
    <t>2.87%</t>
  </si>
  <si>
    <t>-5.95%</t>
  </si>
  <si>
    <t>Q3 10</t>
  </si>
  <si>
    <t>02/10</t>
  </si>
  <si>
    <t>4.68%</t>
  </si>
  <si>
    <t>Q2 10</t>
  </si>
  <si>
    <t>11/09</t>
  </si>
  <si>
    <t>0.00%</t>
  </si>
  <si>
    <t>-6.09%</t>
  </si>
  <si>
    <t>Q1 10</t>
  </si>
  <si>
    <t>08/09</t>
  </si>
  <si>
    <t>-2.23%</t>
  </si>
  <si>
    <t>Q4 09</t>
  </si>
  <si>
    <t>05/09</t>
  </si>
  <si>
    <t>26.73%</t>
  </si>
  <si>
    <t>-1.40%</t>
  </si>
  <si>
    <t>Q3 09</t>
  </si>
  <si>
    <t>02/09</t>
  </si>
  <si>
    <t>-32.75%</t>
  </si>
  <si>
    <t>4.76%</t>
  </si>
  <si>
    <t>Q2 09</t>
  </si>
  <si>
    <t>11/08</t>
  </si>
  <si>
    <t>-0.06%</t>
  </si>
  <si>
    <t>-2.14%</t>
  </si>
  <si>
    <t>Q1 09</t>
  </si>
  <si>
    <t>08/08</t>
  </si>
  <si>
    <t>3.47%</t>
  </si>
  <si>
    <t>Q4 08</t>
  </si>
  <si>
    <t>05/08</t>
  </si>
  <si>
    <t>-1.09%</t>
  </si>
  <si>
    <t>-1.05%</t>
  </si>
  <si>
    <t>Q3 08</t>
  </si>
  <si>
    <t>02/08</t>
  </si>
  <si>
    <t>2.77%</t>
  </si>
  <si>
    <t>0.92%</t>
  </si>
  <si>
    <t>Q2 08</t>
  </si>
  <si>
    <t>11/07</t>
  </si>
  <si>
    <t>2.19%</t>
  </si>
  <si>
    <t>-1.06%</t>
  </si>
  <si>
    <t>Period</t>
  </si>
  <si>
    <t>Period End Date</t>
  </si>
  <si>
    <t>Reported EPS</t>
  </si>
  <si>
    <t>Surprise (%)</t>
  </si>
  <si>
    <t>Impact on Share Price</t>
  </si>
  <si>
    <t>Consensus Price Target</t>
  </si>
  <si>
    <t>Buys</t>
  </si>
  <si>
    <t>Holds</t>
  </si>
  <si>
    <t>Sells</t>
  </si>
  <si>
    <t>12M Tgt Px</t>
  </si>
  <si>
    <t>Last Price</t>
  </si>
  <si>
    <t>Return Potential</t>
  </si>
  <si>
    <t>Target share price</t>
  </si>
  <si>
    <t>DCF check</t>
  </si>
  <si>
    <r>
      <rPr>
        <b/>
        <sz val="11"/>
        <color theme="1"/>
        <rFont val="Calibri"/>
        <family val="2"/>
        <scheme val="minor"/>
      </rPr>
      <t>Last updated:</t>
    </r>
    <r>
      <rPr>
        <sz val="11"/>
        <color theme="1"/>
        <rFont val="Calibri"/>
        <family val="2"/>
        <scheme val="minor"/>
      </rPr>
      <t xml:space="preserve"> 12/14/2018</t>
    </r>
  </si>
  <si>
    <t>F2Q19</t>
  </si>
  <si>
    <t>Express non-GAAP Adjustments (TNT)</t>
  </si>
  <si>
    <t>TNT Express integration expenses (opex-total)</t>
  </si>
  <si>
    <t>TNT Express integration expenses (opex-Express only)</t>
  </si>
  <si>
    <t>Express non-GAAP Operating Margin ($)</t>
  </si>
  <si>
    <t>Express non-GAAP Operating Margin (%)</t>
  </si>
  <si>
    <t>12/18/2018 From the F2Q19 release</t>
  </si>
  <si>
    <t>$12.65 to $13.40</t>
  </si>
  <si>
    <t>$15.50 to $16.60</t>
  </si>
  <si>
    <t>24% to 25%</t>
  </si>
  <si>
    <r>
      <t>&gt;</t>
    </r>
    <r>
      <rPr>
        <b/>
        <u/>
        <sz val="10.5"/>
        <rFont val="Calibri"/>
        <family val="2"/>
        <scheme val="minor"/>
      </rPr>
      <t xml:space="preserve">Will not meet </t>
    </r>
    <r>
      <rPr>
        <sz val="10.5"/>
        <rFont val="Calibri"/>
        <family val="2"/>
        <scheme val="minor"/>
      </rPr>
      <t>FedEx Express Operating income target up $1.2B to $1.5B from F2017 in 2020.
&gt;Pre-tax charge for voluntary buyout of $450M to $575M (primarily F4Q2019).Savings expected to be $225M to $275M in F2020.</t>
    </r>
  </si>
  <si>
    <t>No longer providing guidance</t>
  </si>
  <si>
    <t>Express portion of Voluntary buyout charge (opex)</t>
  </si>
  <si>
    <r>
      <rPr>
        <b/>
        <sz val="11"/>
        <color theme="1"/>
        <rFont val="Calibri"/>
        <family val="2"/>
        <scheme val="minor"/>
      </rPr>
      <t>Last updated:</t>
    </r>
    <r>
      <rPr>
        <sz val="11"/>
        <color theme="1"/>
        <rFont val="Calibri"/>
        <family val="2"/>
        <scheme val="minor"/>
      </rPr>
      <t xml:space="preserve"> 1/2/2019</t>
    </r>
  </si>
  <si>
    <r>
      <rPr>
        <b/>
        <sz val="11"/>
        <color theme="1"/>
        <rFont val="Calibri"/>
        <family val="2"/>
        <scheme val="minor"/>
      </rPr>
      <t>Last updated:</t>
    </r>
    <r>
      <rPr>
        <sz val="11"/>
        <color theme="1"/>
        <rFont val="Calibri"/>
        <family val="2"/>
        <scheme val="minor"/>
      </rPr>
      <t xml:space="preserve"> 12/14/20198</t>
    </r>
  </si>
  <si>
    <t>Consensus Price Target (Before F2Q2019)</t>
  </si>
  <si>
    <t>Consensus Price Target (After F2Q2019)</t>
  </si>
  <si>
    <t>Consensus Return</t>
  </si>
  <si>
    <t>Estimate of Risk Free (future 10yr UST)</t>
  </si>
  <si>
    <t>(c) The VIX is quoted in percentage points and measures the implied annualized volatility for the S&amp;P500. The VIX is a forward looking measure of implied volatility, however, single day volatility would have too much of an impact on the overall discount rate. For this reason the twelve month trailing  average is used (based on a 12-month forecast, refer to the ERP model for details) .</t>
  </si>
  <si>
    <t>F3Q19</t>
  </si>
  <si>
    <r>
      <rPr>
        <b/>
        <sz val="11"/>
        <color theme="1"/>
        <rFont val="Calibri"/>
        <family val="2"/>
        <scheme val="minor"/>
      </rPr>
      <t>Last updated:</t>
    </r>
    <r>
      <rPr>
        <sz val="11"/>
        <color theme="1"/>
        <rFont val="Calibri"/>
        <family val="2"/>
        <scheme val="minor"/>
      </rPr>
      <t xml:space="preserve"> 3/19/2019</t>
    </r>
  </si>
  <si>
    <t>F3Q2020E</t>
  </si>
  <si>
    <t>F3Q2019A</t>
  </si>
  <si>
    <t>3/19/2019 From the F3Q19 release</t>
  </si>
  <si>
    <t>$11.95 to $13.10</t>
  </si>
  <si>
    <t>$15.10 to $15.90</t>
  </si>
  <si>
    <t>22% to 23%</t>
  </si>
  <si>
    <t>$435M, $350M net of tax effect</t>
  </si>
  <si>
    <t>&gt;TNT integration will continue into 2021.
&gt;Total cumulative TNT integration expense will exceed $1.5B through 2021.
&gt;Pre-tax charge for voluntary buyout of $450M to $575M (primarily F4Q2019).Savings expected to be $225M to $275M in F2020.
&gt;Total 2019 FDX Ground Legal Expense $46M.
&gt; DTL remeasurement -$4M.
&gt; Realignment Costs $575M to $450M, tax impact -$140M to $110M. 
&gt;Implied share count 265M ($350/265 = $1.32 per share).</t>
  </si>
  <si>
    <r>
      <rPr>
        <b/>
        <sz val="11"/>
        <color theme="1"/>
        <rFont val="Calibri"/>
        <family val="2"/>
        <scheme val="minor"/>
      </rPr>
      <t>Last updated:</t>
    </r>
    <r>
      <rPr>
        <sz val="11"/>
        <color theme="1"/>
        <rFont val="Calibri"/>
        <family val="2"/>
        <scheme val="minor"/>
      </rPr>
      <t xml:space="preserve"> 3/19/2018</t>
    </r>
  </si>
  <si>
    <t>Voluntary buyout/alignment (opex)</t>
  </si>
  <si>
    <t>Voluntary buyout/alignment (tax)</t>
  </si>
  <si>
    <t>Cumulative TNT integration expense</t>
  </si>
  <si>
    <t>Cumulative alignment expense</t>
  </si>
  <si>
    <t xml:space="preserve">NOTE: There are many different multiples which could be applied to various earnings metrics, each of which result in different valuations. This calculation is for demonstration only. Please refer to the Terms of Use link for important details.  The DCF and Multiple valuation metrics are kept constant at certain points during each quarter to isolate the impact from changes in earnings estimates.   The multiple  in this section was last updated on 3/10/2019. </t>
  </si>
  <si>
    <t>NOTE: There are many different methods to calculate a DCF-based valuation, each of which result in different final valuation estimates. This calculation is for demonstration only. Different inputs and assumptions can result in significantly different valuation estimates. Refer to the Terms of Use link for important information regarding this demonstration.  The DCF and Multiple valuation metrics are kept constant at certain points during each quarter to isolate the impact from changes in earnings estimates.  The  Beta, Volatility, and Risk-Free rate used in this DCF section was last updated on 3/10/2019.</t>
  </si>
  <si>
    <t xml:space="preserve">(g) There are many approaches to estimating a stock's risk. In this demonstration we use the standard deviation and the monthly average return over the last 12 months to construct an estimated price target range. Standard deviation is a measure of dispersion around the mean monthly return. The larger the historic standard deviation the greater the volatility in prices. Using a normal distribution, approximately 95% of observations fall within 2 standard deviations of the mean. This approach has multiple limitations including: 1) it assumes that historic results can predict future return characteristics, and 2) it assumes the stock's returns are normally distributed. This analysis is for demonstration only, refer to full Terms of Use at GutenbergResearch.com. The mean &amp; standard deviation in this section were last updated on  3/10/2019. </t>
  </si>
  <si>
    <t>Purple cells = Company guidance (updated 3/19/2019)</t>
  </si>
  <si>
    <t>Orange cells = Consensus estimates (last updated 3/19/2019)</t>
  </si>
  <si>
    <t>Updated: 3/19/2019</t>
  </si>
  <si>
    <t>Blue cells = Gutenberg estimates (last updated 3/19/2019)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</si>
</sst>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5">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0.0_)\%;\(0.0\)\%;0.0_)\%;@_)_%"/>
    <numFmt numFmtId="169" formatCode="#,##0.0_)_%;\(#,##0.0\)_%;0.0_)_%;@_)_%"/>
    <numFmt numFmtId="170" formatCode="#,##0.0_);\(#,##0.0\);#,##0.0_);@_)"/>
    <numFmt numFmtId="171" formatCode="&quot;$&quot;_(#,##0.00_);&quot;$&quot;\(#,##0.00\);&quot;$&quot;_(0.00_);@_)"/>
    <numFmt numFmtId="172" formatCode="#,##0.00_);\(#,##0.00\);0.00_);@_)"/>
    <numFmt numFmtId="173" formatCode="\€_(#,##0.00_);\€\(#,##0.00\);\€_(0.00_);@_)"/>
    <numFmt numFmtId="174" formatCode="#,##0_)\x;\(#,##0\)\x;0_)\x;@_)_x"/>
    <numFmt numFmtId="175" formatCode="#,##0_)_x;\(#,##0\)_x;0_)_x;@_)_x"/>
    <numFmt numFmtId="176" formatCode="* #,##0.00_);\(#,##0.00\)"/>
    <numFmt numFmtId="177" formatCode="&quot;$&quot;#,##0;\-&quot;$&quot;#,##0"/>
    <numFmt numFmtId="178" formatCode="#,##0;\-#,##0;&quot;-&quot;"/>
    <numFmt numFmtId="179" formatCode="0.000000"/>
    <numFmt numFmtId="180" formatCode="_(* #,##0,,_);_(* \(#,##0,,\);_(* &quot;-&quot;_)"/>
    <numFmt numFmtId="181" formatCode="_(* #,##0_);[Red]_(* \(#,##0\);_(* &quot;&quot;&quot;&quot;&quot;&quot;&quot;&quot;\ \-\ &quot;&quot;&quot;&quot;&quot;&quot;&quot;&quot;_);_(@_)"/>
    <numFmt numFmtId="182" formatCode="&quot;£&quot;#,##0;[Red]\-&quot;£&quot;#,##0"/>
    <numFmt numFmtId="183" formatCode="_(* #,##0,_);[Red]_(* \(#,##0,\);_(* &quot;&quot;&quot;&quot;&quot;&quot;&quot;&quot;\ \-\ &quot;&quot;&quot;&quot;&quot;&quot;&quot;&quot;_);_(@_)"/>
    <numFmt numFmtId="184" formatCode="0.00_);[Red]\(0.00\)"/>
    <numFmt numFmtId="185" formatCode="0%;\(0%\);;"/>
    <numFmt numFmtId="186" formatCode="&quot;£&quot;#,##0.00;[Red]\-&quot;£&quot;#,##0.00"/>
    <numFmt numFmtId="187" formatCode="_(* #,##0.000_);_(* \(#,##0.000\);_(* &quot;-&quot;_);_(@_)"/>
    <numFmt numFmtId="188" formatCode="0%;\(0%\);&quot;-&quot;"/>
    <numFmt numFmtId="189" formatCode="_-&quot;£&quot;* #,##0_-;\-&quot;£&quot;* #,##0_-;_-&quot;£&quot;* &quot;-&quot;_-;_-@_-"/>
    <numFmt numFmtId="190" formatCode="_(&quot;$&quot;* #,##0,_);_(&quot;$&quot;* \(#,##0,\);_(&quot;$&quot;* &quot;-&quot;_);_(@_)"/>
    <numFmt numFmtId="191" formatCode="#,##0\ ;\(#,##0.0\)"/>
    <numFmt numFmtId="192" formatCode="0.0"/>
    <numFmt numFmtId="193" formatCode="#,##0.00;\-#,##0.00;&quot;-&quot;"/>
    <numFmt numFmtId="194" formatCode="_._.* \(#,##0\)_%;_._.* #,##0_)_%;_._.* 0_)_%;_._.@_)_%"/>
    <numFmt numFmtId="195" formatCode="_._.&quot;$&quot;* \(#,##0\)_%;_._.&quot;$&quot;* #,##0_)_%;_._.&quot;$&quot;* 0_)_%;_._.@_)_%"/>
    <numFmt numFmtId="196" formatCode="&quot;$&quot;0.00_)"/>
    <numFmt numFmtId="197" formatCode="&quot;SFr.&quot;\ #,##0.00;&quot;SFr.&quot;\ \-#,##0.00"/>
    <numFmt numFmtId="198" formatCode="#,##0;\(#,##0\)"/>
    <numFmt numFmtId="199" formatCode="_([$€-2]* #,##0.00_);_([$€-2]* \(#,##0.00\);_([$€-2]* &quot;-&quot;??_)"/>
    <numFmt numFmtId="200" formatCode="_-* #,##0\ _D_M_-;\-* #,##0\ _D_M_-;_-* &quot;-&quot;\ _D_M_-;_-@_-"/>
    <numFmt numFmtId="201" formatCode="_-* #,##0.00\ _D_M_-;\-* #,##0.00\ _D_M_-;_-* &quot;-&quot;??\ _D_M_-;_-@_-"/>
    <numFmt numFmtId="202" formatCode="_-* #,##0\ &quot;DM&quot;_-;\-* #,##0\ &quot;DM&quot;_-;_-* &quot;-&quot;\ &quot;DM&quot;_-;_-@_-"/>
    <numFmt numFmtId="203" formatCode="_-* #,##0.00\ &quot;DM&quot;_-;\-* #,##0.00\ &quot;DM&quot;_-;_-* &quot;-&quot;??\ &quot;DM&quot;_-;_-@_-"/>
    <numFmt numFmtId="204" formatCode="#,##0.0_);\(#,##0.0\)"/>
    <numFmt numFmtId="205" formatCode="#,##0.0\ ;\(#,##0.0\)"/>
    <numFmt numFmtId="206" formatCode="0%;\(0%\)"/>
    <numFmt numFmtId="207" formatCode="&quot;SFr.&quot;#,##0;[Red]&quot;SFr.&quot;\-#,##0"/>
    <numFmt numFmtId="208" formatCode="#,##0.0000000000;\-#,##0.0000000000"/>
    <numFmt numFmtId="209" formatCode="#,##0.0;\-#,##0.0"/>
    <numFmt numFmtId="210" formatCode="#,##0.000;\-#,##0.000"/>
    <numFmt numFmtId="211" formatCode="#,##0.0000;\-#,##0.0000"/>
    <numFmt numFmtId="212" formatCode="#,##0.00000;\-#,##0.00000"/>
    <numFmt numFmtId="213" formatCode="#,##0.000000;\-#,##0.000000"/>
    <numFmt numFmtId="214" formatCode="#,##0.0000000;\-#,##0.0000000"/>
    <numFmt numFmtId="215" formatCode="#,##0.00000000;\-#,##0.00000000"/>
    <numFmt numFmtId="216" formatCode="#,##0.000000000;\-#,##0.000000000"/>
    <numFmt numFmtId="217" formatCode="#,##0___);\(#,##0.00\)"/>
    <numFmt numFmtId="218" formatCode="#,##0&quot;%&quot;"/>
    <numFmt numFmtId="219" formatCode="#,##0_);[Red]\(#,##0\);&quot;-&quot;"/>
    <numFmt numFmtId="220" formatCode="_-&quot;£&quot;* #,##0.00_-;\-&quot;£&quot;* #,##0.00_-;_-&quot;£&quot;* &quot;-&quot;??_-;_-@_-"/>
    <numFmt numFmtId="221" formatCode="*-"/>
    <numFmt numFmtId="222" formatCode="#,##0;[Red]\(#,##0\)"/>
    <numFmt numFmtId="223" formatCode="_-&quot;$&quot;* #,##0_-;\-&quot;$&quot;* #,##0_-;_-&quot;$&quot;* &quot;-&quot;_-;_-@_-"/>
    <numFmt numFmtId="224" formatCode="_-&quot;$&quot;* #,##0.00_-;\-&quot;$&quot;* #,##0.00_-;_-&quot;$&quot;* &quot;-&quot;??_-;_-@_-"/>
    <numFmt numFmtId="225" formatCode="&quot;$&quot;#,##0.0_);[Red]\(&quot;$&quot;#,##0.0\)"/>
    <numFmt numFmtId="226" formatCode="&quot;$&quot;#,##0.00"/>
    <numFmt numFmtId="227" formatCode="&quot;$&quot;#,##0.000_);\(&quot;$&quot;#,##0.000\)"/>
    <numFmt numFmtId="228" formatCode="&quot;$&quot;#,##0"/>
    <numFmt numFmtId="229" formatCode="0.0\x"/>
    <numFmt numFmtId="230" formatCode="0.0000%"/>
    <numFmt numFmtId="231" formatCode="0.00000"/>
  </numFmts>
  <fonts count="10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name val="Calibri"/>
      <family val="2"/>
    </font>
    <font>
      <b/>
      <sz val="11"/>
      <color theme="0" tint="-0.14999847407452621"/>
      <name val="Calibri"/>
      <family val="2"/>
      <scheme val="minor"/>
    </font>
    <font>
      <sz val="9"/>
      <color indexed="81"/>
      <name val="Tahoma"/>
      <family val="2"/>
    </font>
    <font>
      <b/>
      <sz val="9"/>
      <color indexed="81"/>
      <name val="Tahoma"/>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Times New Roman"/>
      <family val="1"/>
    </font>
    <font>
      <sz val="10"/>
      <name val="Helv"/>
      <family val="2"/>
    </font>
    <font>
      <sz val="8"/>
      <name val="Helv"/>
    </font>
    <font>
      <b/>
      <sz val="12"/>
      <name val="Tms Rmn"/>
    </font>
    <font>
      <b/>
      <i/>
      <sz val="12"/>
      <name val="Tms Rmn"/>
    </font>
    <font>
      <b/>
      <sz val="10"/>
      <name val="MS Sans Serif"/>
      <family val="2"/>
    </font>
    <font>
      <sz val="10"/>
      <color indexed="8"/>
      <name val="Arial"/>
      <family val="2"/>
    </font>
    <font>
      <b/>
      <sz val="11"/>
      <name val="Arial"/>
      <family val="2"/>
    </font>
    <font>
      <sz val="10"/>
      <name val="Helv"/>
    </font>
    <font>
      <sz val="10"/>
      <color theme="1"/>
      <name val="Arial"/>
      <family val="2"/>
    </font>
    <font>
      <sz val="10"/>
      <color indexed="0"/>
      <name val="MS Sans Serif"/>
      <family val="2"/>
    </font>
    <font>
      <b/>
      <sz val="14"/>
      <name val="Arial"/>
      <family val="2"/>
    </font>
    <font>
      <sz val="11"/>
      <color indexed="12"/>
      <name val="Times New Roman"/>
      <family val="1"/>
    </font>
    <font>
      <sz val="11"/>
      <name val="Times New Roman"/>
      <family val="1"/>
    </font>
    <font>
      <sz val="10"/>
      <color indexed="12"/>
      <name val="Helv"/>
    </font>
    <font>
      <sz val="8"/>
      <color indexed="18"/>
      <name val="Helv"/>
    </font>
    <font>
      <b/>
      <u/>
      <sz val="10"/>
      <color indexed="8"/>
      <name val="Times New Roman"/>
      <family val="1"/>
    </font>
    <font>
      <sz val="10"/>
      <color indexed="12"/>
      <name val="Arial"/>
      <family val="2"/>
    </font>
    <font>
      <sz val="8"/>
      <name val="Arial"/>
      <family val="2"/>
    </font>
    <font>
      <b/>
      <sz val="12"/>
      <name val="Arial"/>
      <family val="2"/>
    </font>
    <font>
      <b/>
      <sz val="10"/>
      <name val="Arial"/>
      <family val="2"/>
    </font>
    <font>
      <u/>
      <sz val="11"/>
      <color theme="10"/>
      <name val="Calibri"/>
      <family val="2"/>
    </font>
    <font>
      <u/>
      <sz val="10"/>
      <color indexed="12"/>
      <name val="Arial"/>
      <family val="2"/>
    </font>
    <font>
      <u/>
      <sz val="10"/>
      <color theme="10"/>
      <name val="Trebuchet MS"/>
      <family val="2"/>
    </font>
    <font>
      <sz val="10"/>
      <color indexed="14"/>
      <name val="Arial"/>
      <family val="2"/>
    </font>
    <font>
      <sz val="10"/>
      <name val="MS Sans Serif"/>
      <family val="2"/>
    </font>
    <font>
      <sz val="7"/>
      <name val="Small Fonts"/>
      <family val="2"/>
    </font>
    <font>
      <sz val="12"/>
      <name val="Helv"/>
      <family val="2"/>
    </font>
    <font>
      <sz val="10"/>
      <name val="Trebuchet MS"/>
      <family val="2"/>
    </font>
    <font>
      <sz val="10"/>
      <name val="Tms Rmn"/>
    </font>
    <font>
      <sz val="10"/>
      <name val="Tms Rmn"/>
      <family val="1"/>
    </font>
    <font>
      <sz val="11"/>
      <color indexed="8"/>
      <name val="Calibri"/>
      <family val="2"/>
    </font>
    <font>
      <b/>
      <u/>
      <sz val="26"/>
      <color indexed="9"/>
      <name val="Arial"/>
      <family val="2"/>
    </font>
    <font>
      <sz val="10"/>
      <color indexed="10"/>
      <name val="Arial"/>
      <family val="2"/>
    </font>
    <font>
      <sz val="12"/>
      <name val="Helv"/>
    </font>
    <font>
      <sz val="10"/>
      <color rgb="FF404040"/>
      <name val="Segoe UI"/>
      <family val="2"/>
    </font>
    <font>
      <b/>
      <sz val="10"/>
      <color rgb="FF404040"/>
      <name val="Segoe UI"/>
      <family val="2"/>
    </font>
    <font>
      <b/>
      <sz val="10"/>
      <color indexed="10"/>
      <name val="Arial"/>
      <family val="2"/>
    </font>
    <font>
      <sz val="8"/>
      <name val="Tms Rmn"/>
    </font>
    <font>
      <u/>
      <sz val="11"/>
      <color theme="10"/>
      <name val="Calibri"/>
      <family val="2"/>
      <scheme val="minor"/>
    </font>
    <font>
      <b/>
      <sz val="11"/>
      <color theme="0"/>
      <name val="Calibri"/>
      <family val="2"/>
      <scheme val="minor"/>
    </font>
    <font>
      <i/>
      <sz val="11"/>
      <color rgb="FFFF0000"/>
      <name val="Calibri"/>
      <family val="2"/>
      <scheme val="minor"/>
    </font>
    <font>
      <b/>
      <u val="singleAccounting"/>
      <sz val="11"/>
      <name val="Calibri"/>
      <family val="2"/>
      <scheme val="minor"/>
    </font>
    <font>
      <b/>
      <sz val="11"/>
      <color rgb="FFFF0000"/>
      <name val="Calibri"/>
      <family val="2"/>
      <scheme val="minor"/>
    </font>
    <font>
      <u/>
      <sz val="11"/>
      <color rgb="FFFF0000"/>
      <name val="Calibri"/>
      <family val="2"/>
      <scheme val="minor"/>
    </font>
    <font>
      <b/>
      <u val="singleAccounting"/>
      <sz val="11"/>
      <color rgb="FFFF0000"/>
      <name val="Calibri"/>
      <family val="2"/>
      <scheme val="minor"/>
    </font>
    <font>
      <b/>
      <u/>
      <sz val="11"/>
      <color rgb="FFFF0000"/>
      <name val="Calibri"/>
      <family val="2"/>
      <scheme val="minor"/>
    </font>
    <font>
      <b/>
      <sz val="11"/>
      <color theme="2"/>
      <name val="Calibri"/>
      <family val="2"/>
      <scheme val="minor"/>
    </font>
    <font>
      <b/>
      <u val="singleAccounting"/>
      <sz val="11"/>
      <color theme="2"/>
      <name val="Calibri"/>
      <family val="2"/>
      <scheme val="minor"/>
    </font>
    <font>
      <b/>
      <u/>
      <sz val="12"/>
      <color theme="2"/>
      <name val="Calibri"/>
      <family val="2"/>
      <scheme val="minor"/>
    </font>
    <font>
      <sz val="10"/>
      <color theme="2"/>
      <name val="Calibri"/>
      <family val="2"/>
      <scheme val="minor"/>
    </font>
    <font>
      <sz val="11"/>
      <name val="Calibri"/>
      <family val="2"/>
      <scheme val="minor"/>
    </font>
    <font>
      <i/>
      <sz val="11"/>
      <name val="Calibri"/>
      <family val="2"/>
      <scheme val="minor"/>
    </font>
    <font>
      <b/>
      <sz val="11"/>
      <name val="Calibri"/>
      <family val="2"/>
      <scheme val="minor"/>
    </font>
    <font>
      <u val="singleAccounting"/>
      <sz val="11"/>
      <name val="Calibri"/>
      <family val="2"/>
      <scheme val="minor"/>
    </font>
    <font>
      <b/>
      <u/>
      <sz val="11"/>
      <name val="Calibri"/>
      <family val="2"/>
      <scheme val="minor"/>
    </font>
    <font>
      <b/>
      <u/>
      <sz val="12"/>
      <name val="Calibri"/>
      <family val="2"/>
      <scheme val="minor"/>
    </font>
    <font>
      <u/>
      <sz val="11"/>
      <name val="Calibri"/>
      <family val="2"/>
      <scheme val="minor"/>
    </font>
    <font>
      <i/>
      <sz val="8"/>
      <color rgb="FFFF0000"/>
      <name val="Calibri"/>
      <family val="2"/>
      <scheme val="minor"/>
    </font>
    <font>
      <i/>
      <sz val="6"/>
      <color rgb="FFFF0000"/>
      <name val="Calibri"/>
      <family val="2"/>
      <scheme val="minor"/>
    </font>
    <font>
      <b/>
      <u val="singleAccounting"/>
      <sz val="6"/>
      <color rgb="FFFF0000"/>
      <name val="Calibri"/>
      <family val="2"/>
      <scheme val="minor"/>
    </font>
    <font>
      <i/>
      <u/>
      <sz val="11"/>
      <name val="Calibri"/>
      <family val="2"/>
      <scheme val="minor"/>
    </font>
    <font>
      <i/>
      <sz val="9"/>
      <color theme="3" tint="0.39997558519241921"/>
      <name val="Calibri"/>
      <family val="2"/>
      <scheme val="minor"/>
    </font>
    <font>
      <i/>
      <u/>
      <sz val="11"/>
      <color theme="3" tint="0.39997558519241921"/>
      <name val="Calibri"/>
      <family val="2"/>
      <scheme val="minor"/>
    </font>
    <font>
      <sz val="9.5"/>
      <name val="Calibri"/>
      <family val="2"/>
      <scheme val="minor"/>
    </font>
    <font>
      <sz val="11"/>
      <color theme="3" tint="0.39997558519241921"/>
      <name val="Calibri"/>
      <family val="2"/>
      <scheme val="minor"/>
    </font>
    <font>
      <b/>
      <sz val="10.5"/>
      <color rgb="FFE7E6E6"/>
      <name val="Calibri"/>
      <family val="2"/>
    </font>
    <font>
      <sz val="10.5"/>
      <color rgb="FFE7E6E6"/>
      <name val="Calibri"/>
      <family val="2"/>
    </font>
    <font>
      <sz val="8"/>
      <color rgb="FFE7E6E6"/>
      <name val="Calibri"/>
      <family val="2"/>
    </font>
    <font>
      <b/>
      <sz val="10.5"/>
      <name val="Calibri"/>
      <family val="2"/>
      <scheme val="minor"/>
    </font>
    <font>
      <sz val="10.5"/>
      <name val="Calibri"/>
      <family val="2"/>
      <scheme val="minor"/>
    </font>
    <font>
      <sz val="9"/>
      <name val="Calibri"/>
      <family val="2"/>
      <scheme val="minor"/>
    </font>
    <font>
      <b/>
      <sz val="10.5"/>
      <name val="Calibri"/>
      <family val="2"/>
    </font>
    <font>
      <sz val="11"/>
      <color theme="1" tint="0.14999847407452621"/>
      <name val="Calibri"/>
      <family val="2"/>
      <scheme val="minor"/>
    </font>
    <font>
      <b/>
      <sz val="11"/>
      <color theme="1" tint="0.14999847407452621"/>
      <name val="Calibri"/>
      <family val="2"/>
      <scheme val="minor"/>
    </font>
    <font>
      <b/>
      <u/>
      <sz val="11"/>
      <color theme="1" tint="0.14999847407452621"/>
      <name val="Calibri"/>
      <family val="2"/>
      <scheme val="minor"/>
    </font>
    <font>
      <u val="singleAccounting"/>
      <sz val="11"/>
      <color theme="1" tint="0.14999847407452621"/>
      <name val="Calibri"/>
      <family val="2"/>
      <scheme val="minor"/>
    </font>
    <font>
      <i/>
      <sz val="11"/>
      <color theme="4" tint="-0.249977111117893"/>
      <name val="Calibri"/>
      <family val="2"/>
      <scheme val="minor"/>
    </font>
    <font>
      <b/>
      <i/>
      <sz val="11"/>
      <color theme="4" tint="-0.249977111117893"/>
      <name val="Calibri"/>
      <family val="2"/>
      <scheme val="minor"/>
    </font>
    <font>
      <i/>
      <u val="singleAccounting"/>
      <sz val="11"/>
      <color theme="4" tint="-0.249977111117893"/>
      <name val="Calibri"/>
      <family val="2"/>
      <scheme val="minor"/>
    </font>
    <font>
      <b/>
      <i/>
      <u val="singleAccounting"/>
      <sz val="11"/>
      <color theme="4" tint="-0.249977111117893"/>
      <name val="Calibri"/>
      <family val="2"/>
      <scheme val="minor"/>
    </font>
    <font>
      <b/>
      <sz val="10"/>
      <color theme="1"/>
      <name val="Calibri"/>
      <family val="2"/>
      <scheme val="minor"/>
    </font>
    <font>
      <i/>
      <sz val="11"/>
      <color theme="1"/>
      <name val="Calibri"/>
      <family val="2"/>
      <scheme val="minor"/>
    </font>
    <font>
      <i/>
      <sz val="8"/>
      <name val="Calibri"/>
      <family val="2"/>
      <scheme val="minor"/>
    </font>
    <font>
      <sz val="8"/>
      <name val="Calibri"/>
      <family val="2"/>
      <scheme val="minor"/>
    </font>
    <font>
      <i/>
      <sz val="11"/>
      <color theme="4"/>
      <name val="Calibri"/>
      <family val="2"/>
      <scheme val="minor"/>
    </font>
    <font>
      <b/>
      <i/>
      <sz val="11"/>
      <color theme="4"/>
      <name val="Calibri"/>
      <family val="2"/>
      <scheme val="minor"/>
    </font>
    <font>
      <b/>
      <u/>
      <sz val="10.5"/>
      <name val="Calibri"/>
      <family val="2"/>
      <scheme val="minor"/>
    </font>
    <font>
      <sz val="11"/>
      <color theme="7" tint="-0.249977111117893"/>
      <name val="Calibri"/>
      <family val="2"/>
      <scheme val="minor"/>
    </font>
    <font>
      <b/>
      <sz val="11"/>
      <color theme="7" tint="-0.249977111117893"/>
      <name val="Calibri"/>
      <family val="2"/>
      <scheme val="minor"/>
    </font>
  </fonts>
  <fills count="17">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indexed="43"/>
      </patternFill>
    </fill>
    <fill>
      <patternFill patternType="solid">
        <fgColor indexed="22"/>
        <bgColor indexed="64"/>
      </patternFill>
    </fill>
    <fill>
      <patternFill patternType="solid">
        <fgColor indexed="27"/>
        <bgColor indexed="64"/>
      </patternFill>
    </fill>
    <fill>
      <patternFill patternType="solid">
        <fgColor indexed="26"/>
        <bgColor indexed="64"/>
      </patternFill>
    </fill>
    <fill>
      <patternFill patternType="solid">
        <fgColor indexed="44"/>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3" tint="0.39997558519241921"/>
        <bgColor indexed="64"/>
      </patternFill>
    </fill>
    <fill>
      <patternFill patternType="solid">
        <fgColor rgb="FFFFFF00"/>
        <bgColor indexed="64"/>
      </patternFill>
    </fill>
  </fills>
  <borders count="113">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thin">
        <color auto="1"/>
      </top>
      <bottom style="thin">
        <color auto="1"/>
      </bottom>
      <diagonal/>
    </border>
    <border>
      <left/>
      <right/>
      <top style="hair">
        <color indexed="8"/>
      </top>
      <bottom style="hair">
        <color indexed="8"/>
      </bottom>
      <diagonal/>
    </border>
    <border>
      <left/>
      <right/>
      <top/>
      <bottom style="medium">
        <color indexed="18"/>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hair">
        <color auto="1"/>
      </bottom>
      <diagonal/>
    </border>
    <border>
      <left/>
      <right/>
      <top/>
      <bottom style="hair">
        <color auto="1"/>
      </bottom>
      <diagonal/>
    </border>
    <border>
      <left/>
      <right/>
      <top style="hair">
        <color auto="1"/>
      </top>
      <bottom/>
      <diagonal/>
    </border>
    <border>
      <left style="thin">
        <color auto="1"/>
      </left>
      <right style="thin">
        <color auto="1"/>
      </right>
      <top style="hair">
        <color auto="1"/>
      </top>
      <bottom/>
      <diagonal/>
    </border>
    <border>
      <left style="thin">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auto="1"/>
      </bottom>
      <diagonal/>
    </border>
    <border>
      <left/>
      <right style="thin">
        <color theme="0" tint="-0.24994659260841701"/>
      </right>
      <top/>
      <bottom style="thin">
        <color auto="1"/>
      </bottom>
      <diagonal/>
    </border>
    <border>
      <left style="thin">
        <color auto="1"/>
      </left>
      <right style="thin">
        <color theme="0" tint="-0.24994659260841701"/>
      </right>
      <top style="thin">
        <color theme="0" tint="-0.24994659260841701"/>
      </top>
      <bottom/>
      <diagonal/>
    </border>
    <border>
      <left style="thin">
        <color auto="1"/>
      </left>
      <right style="thin">
        <color theme="0" tint="-0.24994659260841701"/>
      </right>
      <top/>
      <bottom/>
      <diagonal/>
    </border>
    <border>
      <left/>
      <right/>
      <top style="thin">
        <color theme="0" tint="-0.24994659260841701"/>
      </top>
      <bottom/>
      <diagonal/>
    </border>
    <border>
      <left/>
      <right style="thin">
        <color auto="1"/>
      </right>
      <top style="thin">
        <color theme="0" tint="-0.24994659260841701"/>
      </top>
      <bottom/>
      <diagonal/>
    </border>
    <border>
      <left style="thin">
        <color auto="1"/>
      </left>
      <right/>
      <top style="mediumDashed">
        <color auto="1"/>
      </top>
      <bottom/>
      <diagonal/>
    </border>
    <border>
      <left/>
      <right style="thin">
        <color auto="1"/>
      </right>
      <top style="mediumDashed">
        <color auto="1"/>
      </top>
      <bottom/>
      <diagonal/>
    </border>
    <border>
      <left/>
      <right/>
      <top style="mediumDashed">
        <color auto="1"/>
      </top>
      <bottom/>
      <diagonal/>
    </border>
    <border>
      <left style="thin">
        <color auto="1"/>
      </left>
      <right style="thin">
        <color auto="1"/>
      </right>
      <top/>
      <bottom style="mediumDashed">
        <color auto="1"/>
      </bottom>
      <diagonal/>
    </border>
    <border>
      <left style="thin">
        <color auto="1"/>
      </left>
      <right/>
      <top/>
      <bottom style="mediumDashed">
        <color auto="1"/>
      </bottom>
      <diagonal/>
    </border>
    <border>
      <left/>
      <right style="thin">
        <color auto="1"/>
      </right>
      <top/>
      <bottom style="mediumDashed">
        <color auto="1"/>
      </bottom>
      <diagonal/>
    </border>
    <border>
      <left/>
      <right/>
      <top/>
      <bottom style="mediumDashed">
        <color auto="1"/>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medium">
        <color rgb="FF606372"/>
      </left>
      <right/>
      <top style="medium">
        <color rgb="FF606372"/>
      </top>
      <bottom style="medium">
        <color rgb="FF606372"/>
      </bottom>
      <diagonal/>
    </border>
    <border>
      <left/>
      <right/>
      <top style="medium">
        <color rgb="FF606372"/>
      </top>
      <bottom style="medium">
        <color rgb="FF606372"/>
      </bottom>
      <diagonal/>
    </border>
    <border>
      <left/>
      <right style="medium">
        <color rgb="FFBFBFBF"/>
      </right>
      <top style="medium">
        <color rgb="FF606372"/>
      </top>
      <bottom style="medium">
        <color rgb="FF606372"/>
      </bottom>
      <diagonal/>
    </border>
    <border>
      <left style="medium">
        <color rgb="FF9D9FAC"/>
      </left>
      <right style="medium">
        <color rgb="FF9D9FAC"/>
      </right>
      <top/>
      <bottom style="medium">
        <color rgb="FF9D9FAC"/>
      </bottom>
      <diagonal/>
    </border>
    <border>
      <left/>
      <right style="medium">
        <color rgb="FF9D9FAC"/>
      </right>
      <top/>
      <bottom style="medium">
        <color rgb="FF9D9FAC"/>
      </bottom>
      <diagonal/>
    </border>
    <border>
      <left/>
      <right style="medium">
        <color rgb="FF9D9FAC"/>
      </right>
      <top/>
      <bottom/>
      <diagonal/>
    </border>
    <border>
      <left/>
      <right style="medium">
        <color rgb="FFBFBFBF"/>
      </right>
      <top/>
      <bottom style="medium">
        <color rgb="FF9D9FAC"/>
      </bottom>
      <diagonal/>
    </border>
    <border>
      <left/>
      <right style="medium">
        <color rgb="FFBFBFBF"/>
      </right>
      <top/>
      <bottom/>
      <diagonal/>
    </border>
    <border>
      <left style="medium">
        <color rgb="FFBFBFBF"/>
      </left>
      <right/>
      <top style="medium">
        <color rgb="FF606372"/>
      </top>
      <bottom style="medium">
        <color rgb="FF606372"/>
      </bottom>
      <diagonal/>
    </border>
    <border>
      <left style="medium">
        <color rgb="FF9D9FAC"/>
      </left>
      <right style="medium">
        <color rgb="FF9D9FAC"/>
      </right>
      <top style="medium">
        <color rgb="FF606372"/>
      </top>
      <bottom/>
      <diagonal/>
    </border>
    <border>
      <left style="medium">
        <color rgb="FFBFBFBF"/>
      </left>
      <right style="medium">
        <color rgb="FF9D9FAC"/>
      </right>
      <top style="medium">
        <color rgb="FF606372"/>
      </top>
      <bottom/>
      <diagonal/>
    </border>
    <border>
      <left style="medium">
        <color rgb="FFBFBFBF"/>
      </left>
      <right style="medium">
        <color rgb="FF9D9FAC"/>
      </right>
      <top/>
      <bottom style="medium">
        <color rgb="FF9D9FAC"/>
      </bottom>
      <diagonal/>
    </border>
    <border>
      <left style="medium">
        <color rgb="FF9D9FAC"/>
      </left>
      <right style="medium">
        <color rgb="FF9D9FAC"/>
      </right>
      <top style="medium">
        <color rgb="FF9D9FAC"/>
      </top>
      <bottom/>
      <diagonal/>
    </border>
    <border>
      <left/>
      <right/>
      <top style="medium">
        <color rgb="FF9D9FAC"/>
      </top>
      <bottom/>
      <diagonal/>
    </border>
    <border>
      <left/>
      <right style="medium">
        <color rgb="FF9D9FAC"/>
      </right>
      <top style="medium">
        <color rgb="FF9D9FAC"/>
      </top>
      <bottom/>
      <diagonal/>
    </border>
    <border>
      <left style="medium">
        <color rgb="FF9D9FAC"/>
      </left>
      <right/>
      <top style="medium">
        <color rgb="FF9D9FAC"/>
      </top>
      <bottom/>
      <diagonal/>
    </border>
    <border>
      <left style="medium">
        <color rgb="FF9D9FAC"/>
      </left>
      <right style="medium">
        <color rgb="FF9D9FAC"/>
      </right>
      <top style="medium">
        <color rgb="FF9D9FAC"/>
      </top>
      <bottom style="medium">
        <color rgb="FF9D9FAC"/>
      </bottom>
      <diagonal/>
    </border>
    <border>
      <left/>
      <right style="medium">
        <color rgb="FF9D9FAC"/>
      </right>
      <top style="medium">
        <color rgb="FF9D9FAC"/>
      </top>
      <bottom style="medium">
        <color rgb="FF9D9FAC"/>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right style="thin">
        <color auto="1"/>
      </right>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medium">
        <color rgb="FF9D9FAC"/>
      </left>
      <right/>
      <top style="medium">
        <color rgb="FF9D9FAC"/>
      </top>
      <bottom style="medium">
        <color rgb="FF9D9FAC"/>
      </bottom>
      <diagonal/>
    </border>
    <border>
      <left/>
      <right/>
      <top style="medium">
        <color rgb="FF9D9FAC"/>
      </top>
      <bottom style="medium">
        <color rgb="FF9D9FAC"/>
      </bottom>
      <diagonal/>
    </border>
    <border>
      <left style="medium">
        <color rgb="FFBFBFBF"/>
      </left>
      <right style="medium">
        <color rgb="FFBFBFBF"/>
      </right>
      <top style="medium">
        <color rgb="FF606372"/>
      </top>
      <bottom/>
      <diagonal/>
    </border>
    <border>
      <left style="medium">
        <color rgb="FFBFBFBF"/>
      </left>
      <right style="medium">
        <color rgb="FFBFBFBF"/>
      </right>
      <top/>
      <bottom style="medium">
        <color rgb="FF9D9FAC"/>
      </bottom>
      <diagonal/>
    </border>
    <border>
      <left style="medium">
        <color rgb="FF9D9FAC"/>
      </left>
      <right/>
      <top style="medium">
        <color rgb="FF606372"/>
      </top>
      <bottom style="medium">
        <color rgb="FF9D9FAC"/>
      </bottom>
      <diagonal/>
    </border>
    <border>
      <left/>
      <right/>
      <top style="medium">
        <color rgb="FF606372"/>
      </top>
      <bottom style="medium">
        <color rgb="FF9D9FAC"/>
      </bottom>
      <diagonal/>
    </border>
    <border>
      <left/>
      <right style="medium">
        <color rgb="FF9D9FAC"/>
      </right>
      <top style="medium">
        <color rgb="FF606372"/>
      </top>
      <bottom style="medium">
        <color rgb="FF9D9FAC"/>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diagonal/>
    </border>
    <border>
      <left/>
      <right style="thin">
        <color rgb="FFBFBFBF"/>
      </right>
      <top/>
      <bottom/>
      <diagonal/>
    </border>
    <border>
      <left style="thin">
        <color rgb="FFBFBFBF"/>
      </left>
      <right style="thin">
        <color theme="0" tint="-0.24994659260841701"/>
      </right>
      <top style="thin">
        <color rgb="FFBFBFBF"/>
      </top>
      <bottom/>
      <diagonal/>
    </border>
    <border>
      <left style="thin">
        <color rgb="FFBFBFBF"/>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rgb="FFBFBFBF"/>
      </right>
      <top/>
      <bottom style="thin">
        <color theme="0" tint="-0.24994659260841701"/>
      </bottom>
      <diagonal/>
    </border>
    <border>
      <left style="thin">
        <color rgb="FFBFBFBF"/>
      </left>
      <right style="thin">
        <color theme="0" tint="-0.24994659260841701"/>
      </right>
      <top/>
      <bottom style="thin">
        <color rgb="FFBFBFBF"/>
      </bottom>
      <diagonal/>
    </border>
    <border>
      <left/>
      <right style="thin">
        <color theme="0" tint="-0.24994659260841701"/>
      </right>
      <top/>
      <bottom style="thin">
        <color rgb="FFBFBFBF"/>
      </bottom>
      <diagonal/>
    </border>
    <border>
      <left style="thin">
        <color theme="0" tint="-0.24994659260841701"/>
      </left>
      <right/>
      <top/>
      <bottom style="thin">
        <color rgb="FFBFBFBF"/>
      </bottom>
      <diagonal/>
    </border>
    <border>
      <left/>
      <right style="thin">
        <color rgb="FFBFBFBF"/>
      </right>
      <top style="thin">
        <color theme="0" tint="-0.24994659260841701"/>
      </top>
      <bottom/>
      <diagonal/>
    </border>
    <border>
      <left style="thin">
        <color rgb="FFBFBFBF"/>
      </left>
      <right style="thin">
        <color rgb="FFBFBFBF"/>
      </right>
      <top style="thin">
        <color rgb="FFBFBFBF"/>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rgb="FFBFBFBF"/>
      </top>
      <bottom style="thin">
        <color rgb="FFBFBFBF"/>
      </bottom>
      <diagonal/>
    </border>
  </borders>
  <cellStyleXfs count="3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top"/>
    </xf>
    <xf numFmtId="0" fontId="5" fillId="0" borderId="0"/>
    <xf numFmtId="43" fontId="5"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 fillId="4" borderId="0" applyNumberFormat="0" applyFont="0" applyAlignment="0" applyProtection="0"/>
    <xf numFmtId="174" fontId="3" fillId="0" borderId="0" applyFont="0" applyFill="0" applyBorder="0" applyAlignment="0" applyProtection="0"/>
    <xf numFmtId="175" fontId="3" fillId="0" borderId="0" applyFont="0" applyFill="0" applyBorder="0" applyProtection="0">
      <alignment horizontal="right"/>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1" fillId="0" borderId="17" applyNumberFormat="0" applyFill="0" applyAlignment="0" applyProtection="0"/>
    <xf numFmtId="0" fontId="12" fillId="0" borderId="18" applyNumberFormat="0" applyFill="0" applyProtection="0">
      <alignment horizontal="center"/>
    </xf>
    <xf numFmtId="0" fontId="12" fillId="0" borderId="0" applyNumberFormat="0" applyFill="0" applyBorder="0" applyProtection="0">
      <alignment horizontal="left"/>
    </xf>
    <xf numFmtId="0" fontId="13" fillId="0" borderId="0" applyNumberFormat="0" applyFill="0" applyBorder="0" applyProtection="0">
      <alignment horizontal="centerContinuous"/>
    </xf>
    <xf numFmtId="0" fontId="14" fillId="0" borderId="0" applyNumberFormat="0" applyFill="0" applyBorder="0" applyAlignment="0" applyProtection="0"/>
    <xf numFmtId="0" fontId="15" fillId="0" borderId="0"/>
    <xf numFmtId="176" fontId="16" fillId="0" borderId="0">
      <alignment horizontal="center"/>
    </xf>
    <xf numFmtId="37" fontId="17" fillId="0" borderId="0"/>
    <xf numFmtId="37" fontId="18" fillId="0" borderId="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 fillId="0" borderId="0" applyAlignment="0" applyProtection="0"/>
    <xf numFmtId="178" fontId="20" fillId="0" borderId="0" applyFill="0" applyBorder="0" applyAlignment="0"/>
    <xf numFmtId="179" fontId="3" fillId="0" borderId="0" applyFill="0" applyBorder="0" applyAlignment="0"/>
    <xf numFmtId="180" fontId="3" fillId="0" borderId="0" applyFill="0" applyBorder="0" applyAlignment="0"/>
    <xf numFmtId="164" fontId="3" fillId="0" borderId="0" applyFill="0" applyBorder="0" applyAlignment="0"/>
    <xf numFmtId="181" fontId="3" fillId="0" borderId="0" applyFill="0" applyBorder="0" applyAlignment="0"/>
    <xf numFmtId="182" fontId="3" fillId="0" borderId="0" applyFill="0" applyBorder="0" applyAlignment="0"/>
    <xf numFmtId="183" fontId="3" fillId="0" borderId="0" applyFill="0" applyBorder="0" applyAlignment="0"/>
    <xf numFmtId="184" fontId="3" fillId="0" borderId="0" applyFill="0" applyBorder="0" applyAlignment="0"/>
    <xf numFmtId="185" fontId="3" fillId="0" borderId="0" applyFill="0" applyBorder="0" applyAlignment="0"/>
    <xf numFmtId="186" fontId="3" fillId="0" borderId="0" applyFill="0" applyBorder="0" applyAlignment="0"/>
    <xf numFmtId="178" fontId="20"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0" fontId="21" fillId="0" borderId="0" applyFill="0" applyBorder="0" applyProtection="0">
      <alignment horizontal="center"/>
      <protection locked="0"/>
    </xf>
    <xf numFmtId="0" fontId="22"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1" fontId="22" fillId="0" borderId="7"/>
    <xf numFmtId="192" fontId="1" fillId="0" borderId="0"/>
    <xf numFmtId="0" fontId="15" fillId="0" borderId="7"/>
    <xf numFmtId="192" fontId="1" fillId="0" borderId="0"/>
    <xf numFmtId="178" fontId="3" fillId="0" borderId="0" applyFont="0" applyFill="0" applyBorder="0" applyAlignment="0" applyProtection="0"/>
    <xf numFmtId="187" fontId="3" fillId="0" borderId="0" applyFont="0" applyFill="0" applyBorder="0" applyAlignment="0" applyProtection="0"/>
    <xf numFmtId="43" fontId="3" fillId="0" borderId="0" applyFont="0" applyFill="0" applyBorder="0" applyAlignment="0" applyProtection="0">
      <alignment wrapText="1"/>
    </xf>
    <xf numFmtId="43" fontId="1" fillId="0" borderId="0" applyFont="0" applyFill="0" applyBorder="0" applyAlignment="0" applyProtection="0"/>
    <xf numFmtId="43" fontId="3" fillId="0" borderId="0" applyFont="0" applyFill="0" applyBorder="0" applyAlignment="0" applyProtection="0">
      <alignment wrapText="1"/>
    </xf>
    <xf numFmtId="43" fontId="3" fillId="0" borderId="0" applyFont="0" applyFill="0" applyBorder="0" applyAlignment="0" applyProtection="0">
      <alignment wrapText="1"/>
    </xf>
    <xf numFmtId="43" fontId="3" fillId="0" borderId="0" applyFont="0" applyFill="0" applyBorder="0" applyAlignment="0" applyProtection="0"/>
    <xf numFmtId="4" fontId="22" fillId="0" borderId="0" applyFont="0" applyFill="0" applyBorder="0" applyAlignment="0" applyProtection="0"/>
    <xf numFmtId="4" fontId="22" fillId="0" borderId="0" applyFont="0" applyFill="0" applyBorder="0" applyAlignment="0" applyProtection="0"/>
    <xf numFmtId="43" fontId="1" fillId="0" borderId="0" applyFont="0" applyFill="0" applyBorder="0" applyAlignment="0" applyProtection="0"/>
    <xf numFmtId="4" fontId="1" fillId="0" borderId="0" applyFont="0" applyFill="0" applyBorder="0" applyAlignment="0" applyProtection="0"/>
    <xf numFmtId="43" fontId="23" fillId="0" borderId="0" applyFont="0" applyFill="0" applyBorder="0" applyAlignment="0" applyProtection="0"/>
    <xf numFmtId="4" fontId="1" fillId="0" borderId="0" applyFont="0" applyFill="0" applyBorder="0" applyAlignment="0" applyProtection="0"/>
    <xf numFmtId="4" fontId="15"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24" fillId="0" borderId="0" applyNumberFormat="0" applyFill="0" applyBorder="0" applyAlignment="0" applyProtection="0"/>
    <xf numFmtId="0" fontId="25" fillId="0" borderId="0" applyFill="0" applyBorder="0" applyAlignment="0" applyProtection="0">
      <protection locked="0"/>
    </xf>
    <xf numFmtId="193" fontId="3" fillId="0" borderId="0">
      <alignment horizontal="center"/>
    </xf>
    <xf numFmtId="194" fontId="26" fillId="0" borderId="0" applyFill="0" applyBorder="0" applyProtection="0"/>
    <xf numFmtId="195" fontId="27" fillId="0" borderId="0" applyFont="0" applyFill="0" applyBorder="0" applyAlignment="0" applyProtection="0"/>
    <xf numFmtId="196" fontId="28" fillId="0" borderId="19">
      <protection hidden="1"/>
    </xf>
    <xf numFmtId="180" fontId="3" fillId="0" borderId="0" applyFont="0" applyFill="0" applyBorder="0" applyAlignment="0" applyProtection="0"/>
    <xf numFmtId="164" fontId="3" fillId="0" borderId="0" applyFont="0" applyFill="0" applyBorder="0" applyAlignment="0" applyProtection="0"/>
    <xf numFmtId="8" fontId="1" fillId="0" borderId="0" applyFont="0" applyFill="0" applyBorder="0" applyAlignment="0" applyProtection="0"/>
    <xf numFmtId="44" fontId="3" fillId="0" borderId="0" applyFont="0" applyFill="0" applyBorder="0" applyAlignment="0" applyProtection="0"/>
    <xf numFmtId="0" fontId="24" fillId="0" borderId="0" applyNumberFormat="0" applyFill="0" applyBorder="0" applyAlignment="0" applyProtection="0"/>
    <xf numFmtId="1" fontId="16" fillId="0" borderId="0"/>
    <xf numFmtId="14" fontId="29" fillId="0" borderId="0">
      <alignment horizontal="center"/>
    </xf>
    <xf numFmtId="14" fontId="20" fillId="0" borderId="0" applyFill="0" applyBorder="0" applyAlignment="0"/>
    <xf numFmtId="15" fontId="30" fillId="5" borderId="0" applyNumberFormat="0" applyFont="0" applyFill="0" applyBorder="0" applyAlignment="0">
      <alignment horizontal="center" wrapText="1"/>
    </xf>
    <xf numFmtId="0" fontId="20" fillId="0" borderId="16" applyNumberFormat="0" applyFill="0" applyBorder="0" applyAlignment="0" applyProtection="0"/>
    <xf numFmtId="197" fontId="22" fillId="0" borderId="0" applyFont="0" applyFill="0" applyBorder="0" applyAlignment="0" applyProtection="0"/>
    <xf numFmtId="198" fontId="27" fillId="0" borderId="0" applyFont="0" applyFill="0" applyBorder="0" applyAlignment="0" applyProtection="0"/>
    <xf numFmtId="178" fontId="31"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1"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196" fontId="28" fillId="0" borderId="19">
      <protection hidden="1"/>
    </xf>
    <xf numFmtId="199" fontId="3" fillId="0" borderId="0" applyFont="0" applyFill="0" applyBorder="0" applyAlignment="0" applyProtection="0"/>
    <xf numFmtId="38" fontId="32" fillId="5" borderId="0" applyNumberFormat="0" applyBorder="0" applyAlignment="0" applyProtection="0"/>
    <xf numFmtId="0" fontId="33" fillId="0" borderId="20" applyNumberFormat="0" applyAlignment="0" applyProtection="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1" fillId="0" borderId="0">
      <alignment horizontal="left" vertical="center"/>
    </xf>
    <xf numFmtId="14" fontId="34" fillId="6" borderId="19">
      <alignment horizontal="center" vertical="center" wrapText="1"/>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1" fillId="0" borderId="0" applyFill="0" applyAlignment="0" applyProtection="0">
      <protection locked="0"/>
    </xf>
    <xf numFmtId="0" fontId="21" fillId="0" borderId="7" applyFill="0" applyAlignment="0" applyProtection="0">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10" fontId="32" fillId="7" borderId="16" applyNumberFormat="0" applyBorder="0" applyAlignment="0" applyProtection="0"/>
    <xf numFmtId="178" fontId="38"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8"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200" fontId="3" fillId="0" borderId="0" applyFont="0" applyFill="0" applyBorder="0" applyAlignment="0" applyProtection="0"/>
    <xf numFmtId="201" fontId="3" fillId="0" borderId="0" applyFont="0" applyFill="0" applyBorder="0" applyAlignment="0" applyProtection="0"/>
    <xf numFmtId="38" fontId="39" fillId="0" borderId="0" applyFont="0" applyFill="0" applyBorder="0" applyAlignment="0" applyProtection="0"/>
    <xf numFmtId="40" fontId="39" fillId="0" borderId="0" applyFont="0" applyFill="0" applyBorder="0" applyAlignment="0" applyProtection="0"/>
    <xf numFmtId="202" fontId="3" fillId="0" borderId="0" applyFont="0" applyFill="0" applyBorder="0" applyAlignment="0" applyProtection="0"/>
    <xf numFmtId="203" fontId="3" fillId="0" borderId="0" applyFont="0" applyFill="0" applyBorder="0" applyAlignment="0" applyProtection="0"/>
    <xf numFmtId="6" fontId="39" fillId="0" borderId="0" applyFont="0" applyFill="0" applyBorder="0" applyAlignment="0" applyProtection="0"/>
    <xf numFmtId="8" fontId="39" fillId="0" borderId="0" applyFont="0" applyFill="0" applyBorder="0" applyAlignment="0" applyProtection="0"/>
    <xf numFmtId="204" fontId="16" fillId="0" borderId="7"/>
    <xf numFmtId="37" fontId="40" fillId="0" borderId="0"/>
    <xf numFmtId="205" fontId="22" fillId="0" borderId="0"/>
    <xf numFmtId="205" fontId="1" fillId="0" borderId="0"/>
    <xf numFmtId="206" fontId="3" fillId="0" borderId="0"/>
    <xf numFmtId="207" fontId="3" fillId="0" borderId="0"/>
    <xf numFmtId="0" fontId="41" fillId="0" borderId="0"/>
    <xf numFmtId="0" fontId="41" fillId="0" borderId="0"/>
    <xf numFmtId="0" fontId="41" fillId="0" borderId="0"/>
    <xf numFmtId="0" fontId="41" fillId="0" borderId="0"/>
    <xf numFmtId="0" fontId="3" fillId="0" borderId="0"/>
    <xf numFmtId="0" fontId="3" fillId="0" borderId="0"/>
    <xf numFmtId="0" fontId="1" fillId="0" borderId="0"/>
    <xf numFmtId="0" fontId="3" fillId="0" borderId="0"/>
    <xf numFmtId="0" fontId="3" fillId="0" borderId="0">
      <alignment wrapText="1"/>
    </xf>
    <xf numFmtId="0" fontId="3" fillId="0" borderId="0"/>
    <xf numFmtId="0" fontId="42" fillId="0" borderId="0"/>
    <xf numFmtId="0" fontId="3" fillId="0" borderId="0"/>
    <xf numFmtId="0" fontId="3" fillId="0" borderId="0"/>
    <xf numFmtId="37" fontId="43" fillId="0" borderId="0"/>
    <xf numFmtId="0" fontId="1" fillId="0" borderId="0"/>
    <xf numFmtId="0" fontId="1" fillId="0" borderId="0"/>
    <xf numFmtId="0" fontId="3" fillId="0" borderId="0">
      <alignment wrapText="1"/>
    </xf>
    <xf numFmtId="0" fontId="3" fillId="0" borderId="0"/>
    <xf numFmtId="37" fontId="43" fillId="0" borderId="0"/>
    <xf numFmtId="0" fontId="3" fillId="0" borderId="0"/>
    <xf numFmtId="37" fontId="43" fillId="0" borderId="0"/>
    <xf numFmtId="0" fontId="1" fillId="0" borderId="0"/>
    <xf numFmtId="0" fontId="23" fillId="0" borderId="0"/>
    <xf numFmtId="37" fontId="1" fillId="0" borderId="0"/>
    <xf numFmtId="0" fontId="1" fillId="0" borderId="0"/>
    <xf numFmtId="37" fontId="1" fillId="0" borderId="0"/>
    <xf numFmtId="0" fontId="3" fillId="0" borderId="0">
      <alignment wrapText="1"/>
    </xf>
    <xf numFmtId="37" fontId="44" fillId="0" borderId="0"/>
    <xf numFmtId="0" fontId="3" fillId="0" borderId="0"/>
    <xf numFmtId="37" fontId="3" fillId="0" borderId="0"/>
    <xf numFmtId="37" fontId="3" fillId="0" borderId="0"/>
    <xf numFmtId="208" fontId="3" fillId="0" borderId="0"/>
    <xf numFmtId="209" fontId="3" fillId="0" borderId="0"/>
    <xf numFmtId="39" fontId="3" fillId="0" borderId="0"/>
    <xf numFmtId="39" fontId="3" fillId="0" borderId="0"/>
    <xf numFmtId="210" fontId="3" fillId="0" borderId="0"/>
    <xf numFmtId="211" fontId="3" fillId="0" borderId="0"/>
    <xf numFmtId="212" fontId="3" fillId="0" borderId="0"/>
    <xf numFmtId="213" fontId="3" fillId="0" borderId="0"/>
    <xf numFmtId="214" fontId="3" fillId="0" borderId="0"/>
    <xf numFmtId="215" fontId="3" fillId="0" borderId="0"/>
    <xf numFmtId="216" fontId="3" fillId="0" borderId="0"/>
    <xf numFmtId="217" fontId="39" fillId="0" borderId="0"/>
    <xf numFmtId="218" fontId="28" fillId="0" borderId="0">
      <protection hidden="1"/>
    </xf>
    <xf numFmtId="185" fontId="3" fillId="0" borderId="0" applyFont="0" applyFill="0" applyBorder="0" applyAlignment="0" applyProtection="0"/>
    <xf numFmtId="186" fontId="3" fillId="0" borderId="0" applyFont="0" applyFill="0" applyBorder="0" applyAlignment="0" applyProtection="0"/>
    <xf numFmtId="206" fontId="3" fillId="0" borderId="0" applyFont="0" applyFill="0" applyBorder="0" applyAlignment="0" applyProtection="0"/>
    <xf numFmtId="207" fontId="3" fillId="0" borderId="0" applyFont="0" applyFill="0" applyBorder="0" applyAlignment="0" applyProtection="0"/>
    <xf numFmtId="10" fontId="3" fillId="0" borderId="0" applyFont="0" applyFill="0" applyBorder="0" applyAlignment="0" applyProtection="0"/>
    <xf numFmtId="9" fontId="45"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39" fillId="0" borderId="21" applyNumberFormat="0" applyBorder="0"/>
    <xf numFmtId="204" fontId="16" fillId="0" borderId="0"/>
    <xf numFmtId="0" fontId="46" fillId="8" borderId="22" applyNumberFormat="0" applyFont="0" applyFill="0" applyAlignment="0">
      <alignment horizontal="center" vertical="center"/>
    </xf>
    <xf numFmtId="178" fontId="47"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47"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37" fontId="43" fillId="0" borderId="23"/>
    <xf numFmtId="0" fontId="48" fillId="0" borderId="0"/>
    <xf numFmtId="0" fontId="22" fillId="0" borderId="0"/>
    <xf numFmtId="0" fontId="39" fillId="0" borderId="0"/>
    <xf numFmtId="37" fontId="49" fillId="0" borderId="19">
      <alignment horizontal="right"/>
      <protection locked="0"/>
    </xf>
    <xf numFmtId="37" fontId="50" fillId="0" borderId="19">
      <alignment horizontal="right"/>
      <protection locked="0"/>
    </xf>
    <xf numFmtId="49" fontId="20" fillId="0" borderId="0" applyFill="0" applyBorder="0" applyAlignment="0"/>
    <xf numFmtId="219" fontId="3" fillId="0" borderId="0" applyFill="0" applyBorder="0" applyAlignment="0"/>
    <xf numFmtId="220" fontId="3" fillId="0" borderId="0" applyFill="0" applyBorder="0" applyAlignment="0"/>
    <xf numFmtId="221" fontId="3" fillId="0" borderId="0" applyFill="0" applyBorder="0" applyAlignment="0"/>
    <xf numFmtId="222" fontId="3" fillId="0" borderId="0" applyFill="0" applyBorder="0" applyAlignment="0"/>
    <xf numFmtId="49" fontId="3" fillId="0" borderId="0"/>
    <xf numFmtId="0" fontId="51" fillId="0" borderId="0" applyFill="0" applyBorder="0" applyProtection="0">
      <alignment horizontal="left" vertical="top"/>
    </xf>
    <xf numFmtId="40" fontId="5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37" fontId="43" fillId="0" borderId="7"/>
    <xf numFmtId="37" fontId="43" fillId="0" borderId="24"/>
    <xf numFmtId="223" fontId="3" fillId="0" borderId="0" applyFont="0" applyFill="0" applyBorder="0" applyAlignment="0" applyProtection="0"/>
    <xf numFmtId="224" fontId="3" fillId="0" borderId="0" applyFont="0" applyFill="0" applyBorder="0" applyAlignment="0" applyProtection="0"/>
    <xf numFmtId="0" fontId="3" fillId="0" borderId="0"/>
    <xf numFmtId="0" fontId="3" fillId="0" borderId="0"/>
    <xf numFmtId="0" fontId="53" fillId="0" borderId="0" applyNumberFormat="0" applyFill="0" applyBorder="0" applyAlignment="0" applyProtection="0"/>
  </cellStyleXfs>
  <cellXfs count="853">
    <xf numFmtId="0" fontId="0" fillId="0" borderId="0" xfId="0"/>
    <xf numFmtId="165" fontId="0" fillId="0" borderId="0" xfId="1" applyNumberFormat="1" applyFont="1"/>
    <xf numFmtId="166" fontId="0" fillId="0" borderId="0" xfId="2" applyNumberFormat="1" applyFont="1"/>
    <xf numFmtId="164" fontId="4" fillId="0" borderId="0" xfId="1" applyNumberFormat="1" applyFont="1" applyAlignment="1">
      <alignment horizontal="right"/>
    </xf>
    <xf numFmtId="0" fontId="4" fillId="0" borderId="0" xfId="0" applyFont="1"/>
    <xf numFmtId="0" fontId="0" fillId="0" borderId="0" xfId="0" applyAlignment="1">
      <alignment wrapText="1"/>
    </xf>
    <xf numFmtId="0" fontId="0" fillId="0" borderId="0" xfId="0"/>
    <xf numFmtId="0" fontId="2" fillId="0" borderId="0" xfId="0" applyFont="1" applyAlignment="1">
      <alignment horizontal="left"/>
    </xf>
    <xf numFmtId="0" fontId="0" fillId="0" borderId="0" xfId="0" applyFill="1" applyBorder="1"/>
    <xf numFmtId="0" fontId="0" fillId="0" borderId="0" xfId="0" applyFill="1" applyAlignment="1">
      <alignment horizontal="center" textRotation="90"/>
    </xf>
    <xf numFmtId="0" fontId="54" fillId="0" borderId="0" xfId="0" applyFont="1" applyFill="1" applyAlignment="1">
      <alignment horizontal="center" vertical="center" wrapText="1"/>
    </xf>
    <xf numFmtId="0" fontId="0" fillId="0" borderId="0" xfId="0" applyAlignment="1">
      <alignment horizontal="center" vertical="center"/>
    </xf>
    <xf numFmtId="165" fontId="0" fillId="0" borderId="0" xfId="1" applyNumberFormat="1" applyFont="1" applyFill="1" applyBorder="1"/>
    <xf numFmtId="164" fontId="6" fillId="0" borderId="0" xfId="1" quotePrefix="1" applyNumberFormat="1" applyFont="1" applyFill="1" applyBorder="1" applyAlignment="1">
      <alignment horizontal="left"/>
    </xf>
    <xf numFmtId="164" fontId="6" fillId="0" borderId="0" xfId="1" quotePrefix="1" applyNumberFormat="1" applyFont="1" applyFill="1" applyBorder="1" applyAlignment="1">
      <alignment horizontal="right"/>
    </xf>
    <xf numFmtId="164" fontId="0" fillId="0" borderId="0" xfId="1" applyNumberFormat="1" applyFont="1" applyFill="1" applyBorder="1"/>
    <xf numFmtId="166" fontId="0" fillId="0" borderId="0" xfId="2" applyNumberFormat="1" applyFont="1" applyFill="1" applyBorder="1"/>
    <xf numFmtId="0" fontId="0" fillId="0" borderId="3" xfId="0" applyBorder="1"/>
    <xf numFmtId="0" fontId="0" fillId="0" borderId="6" xfId="0" applyBorder="1"/>
    <xf numFmtId="1" fontId="0" fillId="0" borderId="40" xfId="0" applyNumberFormat="1" applyBorder="1" applyAlignment="1">
      <alignment horizontal="center" vertical="center"/>
    </xf>
    <xf numFmtId="1" fontId="0" fillId="0" borderId="42" xfId="0" applyNumberFormat="1" applyBorder="1" applyAlignment="1">
      <alignment horizontal="center" vertical="center"/>
    </xf>
    <xf numFmtId="164" fontId="6" fillId="2" borderId="38" xfId="1" quotePrefix="1" applyNumberFormat="1" applyFont="1" applyFill="1" applyBorder="1" applyAlignment="1">
      <alignment horizontal="center" vertical="center" wrapText="1"/>
    </xf>
    <xf numFmtId="164" fontId="6" fillId="2" borderId="39" xfId="1" quotePrefix="1" applyNumberFormat="1" applyFont="1" applyFill="1" applyBorder="1" applyAlignment="1">
      <alignment horizontal="center" vertical="center" wrapText="1"/>
    </xf>
    <xf numFmtId="164" fontId="6" fillId="2" borderId="46" xfId="1" quotePrefix="1" applyNumberFormat="1" applyFont="1" applyFill="1" applyBorder="1" applyAlignment="1">
      <alignment horizontal="center" vertical="center" wrapText="1"/>
    </xf>
    <xf numFmtId="164" fontId="6" fillId="2" borderId="47" xfId="1" quotePrefix="1" applyNumberFormat="1" applyFont="1" applyFill="1" applyBorder="1" applyAlignment="1">
      <alignment horizontal="center" vertical="center" wrapText="1"/>
    </xf>
    <xf numFmtId="164" fontId="6" fillId="2" borderId="40" xfId="1" quotePrefix="1" applyNumberFormat="1" applyFont="1" applyFill="1" applyBorder="1" applyAlignment="1">
      <alignment horizontal="center" vertical="center" wrapText="1"/>
    </xf>
    <xf numFmtId="164" fontId="6" fillId="2" borderId="41" xfId="1" quotePrefix="1" applyNumberFormat="1" applyFont="1" applyFill="1" applyBorder="1" applyAlignment="1">
      <alignment horizontal="center" vertical="center" wrapText="1"/>
    </xf>
    <xf numFmtId="43" fontId="57" fillId="0" borderId="9" xfId="1" applyNumberFormat="1" applyFont="1" applyFill="1" applyBorder="1" applyAlignment="1">
      <alignment horizontal="right"/>
    </xf>
    <xf numFmtId="0" fontId="4" fillId="0" borderId="0" xfId="0" applyFont="1" applyAlignment="1">
      <alignment horizontal="right"/>
    </xf>
    <xf numFmtId="0" fontId="58" fillId="0" borderId="0" xfId="329" applyFont="1" applyAlignment="1">
      <alignment horizontal="right"/>
    </xf>
    <xf numFmtId="43" fontId="4" fillId="0" borderId="0" xfId="1" applyFont="1" applyAlignment="1">
      <alignment horizontal="right"/>
    </xf>
    <xf numFmtId="165" fontId="4" fillId="0" borderId="0" xfId="1" applyNumberFormat="1" applyFont="1" applyAlignment="1">
      <alignment horizontal="right"/>
    </xf>
    <xf numFmtId="43" fontId="4" fillId="0" borderId="0" xfId="1" applyFont="1" applyFill="1" applyAlignment="1">
      <alignment horizontal="left"/>
    </xf>
    <xf numFmtId="165" fontId="4" fillId="0" borderId="0" xfId="1" applyNumberFormat="1" applyFont="1" applyFill="1" applyAlignment="1">
      <alignment horizontal="right"/>
    </xf>
    <xf numFmtId="43" fontId="4" fillId="0" borderId="0" xfId="1" applyFont="1" applyFill="1" applyAlignment="1">
      <alignment horizontal="right"/>
    </xf>
    <xf numFmtId="20" fontId="4" fillId="0" borderId="0" xfId="1" applyNumberFormat="1" applyFont="1" applyFill="1" applyAlignment="1">
      <alignment horizontal="right"/>
    </xf>
    <xf numFmtId="9" fontId="4" fillId="0" borderId="0" xfId="2" applyNumberFormat="1" applyFont="1" applyAlignment="1">
      <alignment horizontal="right"/>
    </xf>
    <xf numFmtId="167" fontId="4" fillId="0" borderId="0" xfId="1" applyNumberFormat="1" applyFont="1" applyAlignment="1">
      <alignment horizontal="right"/>
    </xf>
    <xf numFmtId="43" fontId="4" fillId="0" borderId="0" xfId="1" applyFont="1" applyFill="1"/>
    <xf numFmtId="165" fontId="4" fillId="0" borderId="0" xfId="0" applyNumberFormat="1" applyFont="1" applyFill="1"/>
    <xf numFmtId="167" fontId="4" fillId="0" borderId="0" xfId="1" applyNumberFormat="1" applyFont="1" applyFill="1"/>
    <xf numFmtId="165" fontId="4" fillId="0" borderId="0" xfId="1" applyNumberFormat="1" applyFont="1" applyFill="1" applyBorder="1" applyAlignment="1">
      <alignment horizontal="right"/>
    </xf>
    <xf numFmtId="165" fontId="4" fillId="0" borderId="5" xfId="1" applyNumberFormat="1" applyFont="1" applyFill="1" applyBorder="1" applyAlignment="1">
      <alignment horizontal="right"/>
    </xf>
    <xf numFmtId="165" fontId="4" fillId="0" borderId="5" xfId="1" applyNumberFormat="1" applyFont="1" applyBorder="1" applyAlignment="1">
      <alignment horizontal="right"/>
    </xf>
    <xf numFmtId="9" fontId="4" fillId="0" borderId="7" xfId="2" applyFont="1" applyFill="1" applyBorder="1" applyAlignment="1">
      <alignment horizontal="right"/>
    </xf>
    <xf numFmtId="0" fontId="57" fillId="0" borderId="0" xfId="0" applyFont="1" applyFill="1" applyBorder="1" applyAlignment="1">
      <alignment horizontal="left"/>
    </xf>
    <xf numFmtId="164" fontId="59" fillId="0" borderId="0" xfId="1" quotePrefix="1" applyNumberFormat="1" applyFont="1" applyFill="1" applyBorder="1" applyAlignment="1">
      <alignment horizontal="right"/>
    </xf>
    <xf numFmtId="164" fontId="59" fillId="0" borderId="0" xfId="1" quotePrefix="1" applyNumberFormat="1" applyFont="1" applyBorder="1" applyAlignment="1">
      <alignment horizontal="right"/>
    </xf>
    <xf numFmtId="164" fontId="59" fillId="0" borderId="5" xfId="1" quotePrefix="1" applyNumberFormat="1" applyFont="1" applyFill="1" applyBorder="1" applyAlignment="1">
      <alignment horizontal="right"/>
    </xf>
    <xf numFmtId="165" fontId="4" fillId="0" borderId="0" xfId="1" quotePrefix="1" applyNumberFormat="1" applyFont="1" applyFill="1" applyBorder="1" applyAlignment="1">
      <alignment horizontal="right"/>
    </xf>
    <xf numFmtId="165" fontId="4" fillId="0" borderId="5" xfId="1" quotePrefix="1" applyNumberFormat="1" applyFont="1" applyBorder="1" applyAlignment="1">
      <alignment horizontal="right"/>
    </xf>
    <xf numFmtId="165" fontId="4" fillId="0" borderId="31" xfId="1" quotePrefix="1" applyNumberFormat="1" applyFont="1" applyBorder="1" applyAlignment="1">
      <alignment horizontal="right"/>
    </xf>
    <xf numFmtId="0" fontId="4" fillId="0" borderId="0" xfId="0" applyFont="1" applyAlignment="1">
      <alignment horizontal="left"/>
    </xf>
    <xf numFmtId="0" fontId="4" fillId="0" borderId="0" xfId="0" applyFont="1" applyFill="1"/>
    <xf numFmtId="165" fontId="4" fillId="0" borderId="5" xfId="1" quotePrefix="1" applyNumberFormat="1" applyFont="1" applyFill="1" applyBorder="1" applyAlignment="1">
      <alignment horizontal="right"/>
    </xf>
    <xf numFmtId="0" fontId="57" fillId="0" borderId="0" xfId="0" applyFont="1"/>
    <xf numFmtId="165" fontId="4" fillId="0" borderId="31" xfId="1" quotePrefix="1" applyNumberFormat="1" applyFont="1" applyFill="1" applyBorder="1" applyAlignment="1">
      <alignment horizontal="right"/>
    </xf>
    <xf numFmtId="9" fontId="4" fillId="0" borderId="5" xfId="2" quotePrefix="1" applyFont="1" applyBorder="1" applyAlignment="1">
      <alignment horizontal="right"/>
    </xf>
    <xf numFmtId="9" fontId="4" fillId="0" borderId="0" xfId="2" quotePrefix="1" applyFont="1" applyFill="1" applyBorder="1" applyAlignment="1">
      <alignment horizontal="right"/>
    </xf>
    <xf numFmtId="0" fontId="4" fillId="0" borderId="0" xfId="0" applyFont="1" applyBorder="1"/>
    <xf numFmtId="9" fontId="4" fillId="0" borderId="0" xfId="2" applyFont="1" applyBorder="1" applyAlignment="1">
      <alignment horizontal="right"/>
    </xf>
    <xf numFmtId="9" fontId="4" fillId="0" borderId="5" xfId="2" applyFont="1" applyBorder="1" applyAlignment="1">
      <alignment horizontal="right"/>
    </xf>
    <xf numFmtId="9" fontId="4" fillId="0" borderId="0" xfId="2" applyFont="1" applyFill="1" applyBorder="1" applyAlignment="1">
      <alignment horizontal="right"/>
    </xf>
    <xf numFmtId="9" fontId="4" fillId="0" borderId="8" xfId="2" applyFont="1" applyFill="1" applyBorder="1" applyAlignment="1">
      <alignment horizontal="right"/>
    </xf>
    <xf numFmtId="164" fontId="4" fillId="0" borderId="0" xfId="1" applyNumberFormat="1" applyFont="1" applyFill="1" applyAlignment="1">
      <alignment horizontal="right"/>
    </xf>
    <xf numFmtId="164" fontId="57" fillId="0" borderId="0" xfId="1" quotePrefix="1" applyNumberFormat="1" applyFont="1" applyFill="1" applyBorder="1" applyAlignment="1">
      <alignment horizontal="right"/>
    </xf>
    <xf numFmtId="164" fontId="4" fillId="0" borderId="0" xfId="1" applyNumberFormat="1" applyFont="1" applyBorder="1" applyAlignment="1">
      <alignment horizontal="right"/>
    </xf>
    <xf numFmtId="0" fontId="4" fillId="0" borderId="0" xfId="0" applyFont="1" applyBorder="1" applyAlignment="1">
      <alignment horizontal="right"/>
    </xf>
    <xf numFmtId="43" fontId="57" fillId="0" borderId="0" xfId="1" quotePrefix="1" applyNumberFormat="1" applyFont="1" applyBorder="1" applyAlignment="1">
      <alignment horizontal="right"/>
    </xf>
    <xf numFmtId="43" fontId="57" fillId="0" borderId="0" xfId="1" quotePrefix="1" applyNumberFormat="1" applyFont="1" applyFill="1" applyBorder="1" applyAlignment="1">
      <alignment horizontal="right"/>
    </xf>
    <xf numFmtId="167" fontId="4" fillId="0" borderId="0" xfId="1" applyNumberFormat="1" applyFont="1" applyBorder="1" applyAlignment="1">
      <alignment horizontal="right"/>
    </xf>
    <xf numFmtId="43" fontId="4" fillId="0" borderId="0" xfId="1" applyFont="1"/>
    <xf numFmtId="165" fontId="4" fillId="0" borderId="0" xfId="1" applyNumberFormat="1" applyFont="1" applyBorder="1" applyAlignment="1">
      <alignment horizontal="right"/>
    </xf>
    <xf numFmtId="165" fontId="4" fillId="0" borderId="33" xfId="1" applyNumberFormat="1" applyFont="1" applyBorder="1" applyAlignment="1">
      <alignment horizontal="right"/>
    </xf>
    <xf numFmtId="165" fontId="4" fillId="0" borderId="34" xfId="1" applyNumberFormat="1" applyFont="1" applyBorder="1" applyAlignment="1">
      <alignment horizontal="right"/>
    </xf>
    <xf numFmtId="164" fontId="59" fillId="0" borderId="5" xfId="1" quotePrefix="1" applyNumberFormat="1" applyFont="1" applyBorder="1" applyAlignment="1">
      <alignment horizontal="right"/>
    </xf>
    <xf numFmtId="166" fontId="4" fillId="0" borderId="5" xfId="2" quotePrefix="1" applyNumberFormat="1" applyFont="1" applyBorder="1" applyAlignment="1">
      <alignment horizontal="right"/>
    </xf>
    <xf numFmtId="0" fontId="60" fillId="0" borderId="4" xfId="0" applyFont="1" applyFill="1" applyBorder="1" applyAlignment="1">
      <alignment horizontal="left"/>
    </xf>
    <xf numFmtId="164" fontId="4" fillId="0" borderId="5" xfId="1" quotePrefix="1" applyNumberFormat="1" applyFont="1" applyFill="1" applyBorder="1" applyAlignment="1">
      <alignment horizontal="right"/>
    </xf>
    <xf numFmtId="9" fontId="4" fillId="0" borderId="0" xfId="2" applyFont="1" applyAlignment="1">
      <alignment horizontal="right"/>
    </xf>
    <xf numFmtId="164" fontId="4" fillId="0" borderId="0" xfId="1" applyNumberFormat="1" applyFont="1" applyFill="1" applyAlignment="1">
      <alignment horizontal="left"/>
    </xf>
    <xf numFmtId="165" fontId="4" fillId="0" borderId="2" xfId="1" applyNumberFormat="1" applyFont="1" applyBorder="1" applyAlignment="1">
      <alignment horizontal="right"/>
    </xf>
    <xf numFmtId="165" fontId="4" fillId="0" borderId="2" xfId="1" applyNumberFormat="1" applyFont="1" applyFill="1" applyBorder="1" applyAlignment="1">
      <alignment horizontal="right"/>
    </xf>
    <xf numFmtId="0" fontId="4" fillId="0" borderId="0" xfId="0" applyFont="1" applyBorder="1" applyAlignment="1">
      <alignment horizontal="left"/>
    </xf>
    <xf numFmtId="9" fontId="4" fillId="0" borderId="5" xfId="2" quotePrefix="1" applyFont="1" applyFill="1" applyBorder="1" applyAlignment="1">
      <alignment horizontal="right"/>
    </xf>
    <xf numFmtId="164" fontId="59" fillId="0" borderId="2" xfId="1" quotePrefix="1" applyNumberFormat="1" applyFont="1" applyFill="1" applyBorder="1" applyAlignment="1">
      <alignment horizontal="right"/>
    </xf>
    <xf numFmtId="9" fontId="57" fillId="0" borderId="2" xfId="2" quotePrefix="1" applyFont="1" applyFill="1" applyBorder="1" applyAlignment="1">
      <alignment horizontal="right"/>
    </xf>
    <xf numFmtId="164" fontId="4" fillId="0" borderId="4" xfId="1" applyNumberFormat="1" applyFont="1" applyBorder="1" applyAlignment="1">
      <alignment horizontal="right"/>
    </xf>
    <xf numFmtId="0" fontId="4" fillId="0" borderId="0" xfId="0" applyFont="1" applyBorder="1" applyAlignment="1">
      <alignment vertical="top" wrapText="1"/>
    </xf>
    <xf numFmtId="164" fontId="56" fillId="3" borderId="0" xfId="1" quotePrefix="1" applyNumberFormat="1" applyFont="1" applyFill="1" applyBorder="1" applyAlignment="1">
      <alignment horizontal="right"/>
    </xf>
    <xf numFmtId="164" fontId="61" fillId="2" borderId="2" xfId="1" quotePrefix="1" applyNumberFormat="1" applyFont="1" applyFill="1" applyBorder="1" applyAlignment="1">
      <alignment horizontal="right"/>
    </xf>
    <xf numFmtId="164" fontId="62" fillId="2" borderId="0" xfId="1" quotePrefix="1" applyNumberFormat="1" applyFont="1" applyFill="1" applyBorder="1" applyAlignment="1">
      <alignment horizontal="right"/>
    </xf>
    <xf numFmtId="164" fontId="2" fillId="3" borderId="2" xfId="1" quotePrefix="1" applyNumberFormat="1" applyFont="1" applyFill="1" applyBorder="1" applyAlignment="1">
      <alignment horizontal="right"/>
    </xf>
    <xf numFmtId="165" fontId="65" fillId="0" borderId="0" xfId="1" applyNumberFormat="1" applyFont="1" applyBorder="1" applyAlignment="1">
      <alignment horizontal="right"/>
    </xf>
    <xf numFmtId="165" fontId="65" fillId="0" borderId="5" xfId="1" applyNumberFormat="1" applyFont="1" applyBorder="1" applyAlignment="1">
      <alignment horizontal="right"/>
    </xf>
    <xf numFmtId="0" fontId="66" fillId="0" borderId="3" xfId="0" applyFont="1" applyBorder="1" applyAlignment="1">
      <alignment horizontal="left"/>
    </xf>
    <xf numFmtId="0" fontId="4" fillId="0" borderId="4" xfId="0" applyFont="1" applyBorder="1" applyAlignment="1"/>
    <xf numFmtId="0" fontId="57" fillId="0" borderId="4" xfId="0" applyFont="1" applyBorder="1" applyAlignment="1"/>
    <xf numFmtId="165" fontId="68" fillId="0" borderId="0" xfId="1" applyNumberFormat="1" applyFont="1" applyBorder="1" applyAlignment="1">
      <alignment horizontal="right"/>
    </xf>
    <xf numFmtId="165" fontId="68" fillId="0" borderId="5" xfId="1" applyNumberFormat="1" applyFont="1" applyBorder="1" applyAlignment="1">
      <alignment horizontal="right"/>
    </xf>
    <xf numFmtId="165" fontId="65" fillId="0" borderId="0" xfId="1" applyNumberFormat="1" applyFont="1" applyFill="1" applyBorder="1" applyAlignment="1">
      <alignment horizontal="right"/>
    </xf>
    <xf numFmtId="165" fontId="68" fillId="0" borderId="0" xfId="1" applyNumberFormat="1" applyFont="1" applyFill="1" applyBorder="1" applyAlignment="1">
      <alignment horizontal="right"/>
    </xf>
    <xf numFmtId="0" fontId="67" fillId="0" borderId="4" xfId="0" applyFont="1" applyBorder="1" applyAlignment="1"/>
    <xf numFmtId="165" fontId="56" fillId="0" borderId="5" xfId="1" applyNumberFormat="1" applyFont="1" applyBorder="1" applyAlignment="1">
      <alignment horizontal="right"/>
    </xf>
    <xf numFmtId="165" fontId="56" fillId="0" borderId="0" xfId="1" applyNumberFormat="1" applyFont="1" applyFill="1" applyBorder="1" applyAlignment="1">
      <alignment horizontal="right"/>
    </xf>
    <xf numFmtId="165" fontId="56" fillId="0" borderId="5" xfId="1" applyNumberFormat="1" applyFont="1" applyFill="1" applyBorder="1" applyAlignment="1">
      <alignment horizontal="right"/>
    </xf>
    <xf numFmtId="0" fontId="67" fillId="0" borderId="0" xfId="0" applyFont="1"/>
    <xf numFmtId="165" fontId="67" fillId="0" borderId="0" xfId="1" applyNumberFormat="1" applyFont="1" applyBorder="1" applyAlignment="1">
      <alignment horizontal="right"/>
    </xf>
    <xf numFmtId="165" fontId="67" fillId="0" borderId="5" xfId="1" applyNumberFormat="1" applyFont="1" applyBorder="1" applyAlignment="1">
      <alignment horizontal="right"/>
    </xf>
    <xf numFmtId="165" fontId="67" fillId="0" borderId="0" xfId="1" applyNumberFormat="1" applyFont="1" applyFill="1" applyBorder="1" applyAlignment="1">
      <alignment horizontal="right"/>
    </xf>
    <xf numFmtId="165" fontId="67" fillId="0" borderId="5" xfId="1" applyNumberFormat="1" applyFont="1" applyFill="1" applyBorder="1" applyAlignment="1">
      <alignment horizontal="right"/>
    </xf>
    <xf numFmtId="0" fontId="65" fillId="0" borderId="0" xfId="0" applyFont="1"/>
    <xf numFmtId="165" fontId="65" fillId="0" borderId="5" xfId="1" applyNumberFormat="1" applyFont="1" applyFill="1" applyBorder="1" applyAlignment="1">
      <alignment horizontal="right"/>
    </xf>
    <xf numFmtId="43" fontId="67" fillId="0" borderId="0" xfId="1" applyNumberFormat="1" applyFont="1" applyFill="1" applyBorder="1" applyAlignment="1">
      <alignment horizontal="right"/>
    </xf>
    <xf numFmtId="43" fontId="67" fillId="0" borderId="5" xfId="1" applyNumberFormat="1" applyFont="1" applyFill="1" applyBorder="1" applyAlignment="1">
      <alignment horizontal="right"/>
    </xf>
    <xf numFmtId="43" fontId="65" fillId="0" borderId="0" xfId="1" applyNumberFormat="1" applyFont="1" applyFill="1" applyBorder="1" applyAlignment="1">
      <alignment horizontal="right"/>
    </xf>
    <xf numFmtId="43" fontId="65" fillId="0" borderId="5" xfId="1" applyNumberFormat="1" applyFont="1" applyFill="1" applyBorder="1" applyAlignment="1">
      <alignment horizontal="right"/>
    </xf>
    <xf numFmtId="9" fontId="65" fillId="0" borderId="7" xfId="2" applyFont="1" applyFill="1" applyBorder="1" applyAlignment="1">
      <alignment horizontal="right"/>
    </xf>
    <xf numFmtId="0" fontId="65" fillId="0" borderId="0" xfId="0" applyFont="1" applyFill="1" applyBorder="1" applyAlignment="1">
      <alignment horizontal="left"/>
    </xf>
    <xf numFmtId="0" fontId="67" fillId="0" borderId="14" xfId="0" applyFont="1" applyBorder="1" applyAlignment="1">
      <alignment horizontal="left"/>
    </xf>
    <xf numFmtId="0" fontId="67" fillId="0" borderId="15" xfId="0" applyFont="1" applyBorder="1" applyAlignment="1">
      <alignment horizontal="left"/>
    </xf>
    <xf numFmtId="165" fontId="57" fillId="0" borderId="31" xfId="1" quotePrefix="1" applyNumberFormat="1" applyFont="1" applyBorder="1" applyAlignment="1">
      <alignment horizontal="right"/>
    </xf>
    <xf numFmtId="165" fontId="57" fillId="0" borderId="31" xfId="1" quotePrefix="1" applyNumberFormat="1" applyFont="1" applyFill="1" applyBorder="1" applyAlignment="1">
      <alignment horizontal="right"/>
    </xf>
    <xf numFmtId="0" fontId="65" fillId="0" borderId="3" xfId="0" applyFont="1" applyBorder="1" applyAlignment="1">
      <alignment horizontal="left" indent="1"/>
    </xf>
    <xf numFmtId="41" fontId="65" fillId="0" borderId="0" xfId="1" quotePrefix="1" applyNumberFormat="1" applyFont="1" applyBorder="1" applyAlignment="1">
      <alignment horizontal="right"/>
    </xf>
    <xf numFmtId="41" fontId="67" fillId="0" borderId="0" xfId="1" quotePrefix="1" applyNumberFormat="1" applyFont="1" applyFill="1" applyBorder="1" applyAlignment="1">
      <alignment horizontal="right"/>
    </xf>
    <xf numFmtId="164" fontId="59" fillId="12" borderId="0" xfId="1" quotePrefix="1" applyNumberFormat="1" applyFont="1" applyFill="1" applyBorder="1" applyAlignment="1">
      <alignment horizontal="right"/>
    </xf>
    <xf numFmtId="0" fontId="65" fillId="12" borderId="3" xfId="0" applyFont="1" applyFill="1" applyBorder="1" applyAlignment="1">
      <alignment horizontal="left" indent="1"/>
    </xf>
    <xf numFmtId="0" fontId="65" fillId="12" borderId="4" xfId="0" applyFont="1" applyFill="1" applyBorder="1" applyAlignment="1">
      <alignment horizontal="left"/>
    </xf>
    <xf numFmtId="41" fontId="65" fillId="12" borderId="0" xfId="1" quotePrefix="1" applyNumberFormat="1" applyFont="1" applyFill="1" applyBorder="1" applyAlignment="1">
      <alignment horizontal="right"/>
    </xf>
    <xf numFmtId="7" fontId="65" fillId="12" borderId="0" xfId="1" quotePrefix="1" applyNumberFormat="1" applyFont="1" applyFill="1" applyBorder="1" applyAlignment="1">
      <alignment horizontal="right"/>
    </xf>
    <xf numFmtId="0" fontId="67" fillId="12" borderId="15" xfId="0" applyFont="1" applyFill="1" applyBorder="1" applyAlignment="1">
      <alignment horizontal="left"/>
    </xf>
    <xf numFmtId="0" fontId="67" fillId="12" borderId="14" xfId="0" applyFont="1" applyFill="1" applyBorder="1" applyAlignment="1">
      <alignment horizontal="left"/>
    </xf>
    <xf numFmtId="164" fontId="59" fillId="0" borderId="50" xfId="1" quotePrefix="1" applyNumberFormat="1" applyFont="1" applyBorder="1" applyAlignment="1">
      <alignment horizontal="right"/>
    </xf>
    <xf numFmtId="0" fontId="67" fillId="12" borderId="4" xfId="0" applyFont="1" applyFill="1" applyBorder="1" applyAlignment="1">
      <alignment horizontal="left"/>
    </xf>
    <xf numFmtId="0" fontId="67" fillId="12" borderId="3" xfId="0" applyFont="1" applyFill="1" applyBorder="1" applyAlignment="1">
      <alignment horizontal="left"/>
    </xf>
    <xf numFmtId="165" fontId="4" fillId="12" borderId="5" xfId="1" quotePrefix="1" applyNumberFormat="1" applyFont="1" applyFill="1" applyBorder="1" applyAlignment="1">
      <alignment horizontal="right"/>
    </xf>
    <xf numFmtId="165" fontId="4" fillId="12" borderId="31" xfId="1" quotePrefix="1" applyNumberFormat="1" applyFont="1" applyFill="1" applyBorder="1" applyAlignment="1">
      <alignment horizontal="right"/>
    </xf>
    <xf numFmtId="165" fontId="4" fillId="12" borderId="51" xfId="1" quotePrefix="1" applyNumberFormat="1" applyFont="1" applyFill="1" applyBorder="1" applyAlignment="1">
      <alignment horizontal="right"/>
    </xf>
    <xf numFmtId="165" fontId="65" fillId="0" borderId="0" xfId="1" quotePrefix="1" applyNumberFormat="1" applyFont="1" applyFill="1" applyBorder="1" applyAlignment="1">
      <alignment horizontal="right"/>
    </xf>
    <xf numFmtId="165" fontId="65" fillId="10" borderId="0" xfId="1" quotePrefix="1" applyNumberFormat="1" applyFont="1" applyFill="1" applyBorder="1" applyAlignment="1">
      <alignment horizontal="right"/>
    </xf>
    <xf numFmtId="0" fontId="65" fillId="0" borderId="3" xfId="0" applyFont="1" applyBorder="1" applyAlignment="1">
      <alignment horizontal="left" indent="3"/>
    </xf>
    <xf numFmtId="9" fontId="65" fillId="10" borderId="0" xfId="2" quotePrefix="1" applyFont="1" applyFill="1" applyBorder="1" applyAlignment="1">
      <alignment horizontal="right"/>
    </xf>
    <xf numFmtId="7" fontId="65" fillId="0" borderId="0" xfId="1" quotePrefix="1" applyNumberFormat="1" applyFont="1" applyFill="1" applyBorder="1" applyAlignment="1">
      <alignment horizontal="right"/>
    </xf>
    <xf numFmtId="41" fontId="67" fillId="0" borderId="32" xfId="1" quotePrefix="1" applyNumberFormat="1" applyFont="1" applyFill="1" applyBorder="1" applyAlignment="1">
      <alignment horizontal="right"/>
    </xf>
    <xf numFmtId="0" fontId="65" fillId="12" borderId="3" xfId="0" applyFont="1" applyFill="1" applyBorder="1" applyAlignment="1">
      <alignment horizontal="left" indent="3"/>
    </xf>
    <xf numFmtId="166" fontId="65" fillId="12" borderId="0" xfId="2" quotePrefix="1" applyNumberFormat="1" applyFont="1" applyFill="1" applyBorder="1" applyAlignment="1">
      <alignment horizontal="right"/>
    </xf>
    <xf numFmtId="9" fontId="4" fillId="12" borderId="5" xfId="2" quotePrefix="1" applyFont="1" applyFill="1" applyBorder="1" applyAlignment="1">
      <alignment horizontal="right"/>
    </xf>
    <xf numFmtId="41" fontId="67" fillId="12" borderId="32" xfId="1" quotePrefix="1" applyNumberFormat="1" applyFont="1" applyFill="1" applyBorder="1" applyAlignment="1">
      <alignment horizontal="right"/>
    </xf>
    <xf numFmtId="41" fontId="67" fillId="12" borderId="0" xfId="1" quotePrefix="1" applyNumberFormat="1" applyFont="1" applyFill="1" applyBorder="1" applyAlignment="1">
      <alignment horizontal="right"/>
    </xf>
    <xf numFmtId="0" fontId="70" fillId="0" borderId="4" xfId="0" applyFont="1" applyBorder="1" applyAlignment="1">
      <alignment horizontal="left"/>
    </xf>
    <xf numFmtId="0" fontId="65" fillId="0" borderId="3" xfId="3" applyFont="1" applyBorder="1" applyAlignment="1">
      <alignment horizontal="left" vertical="top"/>
    </xf>
    <xf numFmtId="0" fontId="65" fillId="0" borderId="4" xfId="3" applyFont="1" applyBorder="1" applyAlignment="1">
      <alignment horizontal="left" vertical="top"/>
    </xf>
    <xf numFmtId="165" fontId="68" fillId="0" borderId="5" xfId="1" applyNumberFormat="1" applyFont="1" applyFill="1" applyBorder="1" applyAlignment="1">
      <alignment horizontal="right"/>
    </xf>
    <xf numFmtId="165" fontId="67" fillId="0" borderId="7" xfId="1" applyNumberFormat="1" applyFont="1" applyBorder="1" applyAlignment="1">
      <alignment horizontal="right"/>
    </xf>
    <xf numFmtId="165" fontId="67" fillId="0" borderId="8" xfId="1" applyNumberFormat="1" applyFont="1" applyBorder="1" applyAlignment="1">
      <alignment horizontal="right"/>
    </xf>
    <xf numFmtId="165" fontId="67" fillId="0" borderId="7" xfId="1" applyNumberFormat="1" applyFont="1" applyFill="1" applyBorder="1" applyAlignment="1">
      <alignment horizontal="right"/>
    </xf>
    <xf numFmtId="165" fontId="72" fillId="0" borderId="0" xfId="1" quotePrefix="1" applyNumberFormat="1" applyFont="1" applyFill="1" applyBorder="1" applyAlignment="1">
      <alignment horizontal="right"/>
    </xf>
    <xf numFmtId="165" fontId="4" fillId="12" borderId="0" xfId="1" quotePrefix="1" applyNumberFormat="1" applyFont="1" applyFill="1" applyBorder="1" applyAlignment="1">
      <alignment horizontal="right"/>
    </xf>
    <xf numFmtId="0" fontId="65" fillId="12" borderId="3" xfId="0" applyFont="1" applyFill="1" applyBorder="1" applyAlignment="1">
      <alignment horizontal="left" indent="2"/>
    </xf>
    <xf numFmtId="0" fontId="67" fillId="12" borderId="14" xfId="0" applyFont="1" applyFill="1" applyBorder="1" applyAlignment="1">
      <alignment horizontal="left" indent="2"/>
    </xf>
    <xf numFmtId="0" fontId="65" fillId="12" borderId="27" xfId="0" applyFont="1" applyFill="1" applyBorder="1" applyAlignment="1">
      <alignment horizontal="left" indent="2"/>
    </xf>
    <xf numFmtId="0" fontId="65" fillId="12" borderId="28" xfId="0" applyFont="1" applyFill="1" applyBorder="1" applyAlignment="1">
      <alignment horizontal="left"/>
    </xf>
    <xf numFmtId="41" fontId="65" fillId="12" borderId="33" xfId="1" quotePrefix="1" applyNumberFormat="1" applyFont="1" applyFill="1" applyBorder="1" applyAlignment="1">
      <alignment horizontal="right"/>
    </xf>
    <xf numFmtId="0" fontId="67" fillId="12" borderId="3" xfId="0" applyFont="1" applyFill="1" applyBorder="1" applyAlignment="1">
      <alignment horizontal="left" indent="2"/>
    </xf>
    <xf numFmtId="165" fontId="4" fillId="12" borderId="34" xfId="1" quotePrefix="1" applyNumberFormat="1" applyFont="1" applyFill="1" applyBorder="1" applyAlignment="1">
      <alignment horizontal="right"/>
    </xf>
    <xf numFmtId="166" fontId="65" fillId="0" borderId="0" xfId="2" quotePrefix="1" applyNumberFormat="1" applyFont="1" applyFill="1" applyBorder="1" applyAlignment="1">
      <alignment horizontal="right"/>
    </xf>
    <xf numFmtId="0" fontId="67" fillId="0" borderId="15" xfId="0" applyFont="1" applyFill="1" applyBorder="1" applyAlignment="1">
      <alignment horizontal="left"/>
    </xf>
    <xf numFmtId="165" fontId="65" fillId="12" borderId="0" xfId="1" quotePrefix="1" applyNumberFormat="1" applyFont="1" applyFill="1" applyBorder="1" applyAlignment="1">
      <alignment horizontal="right"/>
    </xf>
    <xf numFmtId="165" fontId="67" fillId="12" borderId="0" xfId="1" quotePrefix="1" applyNumberFormat="1" applyFont="1" applyFill="1" applyBorder="1" applyAlignment="1">
      <alignment horizontal="right"/>
    </xf>
    <xf numFmtId="165" fontId="65" fillId="0" borderId="5" xfId="1" quotePrefix="1" applyNumberFormat="1" applyFont="1" applyFill="1" applyBorder="1" applyAlignment="1">
      <alignment horizontal="right"/>
    </xf>
    <xf numFmtId="0" fontId="70" fillId="12" borderId="4" xfId="0" applyFont="1" applyFill="1" applyBorder="1" applyAlignment="1">
      <alignment horizontal="left"/>
    </xf>
    <xf numFmtId="0" fontId="67" fillId="12" borderId="3" xfId="0" applyFont="1" applyFill="1" applyBorder="1" applyAlignment="1">
      <alignment horizontal="left" indent="1"/>
    </xf>
    <xf numFmtId="165" fontId="57" fillId="12" borderId="5" xfId="1" quotePrefix="1" applyNumberFormat="1" applyFont="1" applyFill="1" applyBorder="1" applyAlignment="1">
      <alignment horizontal="right"/>
    </xf>
    <xf numFmtId="165" fontId="67" fillId="12" borderId="31" xfId="1" quotePrefix="1" applyNumberFormat="1" applyFont="1" applyFill="1" applyBorder="1" applyAlignment="1">
      <alignment horizontal="right"/>
    </xf>
    <xf numFmtId="0" fontId="70" fillId="0" borderId="4" xfId="0" applyFont="1" applyFill="1" applyBorder="1" applyAlignment="1">
      <alignment horizontal="left"/>
    </xf>
    <xf numFmtId="165" fontId="65" fillId="0" borderId="31" xfId="1" quotePrefix="1" applyNumberFormat="1" applyFont="1" applyFill="1" applyBorder="1" applyAlignment="1">
      <alignment horizontal="right"/>
    </xf>
    <xf numFmtId="166" fontId="65" fillId="10" borderId="0" xfId="2" quotePrefix="1" applyNumberFormat="1" applyFont="1" applyFill="1" applyBorder="1" applyAlignment="1">
      <alignment horizontal="right"/>
    </xf>
    <xf numFmtId="0" fontId="65" fillId="12" borderId="3" xfId="0" applyFont="1" applyFill="1" applyBorder="1" applyAlignment="1">
      <alignment horizontal="left"/>
    </xf>
    <xf numFmtId="166" fontId="4" fillId="12" borderId="5" xfId="2" quotePrefix="1" applyNumberFormat="1" applyFont="1" applyFill="1" applyBorder="1" applyAlignment="1">
      <alignment horizontal="right"/>
    </xf>
    <xf numFmtId="0" fontId="69" fillId="12" borderId="27" xfId="0" applyFont="1" applyFill="1" applyBorder="1" applyAlignment="1">
      <alignment horizontal="left"/>
    </xf>
    <xf numFmtId="0" fontId="67" fillId="12" borderId="53" xfId="0" applyFont="1" applyFill="1" applyBorder="1" applyAlignment="1">
      <alignment horizontal="left"/>
    </xf>
    <xf numFmtId="166" fontId="67" fillId="12" borderId="54" xfId="2" quotePrefix="1" applyNumberFormat="1" applyFont="1" applyFill="1" applyBorder="1" applyAlignment="1">
      <alignment horizontal="right"/>
    </xf>
    <xf numFmtId="227" fontId="71" fillId="10" borderId="0" xfId="1" quotePrefix="1" applyNumberFormat="1" applyFont="1" applyFill="1" applyBorder="1" applyAlignment="1">
      <alignment horizontal="right"/>
    </xf>
    <xf numFmtId="165" fontId="67" fillId="10" borderId="0" xfId="1" quotePrefix="1" applyNumberFormat="1" applyFont="1" applyFill="1" applyBorder="1" applyAlignment="1">
      <alignment horizontal="right"/>
    </xf>
    <xf numFmtId="9" fontId="65" fillId="12" borderId="33" xfId="2" quotePrefix="1" applyFont="1" applyFill="1" applyBorder="1" applyAlignment="1">
      <alignment horizontal="right"/>
    </xf>
    <xf numFmtId="9" fontId="65" fillId="0" borderId="0" xfId="2" quotePrefix="1" applyFont="1" applyFill="1" applyBorder="1" applyAlignment="1">
      <alignment horizontal="right"/>
    </xf>
    <xf numFmtId="165" fontId="72" fillId="0" borderId="5" xfId="1" quotePrefix="1" applyNumberFormat="1" applyFont="1" applyFill="1" applyBorder="1" applyAlignment="1">
      <alignment horizontal="right"/>
    </xf>
    <xf numFmtId="165" fontId="72" fillId="0" borderId="0" xfId="2" applyNumberFormat="1" applyFont="1" applyFill="1" applyBorder="1" applyAlignment="1">
      <alignment horizontal="right"/>
    </xf>
    <xf numFmtId="165" fontId="67" fillId="0" borderId="0" xfId="1" quotePrefix="1" applyNumberFormat="1" applyFont="1" applyFill="1" applyBorder="1" applyAlignment="1">
      <alignment horizontal="right"/>
    </xf>
    <xf numFmtId="165" fontId="67" fillId="12" borderId="5" xfId="1" quotePrefix="1" applyNumberFormat="1" applyFont="1" applyFill="1" applyBorder="1" applyAlignment="1">
      <alignment horizontal="right"/>
    </xf>
    <xf numFmtId="165" fontId="65" fillId="0" borderId="0" xfId="2" quotePrefix="1" applyNumberFormat="1" applyFont="1" applyFill="1" applyBorder="1" applyAlignment="1">
      <alignment horizontal="right"/>
    </xf>
    <xf numFmtId="166" fontId="67" fillId="12" borderId="32" xfId="2" quotePrefix="1" applyNumberFormat="1" applyFont="1" applyFill="1" applyBorder="1" applyAlignment="1">
      <alignment horizontal="right"/>
    </xf>
    <xf numFmtId="166" fontId="65" fillId="0" borderId="0" xfId="2" applyNumberFormat="1" applyFont="1" applyFill="1" applyBorder="1" applyAlignment="1">
      <alignment horizontal="right"/>
    </xf>
    <xf numFmtId="0" fontId="4" fillId="0" borderId="0" xfId="0" applyFont="1" applyFill="1" applyBorder="1"/>
    <xf numFmtId="0" fontId="76" fillId="0" borderId="0" xfId="0" applyFont="1" applyFill="1"/>
    <xf numFmtId="0" fontId="57" fillId="0" borderId="0" xfId="0" applyFont="1" applyFill="1"/>
    <xf numFmtId="165" fontId="67" fillId="0" borderId="5" xfId="1" quotePrefix="1" applyNumberFormat="1" applyFont="1" applyFill="1" applyBorder="1" applyAlignment="1">
      <alignment horizontal="right"/>
    </xf>
    <xf numFmtId="165" fontId="68" fillId="0" borderId="0" xfId="1" quotePrefix="1" applyNumberFormat="1" applyFont="1" applyFill="1" applyBorder="1" applyAlignment="1">
      <alignment horizontal="right"/>
    </xf>
    <xf numFmtId="165" fontId="68" fillId="0" borderId="5" xfId="1" quotePrefix="1" applyNumberFormat="1" applyFont="1" applyFill="1" applyBorder="1" applyAlignment="1">
      <alignment horizontal="right"/>
    </xf>
    <xf numFmtId="0" fontId="75" fillId="0" borderId="3" xfId="0" applyFont="1" applyBorder="1" applyAlignment="1">
      <alignment horizontal="left"/>
    </xf>
    <xf numFmtId="165" fontId="4" fillId="0" borderId="34" xfId="1" quotePrefix="1" applyNumberFormat="1" applyFont="1" applyFill="1" applyBorder="1" applyAlignment="1">
      <alignment horizontal="right"/>
    </xf>
    <xf numFmtId="165" fontId="65" fillId="0" borderId="33" xfId="1" quotePrefix="1" applyNumberFormat="1" applyFont="1" applyFill="1" applyBorder="1" applyAlignment="1">
      <alignment horizontal="right"/>
    </xf>
    <xf numFmtId="165" fontId="65" fillId="0" borderId="34" xfId="1" quotePrefix="1" applyNumberFormat="1" applyFont="1" applyFill="1" applyBorder="1" applyAlignment="1">
      <alignment horizontal="right"/>
    </xf>
    <xf numFmtId="9" fontId="67" fillId="0" borderId="5" xfId="2" quotePrefix="1" applyFont="1" applyFill="1" applyBorder="1" applyAlignment="1">
      <alignment horizontal="right"/>
    </xf>
    <xf numFmtId="10" fontId="67" fillId="0" borderId="0" xfId="2" applyNumberFormat="1" applyFont="1" applyFill="1" applyBorder="1" applyAlignment="1">
      <alignment horizontal="right"/>
    </xf>
    <xf numFmtId="10" fontId="65" fillId="0" borderId="5" xfId="2" applyNumberFormat="1" applyFont="1" applyBorder="1" applyAlignment="1">
      <alignment horizontal="right"/>
    </xf>
    <xf numFmtId="10" fontId="65" fillId="0" borderId="0" xfId="2" applyNumberFormat="1" applyFont="1" applyFill="1" applyBorder="1" applyAlignment="1">
      <alignment horizontal="right"/>
    </xf>
    <xf numFmtId="9" fontId="65" fillId="0" borderId="5" xfId="2" applyFont="1" applyBorder="1" applyAlignment="1">
      <alignment horizontal="right"/>
    </xf>
    <xf numFmtId="166" fontId="65" fillId="0" borderId="5" xfId="2" applyNumberFormat="1" applyFont="1" applyBorder="1" applyAlignment="1">
      <alignment horizontal="right"/>
    </xf>
    <xf numFmtId="166" fontId="65" fillId="0" borderId="5" xfId="2" quotePrefix="1" applyNumberFormat="1" applyFont="1" applyFill="1" applyBorder="1" applyAlignment="1">
      <alignment horizontal="right"/>
    </xf>
    <xf numFmtId="10" fontId="65" fillId="0" borderId="5" xfId="2" quotePrefix="1" applyNumberFormat="1" applyFont="1" applyFill="1" applyBorder="1" applyAlignment="1">
      <alignment horizontal="right"/>
    </xf>
    <xf numFmtId="10" fontId="65" fillId="0" borderId="0" xfId="2" quotePrefix="1" applyNumberFormat="1" applyFont="1" applyFill="1" applyBorder="1" applyAlignment="1">
      <alignment horizontal="right"/>
    </xf>
    <xf numFmtId="225" fontId="65" fillId="0" borderId="5" xfId="2" applyNumberFormat="1" applyFont="1" applyBorder="1" applyAlignment="1">
      <alignment horizontal="right"/>
    </xf>
    <xf numFmtId="6" fontId="65" fillId="0" borderId="5" xfId="2" applyNumberFormat="1" applyFont="1" applyBorder="1" applyAlignment="1">
      <alignment horizontal="right"/>
    </xf>
    <xf numFmtId="165" fontId="65" fillId="0" borderId="32" xfId="1" quotePrefix="1" applyNumberFormat="1" applyFont="1" applyFill="1" applyBorder="1" applyAlignment="1">
      <alignment horizontal="right"/>
    </xf>
    <xf numFmtId="165" fontId="78" fillId="0" borderId="31" xfId="1" quotePrefix="1" applyNumberFormat="1" applyFont="1" applyFill="1" applyBorder="1" applyAlignment="1">
      <alignment horizontal="right"/>
    </xf>
    <xf numFmtId="165" fontId="65" fillId="10" borderId="5" xfId="1" quotePrefix="1" applyNumberFormat="1" applyFont="1" applyFill="1" applyBorder="1" applyAlignment="1">
      <alignment horizontal="right"/>
    </xf>
    <xf numFmtId="165" fontId="68" fillId="10" borderId="0" xfId="1" quotePrefix="1" applyNumberFormat="1" applyFont="1" applyFill="1" applyBorder="1" applyAlignment="1">
      <alignment horizontal="right"/>
    </xf>
    <xf numFmtId="165" fontId="68" fillId="10" borderId="5" xfId="1" quotePrefix="1" applyNumberFormat="1" applyFont="1" applyFill="1" applyBorder="1" applyAlignment="1">
      <alignment horizontal="right"/>
    </xf>
    <xf numFmtId="10" fontId="65" fillId="10" borderId="5" xfId="2" applyNumberFormat="1" applyFont="1" applyFill="1" applyBorder="1" applyAlignment="1">
      <alignment horizontal="right"/>
    </xf>
    <xf numFmtId="10" fontId="65" fillId="10" borderId="5" xfId="2" quotePrefix="1" applyNumberFormat="1" applyFont="1" applyFill="1" applyBorder="1" applyAlignment="1">
      <alignment horizontal="right"/>
    </xf>
    <xf numFmtId="6" fontId="65" fillId="10" borderId="5" xfId="2" applyNumberFormat="1" applyFont="1" applyFill="1" applyBorder="1" applyAlignment="1">
      <alignment horizontal="right"/>
    </xf>
    <xf numFmtId="225" fontId="67" fillId="0" borderId="0" xfId="1" applyNumberFormat="1" applyFont="1" applyFill="1" applyBorder="1" applyAlignment="1">
      <alignment horizontal="right"/>
    </xf>
    <xf numFmtId="225" fontId="67" fillId="0" borderId="0" xfId="2" applyNumberFormat="1" applyFont="1" applyFill="1" applyBorder="1" applyAlignment="1">
      <alignment horizontal="right"/>
    </xf>
    <xf numFmtId="225" fontId="65" fillId="0" borderId="0" xfId="2" applyNumberFormat="1" applyFont="1" applyFill="1" applyBorder="1" applyAlignment="1">
      <alignment horizontal="right"/>
    </xf>
    <xf numFmtId="225" fontId="67" fillId="0" borderId="0" xfId="1" quotePrefix="1" applyNumberFormat="1" applyFont="1" applyFill="1" applyBorder="1" applyAlignment="1">
      <alignment horizontal="right"/>
    </xf>
    <xf numFmtId="225" fontId="65" fillId="10" borderId="5" xfId="2" applyNumberFormat="1" applyFont="1" applyFill="1" applyBorder="1" applyAlignment="1">
      <alignment horizontal="right"/>
    </xf>
    <xf numFmtId="165" fontId="78" fillId="10" borderId="31" xfId="1" quotePrefix="1" applyNumberFormat="1" applyFont="1" applyFill="1" applyBorder="1" applyAlignment="1">
      <alignment horizontal="right"/>
    </xf>
    <xf numFmtId="0" fontId="65" fillId="0" borderId="0" xfId="0" applyFont="1" applyFill="1"/>
    <xf numFmtId="165" fontId="65" fillId="0" borderId="5" xfId="2" quotePrefix="1" applyNumberFormat="1" applyFont="1" applyFill="1" applyBorder="1" applyAlignment="1">
      <alignment horizontal="right"/>
    </xf>
    <xf numFmtId="6" fontId="65" fillId="0" borderId="5" xfId="2" applyNumberFormat="1" applyFont="1" applyFill="1" applyBorder="1" applyAlignment="1">
      <alignment horizontal="right"/>
    </xf>
    <xf numFmtId="9" fontId="65" fillId="0" borderId="0" xfId="2" applyFont="1" applyBorder="1" applyAlignment="1">
      <alignment horizontal="right"/>
    </xf>
    <xf numFmtId="166" fontId="65" fillId="0" borderId="0" xfId="2" applyNumberFormat="1" applyFont="1" applyBorder="1" applyAlignment="1">
      <alignment horizontal="right"/>
    </xf>
    <xf numFmtId="166" fontId="65" fillId="0" borderId="5" xfId="2" applyNumberFormat="1" applyFont="1" applyFill="1" applyBorder="1" applyAlignment="1">
      <alignment horizontal="right"/>
    </xf>
    <xf numFmtId="0" fontId="65" fillId="0" borderId="3" xfId="0" applyFont="1" applyBorder="1" applyAlignment="1"/>
    <xf numFmtId="164" fontId="65" fillId="0" borderId="0" xfId="1" quotePrefix="1" applyNumberFormat="1" applyFont="1" applyFill="1" applyBorder="1" applyAlignment="1">
      <alignment horizontal="right"/>
    </xf>
    <xf numFmtId="164" fontId="65" fillId="0" borderId="5" xfId="1" quotePrefix="1" applyNumberFormat="1" applyFont="1" applyFill="1" applyBorder="1" applyAlignment="1">
      <alignment horizontal="right"/>
    </xf>
    <xf numFmtId="164" fontId="65" fillId="10" borderId="0" xfId="1" quotePrefix="1" applyNumberFormat="1" applyFont="1" applyFill="1" applyBorder="1" applyAlignment="1">
      <alignment horizontal="right"/>
    </xf>
    <xf numFmtId="167" fontId="65" fillId="0" borderId="5" xfId="1" quotePrefix="1" applyNumberFormat="1" applyFont="1" applyFill="1" applyBorder="1" applyAlignment="1">
      <alignment horizontal="right"/>
    </xf>
    <xf numFmtId="165" fontId="68" fillId="10" borderId="0" xfId="1" applyNumberFormat="1" applyFont="1" applyFill="1" applyBorder="1" applyAlignment="1">
      <alignment horizontal="right"/>
    </xf>
    <xf numFmtId="9" fontId="65" fillId="0" borderId="5" xfId="2" quotePrefix="1" applyFont="1" applyFill="1" applyBorder="1" applyAlignment="1">
      <alignment horizontal="right"/>
    </xf>
    <xf numFmtId="165" fontId="65" fillId="10" borderId="0" xfId="1" applyNumberFormat="1" applyFont="1" applyFill="1" applyBorder="1" applyAlignment="1">
      <alignment horizontal="right"/>
    </xf>
    <xf numFmtId="9" fontId="65" fillId="10" borderId="0" xfId="2" applyFont="1" applyFill="1" applyBorder="1" applyAlignment="1">
      <alignment horizontal="right"/>
    </xf>
    <xf numFmtId="166" fontId="65" fillId="10" borderId="0" xfId="2" applyNumberFormat="1" applyFont="1" applyFill="1" applyBorder="1" applyAlignment="1">
      <alignment horizontal="right"/>
    </xf>
    <xf numFmtId="166" fontId="65" fillId="0" borderId="33" xfId="2" quotePrefix="1" applyNumberFormat="1" applyFont="1" applyFill="1" applyBorder="1" applyAlignment="1">
      <alignment horizontal="right"/>
    </xf>
    <xf numFmtId="43" fontId="65" fillId="10" borderId="0" xfId="1" quotePrefix="1" applyNumberFormat="1" applyFont="1" applyFill="1" applyBorder="1" applyAlignment="1">
      <alignment horizontal="right"/>
    </xf>
    <xf numFmtId="0" fontId="75" fillId="0" borderId="3" xfId="3" applyFont="1" applyFill="1" applyBorder="1" applyAlignment="1">
      <alignment horizontal="left" vertical="top"/>
    </xf>
    <xf numFmtId="0" fontId="65" fillId="0" borderId="3" xfId="3" applyFont="1" applyFill="1" applyBorder="1" applyAlignment="1">
      <alignment horizontal="left" vertical="top" indent="1"/>
    </xf>
    <xf numFmtId="0" fontId="65" fillId="0" borderId="3" xfId="0" applyFont="1" applyFill="1" applyBorder="1" applyAlignment="1">
      <alignment horizontal="left" indent="2"/>
    </xf>
    <xf numFmtId="165" fontId="65" fillId="10" borderId="5" xfId="2" quotePrefix="1" applyNumberFormat="1" applyFont="1" applyFill="1" applyBorder="1" applyAlignment="1">
      <alignment horizontal="right"/>
    </xf>
    <xf numFmtId="0" fontId="65" fillId="0" borderId="27" xfId="0" applyFont="1" applyBorder="1" applyAlignment="1">
      <alignment horizontal="left" indent="1"/>
    </xf>
    <xf numFmtId="0" fontId="65" fillId="0" borderId="3" xfId="0" applyFont="1" applyFill="1" applyBorder="1" applyAlignment="1">
      <alignment horizontal="left" indent="3"/>
    </xf>
    <xf numFmtId="165" fontId="65" fillId="10" borderId="33" xfId="1" quotePrefix="1" applyNumberFormat="1" applyFont="1" applyFill="1" applyBorder="1" applyAlignment="1">
      <alignment horizontal="right"/>
    </xf>
    <xf numFmtId="165" fontId="57" fillId="0" borderId="9" xfId="1" applyNumberFormat="1" applyFont="1" applyFill="1" applyBorder="1" applyAlignment="1">
      <alignment horizontal="right"/>
    </xf>
    <xf numFmtId="0" fontId="69" fillId="0" borderId="27" xfId="0" applyFont="1" applyFill="1" applyBorder="1" applyAlignment="1">
      <alignment horizontal="left"/>
    </xf>
    <xf numFmtId="7" fontId="65" fillId="0" borderId="0" xfId="1" applyNumberFormat="1" applyFont="1" applyFill="1" applyBorder="1" applyAlignment="1">
      <alignment horizontal="right"/>
    </xf>
    <xf numFmtId="7" fontId="4" fillId="0" borderId="5" xfId="1" applyNumberFormat="1" applyFont="1" applyFill="1" applyBorder="1" applyAlignment="1">
      <alignment horizontal="right"/>
    </xf>
    <xf numFmtId="7" fontId="65" fillId="10" borderId="0" xfId="1" applyNumberFormat="1" applyFont="1" applyFill="1" applyBorder="1" applyAlignment="1">
      <alignment horizontal="right"/>
    </xf>
    <xf numFmtId="10" fontId="65" fillId="0" borderId="5" xfId="2" applyNumberFormat="1" applyFont="1" applyFill="1" applyBorder="1" applyAlignment="1">
      <alignment horizontal="right"/>
    </xf>
    <xf numFmtId="225" fontId="65" fillId="0" borderId="5" xfId="2" applyNumberFormat="1" applyFont="1" applyFill="1" applyBorder="1" applyAlignment="1">
      <alignment horizontal="right"/>
    </xf>
    <xf numFmtId="164" fontId="65" fillId="0" borderId="5" xfId="1" applyNumberFormat="1" applyFont="1" applyFill="1" applyBorder="1" applyAlignment="1">
      <alignment horizontal="right"/>
    </xf>
    <xf numFmtId="41" fontId="65" fillId="0" borderId="0" xfId="1" quotePrefix="1" applyNumberFormat="1" applyFont="1" applyFill="1" applyBorder="1" applyAlignment="1">
      <alignment horizontal="right"/>
    </xf>
    <xf numFmtId="41" fontId="65" fillId="0" borderId="33" xfId="1" quotePrefix="1" applyNumberFormat="1" applyFont="1" applyFill="1" applyBorder="1" applyAlignment="1">
      <alignment horizontal="right"/>
    </xf>
    <xf numFmtId="165" fontId="73" fillId="0" borderId="0" xfId="1" quotePrefix="1" applyNumberFormat="1" applyFont="1" applyFill="1" applyBorder="1" applyAlignment="1">
      <alignment horizontal="right"/>
    </xf>
    <xf numFmtId="164" fontId="74" fillId="0" borderId="5" xfId="1" quotePrefix="1" applyNumberFormat="1" applyFont="1" applyFill="1" applyBorder="1" applyAlignment="1">
      <alignment horizontal="right"/>
    </xf>
    <xf numFmtId="164" fontId="59" fillId="0" borderId="50" xfId="1" quotePrefix="1" applyNumberFormat="1" applyFont="1" applyFill="1" applyBorder="1" applyAlignment="1">
      <alignment horizontal="right"/>
    </xf>
    <xf numFmtId="165" fontId="67" fillId="0" borderId="32" xfId="1" quotePrefix="1" applyNumberFormat="1" applyFont="1" applyFill="1" applyBorder="1" applyAlignment="1">
      <alignment horizontal="right"/>
    </xf>
    <xf numFmtId="0" fontId="67" fillId="0" borderId="3" xfId="0" applyFont="1" applyBorder="1" applyAlignment="1">
      <alignment horizontal="left" indent="4"/>
    </xf>
    <xf numFmtId="7" fontId="65" fillId="0" borderId="5" xfId="1" applyNumberFormat="1" applyFont="1" applyFill="1" applyBorder="1" applyAlignment="1">
      <alignment horizontal="right"/>
    </xf>
    <xf numFmtId="164" fontId="65" fillId="0" borderId="7" xfId="1" applyNumberFormat="1" applyFont="1" applyFill="1" applyBorder="1" applyAlignment="1">
      <alignment horizontal="right"/>
    </xf>
    <xf numFmtId="164" fontId="65" fillId="0" borderId="8" xfId="1" applyNumberFormat="1" applyFont="1" applyFill="1" applyBorder="1" applyAlignment="1">
      <alignment horizontal="right"/>
    </xf>
    <xf numFmtId="9" fontId="65" fillId="0" borderId="7" xfId="2" applyFont="1" applyFill="1" applyBorder="1" applyAlignment="1">
      <alignment horizontal="left"/>
    </xf>
    <xf numFmtId="166" fontId="65" fillId="0" borderId="7" xfId="2" applyNumberFormat="1" applyFont="1" applyFill="1" applyBorder="1" applyAlignment="1">
      <alignment horizontal="right"/>
    </xf>
    <xf numFmtId="0" fontId="65" fillId="0" borderId="3" xfId="0" applyFont="1" applyFill="1" applyBorder="1"/>
    <xf numFmtId="9" fontId="65" fillId="10" borderId="4" xfId="2" applyNumberFormat="1" applyFont="1" applyFill="1" applyBorder="1" applyAlignment="1">
      <alignment horizontal="right"/>
    </xf>
    <xf numFmtId="165" fontId="65" fillId="0" borderId="33" xfId="1" applyNumberFormat="1" applyFont="1" applyBorder="1" applyAlignment="1">
      <alignment horizontal="right"/>
    </xf>
    <xf numFmtId="43" fontId="65" fillId="0" borderId="7" xfId="1" applyFont="1" applyBorder="1" applyAlignment="1">
      <alignment horizontal="right"/>
    </xf>
    <xf numFmtId="43" fontId="65" fillId="0" borderId="8" xfId="1" applyFont="1" applyBorder="1" applyAlignment="1">
      <alignment horizontal="right"/>
    </xf>
    <xf numFmtId="0" fontId="65" fillId="0" borderId="3" xfId="0" applyFont="1" applyBorder="1"/>
    <xf numFmtId="43" fontId="68" fillId="10" borderId="4" xfId="1" quotePrefix="1" applyNumberFormat="1" applyFont="1" applyFill="1" applyBorder="1" applyAlignment="1">
      <alignment horizontal="right"/>
    </xf>
    <xf numFmtId="165" fontId="65" fillId="0" borderId="7" xfId="1" applyNumberFormat="1" applyFont="1" applyFill="1" applyBorder="1" applyAlignment="1">
      <alignment horizontal="right"/>
    </xf>
    <xf numFmtId="165" fontId="65" fillId="0" borderId="8" xfId="1" applyNumberFormat="1" applyFont="1" applyFill="1" applyBorder="1" applyAlignment="1">
      <alignment horizontal="right"/>
    </xf>
    <xf numFmtId="0" fontId="4" fillId="0" borderId="4" xfId="0" applyFont="1" applyBorder="1" applyAlignment="1">
      <alignment horizontal="left"/>
    </xf>
    <xf numFmtId="0" fontId="65" fillId="0" borderId="3" xfId="0" applyFont="1" applyBorder="1" applyAlignment="1">
      <alignment horizontal="left"/>
    </xf>
    <xf numFmtId="0" fontId="65" fillId="0" borderId="4" xfId="0" applyFont="1" applyBorder="1" applyAlignment="1">
      <alignment horizontal="left"/>
    </xf>
    <xf numFmtId="0" fontId="69" fillId="0" borderId="4" xfId="0" applyFont="1" applyBorder="1" applyAlignment="1">
      <alignment horizontal="left"/>
    </xf>
    <xf numFmtId="0" fontId="67" fillId="0" borderId="3" xfId="0" applyFont="1" applyBorder="1" applyAlignment="1">
      <alignment horizontal="left" indent="1"/>
    </xf>
    <xf numFmtId="0" fontId="67" fillId="0" borderId="4" xfId="0" applyFont="1" applyBorder="1" applyAlignment="1">
      <alignment horizontal="left" indent="1"/>
    </xf>
    <xf numFmtId="0" fontId="65" fillId="0" borderId="3" xfId="0" applyFont="1" applyFill="1" applyBorder="1" applyAlignment="1">
      <alignment horizontal="left"/>
    </xf>
    <xf numFmtId="0" fontId="65" fillId="0" borderId="4" xfId="0" applyFont="1" applyFill="1" applyBorder="1" applyAlignment="1">
      <alignment horizontal="left"/>
    </xf>
    <xf numFmtId="0" fontId="64" fillId="2" borderId="3" xfId="0" applyFont="1" applyFill="1" applyBorder="1" applyAlignment="1">
      <alignment horizontal="left"/>
    </xf>
    <xf numFmtId="0" fontId="69" fillId="12" borderId="4" xfId="0" applyFont="1" applyFill="1" applyBorder="1" applyAlignment="1">
      <alignment horizontal="left"/>
    </xf>
    <xf numFmtId="0" fontId="67" fillId="0" borderId="3" xfId="0" applyFont="1" applyBorder="1" applyAlignment="1">
      <alignment horizontal="left"/>
    </xf>
    <xf numFmtId="0" fontId="67" fillId="0" borderId="4" xfId="0" applyFont="1" applyBorder="1" applyAlignment="1">
      <alignment horizontal="left" indent="2"/>
    </xf>
    <xf numFmtId="0" fontId="65" fillId="0" borderId="3" xfId="0" applyFont="1" applyFill="1" applyBorder="1" applyAlignment="1">
      <alignment horizontal="left" indent="1"/>
    </xf>
    <xf numFmtId="0" fontId="65" fillId="0" borderId="4" xfId="3" applyFont="1" applyFill="1" applyBorder="1" applyAlignment="1">
      <alignment horizontal="left" vertical="top"/>
    </xf>
    <xf numFmtId="0" fontId="65" fillId="0" borderId="27" xfId="0" applyFont="1" applyBorder="1" applyAlignment="1">
      <alignment horizontal="left"/>
    </xf>
    <xf numFmtId="0" fontId="65" fillId="0" borderId="28" xfId="0" applyFont="1" applyBorder="1" applyAlignment="1">
      <alignment horizontal="left"/>
    </xf>
    <xf numFmtId="0" fontId="67" fillId="0" borderId="3" xfId="0" applyFont="1" applyFill="1" applyBorder="1" applyAlignment="1">
      <alignment horizontal="left"/>
    </xf>
    <xf numFmtId="0" fontId="67" fillId="0" borderId="4" xfId="0" applyFont="1" applyFill="1" applyBorder="1" applyAlignment="1">
      <alignment horizontal="left"/>
    </xf>
    <xf numFmtId="0" fontId="65" fillId="0" borderId="3" xfId="0" applyFont="1" applyBorder="1" applyAlignment="1">
      <alignment horizontal="left" indent="2"/>
    </xf>
    <xf numFmtId="0" fontId="65" fillId="0" borderId="4" xfId="0" applyFont="1" applyBorder="1" applyAlignment="1">
      <alignment horizontal="left" indent="2"/>
    </xf>
    <xf numFmtId="0" fontId="65" fillId="0" borderId="6" xfId="0" applyFont="1" applyFill="1" applyBorder="1" applyAlignment="1">
      <alignment horizontal="left"/>
    </xf>
    <xf numFmtId="0" fontId="65" fillId="0" borderId="10" xfId="0" applyFont="1" applyFill="1" applyBorder="1" applyAlignment="1">
      <alignment horizontal="left"/>
    </xf>
    <xf numFmtId="166" fontId="65" fillId="0" borderId="5" xfId="2" quotePrefix="1" applyNumberFormat="1" applyFont="1" applyBorder="1" applyAlignment="1">
      <alignment horizontal="right"/>
    </xf>
    <xf numFmtId="166" fontId="65" fillId="0" borderId="8" xfId="1" applyNumberFormat="1" applyFont="1" applyFill="1" applyBorder="1" applyAlignment="1">
      <alignment horizontal="right"/>
    </xf>
    <xf numFmtId="43" fontId="4" fillId="0" borderId="0" xfId="1" applyNumberFormat="1" applyFont="1" applyBorder="1" applyAlignment="1">
      <alignment horizontal="right"/>
    </xf>
    <xf numFmtId="166" fontId="65" fillId="10" borderId="33" xfId="2" applyNumberFormat="1" applyFont="1" applyFill="1" applyBorder="1" applyAlignment="1">
      <alignment horizontal="right"/>
    </xf>
    <xf numFmtId="9" fontId="65" fillId="10" borderId="7" xfId="2" applyFont="1" applyFill="1" applyBorder="1" applyAlignment="1">
      <alignment horizontal="right"/>
    </xf>
    <xf numFmtId="165" fontId="65" fillId="10" borderId="7" xfId="1" applyNumberFormat="1" applyFont="1" applyFill="1" applyBorder="1" applyAlignment="1">
      <alignment horizontal="right"/>
    </xf>
    <xf numFmtId="0" fontId="65" fillId="0" borderId="27" xfId="0" applyFont="1" applyFill="1" applyBorder="1" applyAlignment="1">
      <alignment horizontal="left" indent="2"/>
    </xf>
    <xf numFmtId="0" fontId="65" fillId="0" borderId="28" xfId="0" applyFont="1" applyFill="1" applyBorder="1" applyAlignment="1">
      <alignment horizontal="left"/>
    </xf>
    <xf numFmtId="0" fontId="67" fillId="0" borderId="3" xfId="0" applyFont="1" applyFill="1" applyBorder="1" applyAlignment="1">
      <alignment horizontal="left" indent="2"/>
    </xf>
    <xf numFmtId="0" fontId="65" fillId="0" borderId="3" xfId="0" applyFont="1" applyFill="1" applyBorder="1" applyAlignment="1">
      <alignment horizontal="left" indent="4"/>
    </xf>
    <xf numFmtId="166" fontId="65" fillId="12" borderId="33" xfId="2" quotePrefix="1" applyNumberFormat="1" applyFont="1" applyFill="1" applyBorder="1" applyAlignment="1">
      <alignment horizontal="right"/>
    </xf>
    <xf numFmtId="227" fontId="71" fillId="12" borderId="0" xfId="1" quotePrefix="1" applyNumberFormat="1" applyFont="1" applyFill="1" applyBorder="1" applyAlignment="1">
      <alignment horizontal="right"/>
    </xf>
    <xf numFmtId="227" fontId="71" fillId="12" borderId="5" xfId="1" quotePrefix="1" applyNumberFormat="1" applyFont="1" applyFill="1" applyBorder="1" applyAlignment="1">
      <alignment horizontal="right"/>
    </xf>
    <xf numFmtId="165" fontId="72" fillId="12" borderId="0" xfId="1" quotePrefix="1" applyNumberFormat="1" applyFont="1" applyFill="1" applyBorder="1" applyAlignment="1">
      <alignment horizontal="right"/>
    </xf>
    <xf numFmtId="9" fontId="65" fillId="12" borderId="0" xfId="2" quotePrefix="1" applyFont="1" applyFill="1" applyBorder="1" applyAlignment="1">
      <alignment horizontal="right"/>
    </xf>
    <xf numFmtId="166" fontId="4" fillId="12" borderId="5" xfId="1" quotePrefix="1" applyNumberFormat="1" applyFont="1" applyFill="1" applyBorder="1" applyAlignment="1">
      <alignment horizontal="right"/>
    </xf>
    <xf numFmtId="166" fontId="67" fillId="12" borderId="0" xfId="2" quotePrefix="1" applyNumberFormat="1" applyFont="1" applyFill="1" applyBorder="1" applyAlignment="1">
      <alignment horizontal="right"/>
    </xf>
    <xf numFmtId="166" fontId="57" fillId="12" borderId="5" xfId="2" quotePrefix="1" applyNumberFormat="1" applyFont="1" applyFill="1" applyBorder="1" applyAlignment="1">
      <alignment horizontal="right"/>
    </xf>
    <xf numFmtId="0" fontId="67" fillId="0" borderId="14" xfId="0" applyFont="1" applyFill="1" applyBorder="1" applyAlignment="1">
      <alignment horizontal="left"/>
    </xf>
    <xf numFmtId="165" fontId="67" fillId="0" borderId="31" xfId="1" quotePrefix="1" applyNumberFormat="1" applyFont="1" applyFill="1" applyBorder="1" applyAlignment="1">
      <alignment horizontal="right"/>
    </xf>
    <xf numFmtId="0" fontId="75" fillId="0" borderId="27" xfId="0" applyFont="1" applyFill="1" applyBorder="1" applyAlignment="1">
      <alignment horizontal="left"/>
    </xf>
    <xf numFmtId="0" fontId="70" fillId="0" borderId="28" xfId="0" applyFont="1" applyFill="1" applyBorder="1" applyAlignment="1">
      <alignment horizontal="left"/>
    </xf>
    <xf numFmtId="165" fontId="55" fillId="0" borderId="33" xfId="1" quotePrefix="1" applyNumberFormat="1" applyFont="1" applyFill="1" applyBorder="1" applyAlignment="1">
      <alignment horizontal="right"/>
    </xf>
    <xf numFmtId="166" fontId="4" fillId="0" borderId="34" xfId="2" quotePrefix="1" applyNumberFormat="1" applyFont="1" applyFill="1" applyBorder="1" applyAlignment="1">
      <alignment horizontal="right"/>
    </xf>
    <xf numFmtId="165" fontId="65" fillId="10" borderId="32" xfId="1" quotePrefix="1" applyNumberFormat="1" applyFont="1" applyFill="1" applyBorder="1" applyAlignment="1">
      <alignment horizontal="right"/>
    </xf>
    <xf numFmtId="0" fontId="75" fillId="12" borderId="27" xfId="0" applyFont="1" applyFill="1" applyBorder="1" applyAlignment="1">
      <alignment horizontal="left"/>
    </xf>
    <xf numFmtId="0" fontId="70" fillId="12" borderId="28" xfId="0" applyFont="1" applyFill="1" applyBorder="1" applyAlignment="1">
      <alignment horizontal="left"/>
    </xf>
    <xf numFmtId="43" fontId="65" fillId="12" borderId="33" xfId="1" quotePrefix="1" applyFont="1" applyFill="1" applyBorder="1" applyAlignment="1">
      <alignment horizontal="right"/>
    </xf>
    <xf numFmtId="165" fontId="65" fillId="12" borderId="34" xfId="1" quotePrefix="1" applyNumberFormat="1" applyFont="1" applyFill="1" applyBorder="1" applyAlignment="1">
      <alignment horizontal="right"/>
    </xf>
    <xf numFmtId="166" fontId="4" fillId="12" borderId="34" xfId="2" quotePrefix="1" applyNumberFormat="1" applyFont="1" applyFill="1" applyBorder="1" applyAlignment="1">
      <alignment horizontal="right"/>
    </xf>
    <xf numFmtId="165" fontId="65" fillId="12" borderId="5" xfId="1" quotePrefix="1" applyNumberFormat="1" applyFont="1" applyFill="1" applyBorder="1" applyAlignment="1">
      <alignment horizontal="right"/>
    </xf>
    <xf numFmtId="0" fontId="77" fillId="12" borderId="3" xfId="0" applyFont="1" applyFill="1" applyBorder="1" applyAlignment="1">
      <alignment horizontal="left"/>
    </xf>
    <xf numFmtId="0" fontId="65" fillId="12" borderId="4" xfId="0" applyFont="1" applyFill="1" applyBorder="1" applyAlignment="1">
      <alignment horizontal="left" indent="1"/>
    </xf>
    <xf numFmtId="0" fontId="76" fillId="12" borderId="3" xfId="0" applyFont="1" applyFill="1" applyBorder="1" applyAlignment="1">
      <alignment horizontal="left" indent="1"/>
    </xf>
    <xf numFmtId="0" fontId="76" fillId="12" borderId="4" xfId="0" applyFont="1" applyFill="1" applyBorder="1" applyAlignment="1">
      <alignment horizontal="left" indent="1"/>
    </xf>
    <xf numFmtId="165" fontId="76" fillId="12" borderId="0" xfId="1" quotePrefix="1" applyNumberFormat="1" applyFont="1" applyFill="1" applyBorder="1" applyAlignment="1">
      <alignment horizontal="right"/>
    </xf>
    <xf numFmtId="165" fontId="76" fillId="12" borderId="5" xfId="1" quotePrefix="1" applyNumberFormat="1" applyFont="1" applyFill="1" applyBorder="1" applyAlignment="1">
      <alignment horizontal="right"/>
    </xf>
    <xf numFmtId="165" fontId="67" fillId="0" borderId="33" xfId="1" quotePrefix="1" applyNumberFormat="1" applyFont="1" applyFill="1" applyBorder="1" applyAlignment="1">
      <alignment horizontal="right"/>
    </xf>
    <xf numFmtId="0" fontId="75" fillId="0" borderId="27" xfId="0" applyFont="1" applyBorder="1" applyAlignment="1">
      <alignment horizontal="left"/>
    </xf>
    <xf numFmtId="165" fontId="67" fillId="0" borderId="33" xfId="1" applyNumberFormat="1" applyFont="1" applyFill="1" applyBorder="1" applyAlignment="1">
      <alignment horizontal="right"/>
    </xf>
    <xf numFmtId="165" fontId="67" fillId="0" borderId="34" xfId="1" applyNumberFormat="1" applyFont="1" applyBorder="1" applyAlignment="1">
      <alignment horizontal="right"/>
    </xf>
    <xf numFmtId="165" fontId="57" fillId="0" borderId="34" xfId="1" quotePrefix="1" applyNumberFormat="1" applyFont="1" applyFill="1" applyBorder="1" applyAlignment="1">
      <alignment horizontal="right"/>
    </xf>
    <xf numFmtId="0" fontId="75" fillId="12" borderId="27" xfId="0" applyFont="1" applyFill="1" applyBorder="1" applyAlignment="1">
      <alignment horizontal="left" indent="1"/>
    </xf>
    <xf numFmtId="165" fontId="67" fillId="12" borderId="33" xfId="1" quotePrefix="1" applyNumberFormat="1" applyFont="1" applyFill="1" applyBorder="1" applyAlignment="1">
      <alignment horizontal="right"/>
    </xf>
    <xf numFmtId="9" fontId="67" fillId="12" borderId="34" xfId="2" quotePrefix="1" applyFont="1" applyFill="1" applyBorder="1" applyAlignment="1">
      <alignment horizontal="right"/>
    </xf>
    <xf numFmtId="165" fontId="65" fillId="12" borderId="33" xfId="1" quotePrefix="1" applyNumberFormat="1" applyFont="1" applyFill="1" applyBorder="1" applyAlignment="1">
      <alignment horizontal="right"/>
    </xf>
    <xf numFmtId="165" fontId="68" fillId="12" borderId="0" xfId="1" quotePrefix="1" applyNumberFormat="1" applyFont="1" applyFill="1" applyBorder="1" applyAlignment="1">
      <alignment horizontal="right"/>
    </xf>
    <xf numFmtId="165" fontId="65" fillId="12" borderId="5" xfId="2" quotePrefix="1" applyNumberFormat="1" applyFont="1" applyFill="1" applyBorder="1" applyAlignment="1">
      <alignment horizontal="right"/>
    </xf>
    <xf numFmtId="165" fontId="68" fillId="12" borderId="5" xfId="1" quotePrefix="1" applyNumberFormat="1" applyFont="1" applyFill="1" applyBorder="1" applyAlignment="1">
      <alignment horizontal="right"/>
    </xf>
    <xf numFmtId="165" fontId="56" fillId="12" borderId="0" xfId="1" quotePrefix="1" applyNumberFormat="1" applyFont="1" applyFill="1" applyBorder="1" applyAlignment="1">
      <alignment horizontal="right"/>
    </xf>
    <xf numFmtId="0" fontId="76" fillId="12" borderId="3" xfId="0" applyFont="1" applyFill="1" applyBorder="1" applyAlignment="1">
      <alignment horizontal="left" indent="3"/>
    </xf>
    <xf numFmtId="43" fontId="76" fillId="12" borderId="31" xfId="1" applyFont="1" applyFill="1" applyBorder="1" applyAlignment="1">
      <alignment horizontal="left" indent="3"/>
    </xf>
    <xf numFmtId="165" fontId="76" fillId="12" borderId="31" xfId="1" applyNumberFormat="1" applyFont="1" applyFill="1" applyBorder="1" applyAlignment="1">
      <alignment horizontal="left" indent="3"/>
    </xf>
    <xf numFmtId="0" fontId="65" fillId="0" borderId="14" xfId="0" applyFont="1" applyBorder="1" applyAlignment="1">
      <alignment horizontal="left" indent="2"/>
    </xf>
    <xf numFmtId="0" fontId="75" fillId="12" borderId="3" xfId="0" applyFont="1" applyFill="1" applyBorder="1" applyAlignment="1">
      <alignment horizontal="left"/>
    </xf>
    <xf numFmtId="0" fontId="66" fillId="12" borderId="3" xfId="0" applyFont="1" applyFill="1" applyBorder="1" applyAlignment="1">
      <alignment horizontal="left" indent="1"/>
    </xf>
    <xf numFmtId="165" fontId="67" fillId="12" borderId="0" xfId="1" applyNumberFormat="1" applyFont="1" applyFill="1" applyBorder="1" applyAlignment="1">
      <alignment horizontal="right"/>
    </xf>
    <xf numFmtId="165" fontId="67" fillId="12" borderId="5" xfId="1" applyNumberFormat="1" applyFont="1" applyFill="1" applyBorder="1" applyAlignment="1">
      <alignment horizontal="right"/>
    </xf>
    <xf numFmtId="166" fontId="65" fillId="12" borderId="33" xfId="2" applyNumberFormat="1" applyFont="1" applyFill="1" applyBorder="1" applyAlignment="1">
      <alignment horizontal="right"/>
    </xf>
    <xf numFmtId="166" fontId="65" fillId="12" borderId="34" xfId="2" applyNumberFormat="1" applyFont="1" applyFill="1" applyBorder="1" applyAlignment="1">
      <alignment horizontal="right"/>
    </xf>
    <xf numFmtId="166" fontId="65" fillId="12" borderId="0" xfId="2" applyNumberFormat="1" applyFont="1" applyFill="1" applyBorder="1" applyAlignment="1">
      <alignment horizontal="right"/>
    </xf>
    <xf numFmtId="166" fontId="4" fillId="12" borderId="0" xfId="2" applyNumberFormat="1" applyFont="1" applyFill="1" applyBorder="1" applyAlignment="1">
      <alignment horizontal="right"/>
    </xf>
    <xf numFmtId="166" fontId="65" fillId="12" borderId="5" xfId="2" applyNumberFormat="1" applyFont="1" applyFill="1" applyBorder="1" applyAlignment="1">
      <alignment horizontal="right"/>
    </xf>
    <xf numFmtId="9" fontId="4" fillId="12" borderId="5" xfId="2" applyFont="1" applyFill="1" applyBorder="1" applyAlignment="1">
      <alignment horizontal="right"/>
    </xf>
    <xf numFmtId="165" fontId="65" fillId="0" borderId="33" xfId="1" applyNumberFormat="1" applyFont="1" applyFill="1" applyBorder="1" applyAlignment="1">
      <alignment horizontal="right"/>
    </xf>
    <xf numFmtId="165" fontId="65" fillId="0" borderId="34" xfId="1" applyNumberFormat="1" applyFont="1" applyBorder="1" applyAlignment="1">
      <alignment horizontal="right"/>
    </xf>
    <xf numFmtId="165" fontId="65" fillId="12" borderId="33" xfId="1" applyNumberFormat="1" applyFont="1" applyFill="1" applyBorder="1" applyAlignment="1">
      <alignment horizontal="right"/>
    </xf>
    <xf numFmtId="165" fontId="65" fillId="12" borderId="34" xfId="1" applyNumberFormat="1" applyFont="1" applyFill="1" applyBorder="1" applyAlignment="1">
      <alignment horizontal="right"/>
    </xf>
    <xf numFmtId="165" fontId="4" fillId="12" borderId="33" xfId="1" applyNumberFormat="1" applyFont="1" applyFill="1" applyBorder="1" applyAlignment="1">
      <alignment horizontal="right"/>
    </xf>
    <xf numFmtId="165" fontId="65" fillId="12" borderId="0" xfId="1" applyNumberFormat="1" applyFont="1" applyFill="1" applyBorder="1" applyAlignment="1">
      <alignment horizontal="right"/>
    </xf>
    <xf numFmtId="165" fontId="65" fillId="12" borderId="5" xfId="1" applyNumberFormat="1" applyFont="1" applyFill="1" applyBorder="1" applyAlignment="1">
      <alignment horizontal="right"/>
    </xf>
    <xf numFmtId="165" fontId="68" fillId="12" borderId="0" xfId="1" applyNumberFormat="1" applyFont="1" applyFill="1" applyBorder="1" applyAlignment="1">
      <alignment horizontal="right"/>
    </xf>
    <xf numFmtId="165" fontId="68" fillId="12" borderId="5" xfId="1" applyNumberFormat="1" applyFont="1" applyFill="1" applyBorder="1" applyAlignment="1">
      <alignment horizontal="right"/>
    </xf>
    <xf numFmtId="0" fontId="65" fillId="12" borderId="3" xfId="3" applyFont="1" applyFill="1" applyBorder="1" applyAlignment="1">
      <alignment horizontal="left" vertical="top"/>
    </xf>
    <xf numFmtId="0" fontId="65" fillId="12" borderId="4" xfId="3" applyFont="1" applyFill="1" applyBorder="1" applyAlignment="1">
      <alignment horizontal="left" vertical="top"/>
    </xf>
    <xf numFmtId="165" fontId="4" fillId="12" borderId="0" xfId="1" applyNumberFormat="1" applyFont="1" applyFill="1" applyBorder="1" applyAlignment="1">
      <alignment horizontal="right"/>
    </xf>
    <xf numFmtId="165" fontId="4" fillId="12" borderId="5" xfId="1" applyNumberFormat="1" applyFont="1" applyFill="1" applyBorder="1" applyAlignment="1">
      <alignment horizontal="right"/>
    </xf>
    <xf numFmtId="165" fontId="65" fillId="12" borderId="32" xfId="1" applyNumberFormat="1" applyFont="1" applyFill="1" applyBorder="1" applyAlignment="1">
      <alignment horizontal="right"/>
    </xf>
    <xf numFmtId="165" fontId="65" fillId="12" borderId="31" xfId="1" applyNumberFormat="1" applyFont="1" applyFill="1" applyBorder="1" applyAlignment="1">
      <alignment horizontal="right"/>
    </xf>
    <xf numFmtId="9" fontId="65" fillId="0" borderId="33" xfId="2" applyFont="1" applyFill="1" applyBorder="1" applyAlignment="1">
      <alignment horizontal="right"/>
    </xf>
    <xf numFmtId="9" fontId="65" fillId="0" borderId="33" xfId="2" applyFont="1" applyBorder="1" applyAlignment="1">
      <alignment horizontal="right"/>
    </xf>
    <xf numFmtId="9" fontId="65" fillId="0" borderId="34" xfId="2" applyFont="1" applyBorder="1" applyAlignment="1">
      <alignment horizontal="right"/>
    </xf>
    <xf numFmtId="9" fontId="65" fillId="10" borderId="33" xfId="2" applyFont="1" applyFill="1" applyBorder="1" applyAlignment="1">
      <alignment horizontal="right"/>
    </xf>
    <xf numFmtId="0" fontId="65" fillId="12" borderId="27" xfId="0" applyFont="1" applyFill="1" applyBorder="1" applyAlignment="1">
      <alignment horizontal="left"/>
    </xf>
    <xf numFmtId="164" fontId="65" fillId="12" borderId="34" xfId="1" quotePrefix="1" applyNumberFormat="1" applyFont="1" applyFill="1" applyBorder="1" applyAlignment="1">
      <alignment horizontal="right"/>
    </xf>
    <xf numFmtId="166" fontId="65" fillId="12" borderId="34" xfId="2" quotePrefix="1" applyNumberFormat="1" applyFont="1" applyFill="1" applyBorder="1" applyAlignment="1">
      <alignment horizontal="right"/>
    </xf>
    <xf numFmtId="164" fontId="65" fillId="12" borderId="0" xfId="1" quotePrefix="1" applyNumberFormat="1" applyFont="1" applyFill="1" applyBorder="1" applyAlignment="1">
      <alignment horizontal="right"/>
    </xf>
    <xf numFmtId="43" fontId="65" fillId="12" borderId="0" xfId="1" quotePrefix="1" applyNumberFormat="1" applyFont="1" applyFill="1" applyBorder="1" applyAlignment="1">
      <alignment horizontal="right"/>
    </xf>
    <xf numFmtId="164" fontId="65" fillId="12" borderId="5" xfId="1" quotePrefix="1" applyNumberFormat="1" applyFont="1" applyFill="1" applyBorder="1" applyAlignment="1">
      <alignment horizontal="right"/>
    </xf>
    <xf numFmtId="43" fontId="65" fillId="12" borderId="5" xfId="1" quotePrefix="1" applyNumberFormat="1" applyFont="1" applyFill="1" applyBorder="1" applyAlignment="1">
      <alignment horizontal="right"/>
    </xf>
    <xf numFmtId="9" fontId="65" fillId="12" borderId="5" xfId="2" applyFont="1" applyFill="1" applyBorder="1" applyAlignment="1">
      <alignment horizontal="right"/>
    </xf>
    <xf numFmtId="166" fontId="65" fillId="12" borderId="5" xfId="2" quotePrefix="1" applyNumberFormat="1" applyFont="1" applyFill="1" applyBorder="1" applyAlignment="1">
      <alignment horizontal="right"/>
    </xf>
    <xf numFmtId="165" fontId="65" fillId="0" borderId="34" xfId="1" applyNumberFormat="1" applyFont="1" applyFill="1" applyBorder="1" applyAlignment="1">
      <alignment horizontal="right"/>
    </xf>
    <xf numFmtId="165" fontId="4" fillId="0" borderId="33" xfId="1" applyNumberFormat="1" applyFont="1" applyFill="1" applyBorder="1" applyAlignment="1">
      <alignment horizontal="right"/>
    </xf>
    <xf numFmtId="165" fontId="65" fillId="10" borderId="33" xfId="1" applyNumberFormat="1" applyFont="1" applyFill="1" applyBorder="1" applyAlignment="1">
      <alignment horizontal="right"/>
    </xf>
    <xf numFmtId="164" fontId="61" fillId="2" borderId="55" xfId="1" quotePrefix="1" applyNumberFormat="1" applyFont="1" applyFill="1" applyBorder="1" applyAlignment="1">
      <alignment horizontal="right"/>
    </xf>
    <xf numFmtId="164" fontId="62" fillId="2" borderId="5" xfId="1" quotePrefix="1" applyNumberFormat="1" applyFont="1" applyFill="1" applyBorder="1" applyAlignment="1">
      <alignment horizontal="right"/>
    </xf>
    <xf numFmtId="9" fontId="65" fillId="0" borderId="8" xfId="2" quotePrefix="1" applyFont="1" applyFill="1" applyBorder="1" applyAlignment="1">
      <alignment horizontal="right"/>
    </xf>
    <xf numFmtId="0" fontId="4" fillId="0" borderId="10" xfId="0" applyFont="1" applyFill="1" applyBorder="1" applyAlignment="1">
      <alignment horizontal="left"/>
    </xf>
    <xf numFmtId="164" fontId="2" fillId="3" borderId="55" xfId="1" quotePrefix="1" applyNumberFormat="1" applyFont="1" applyFill="1" applyBorder="1" applyAlignment="1">
      <alignment horizontal="right"/>
    </xf>
    <xf numFmtId="164" fontId="56" fillId="3" borderId="5" xfId="1" quotePrefix="1" applyNumberFormat="1" applyFont="1" applyFill="1" applyBorder="1" applyAlignment="1">
      <alignment horizontal="right"/>
    </xf>
    <xf numFmtId="0" fontId="64" fillId="2" borderId="4" xfId="0" applyFont="1" applyFill="1" applyBorder="1" applyAlignment="1">
      <alignment horizontal="left"/>
    </xf>
    <xf numFmtId="0" fontId="4" fillId="0" borderId="4" xfId="0" applyFont="1" applyFill="1" applyBorder="1" applyAlignment="1">
      <alignment horizontal="left"/>
    </xf>
    <xf numFmtId="0" fontId="69" fillId="12" borderId="28" xfId="0" applyFont="1" applyFill="1" applyBorder="1" applyAlignment="1">
      <alignment horizontal="left"/>
    </xf>
    <xf numFmtId="0" fontId="71" fillId="0" borderId="28" xfId="0" applyFont="1" applyBorder="1" applyAlignment="1">
      <alignment horizontal="left"/>
    </xf>
    <xf numFmtId="0" fontId="71" fillId="0" borderId="4" xfId="0" applyFont="1" applyBorder="1" applyAlignment="1">
      <alignment horizontal="left"/>
    </xf>
    <xf numFmtId="0" fontId="71" fillId="0" borderId="15" xfId="0" applyFont="1" applyBorder="1" applyAlignment="1">
      <alignment horizontal="left"/>
    </xf>
    <xf numFmtId="0" fontId="69" fillId="0" borderId="28" xfId="0" applyFont="1" applyBorder="1" applyAlignment="1">
      <alignment horizontal="left"/>
    </xf>
    <xf numFmtId="9" fontId="65" fillId="0" borderId="8" xfId="2" applyNumberFormat="1" applyFont="1" applyFill="1" applyBorder="1" applyAlignment="1">
      <alignment horizontal="right"/>
    </xf>
    <xf numFmtId="9" fontId="65" fillId="0" borderId="8" xfId="2" applyFont="1" applyFill="1" applyBorder="1" applyAlignment="1">
      <alignment horizontal="right"/>
    </xf>
    <xf numFmtId="225" fontId="65" fillId="11" borderId="5" xfId="2" applyNumberFormat="1" applyFont="1" applyFill="1" applyBorder="1" applyAlignment="1">
      <alignment horizontal="right"/>
    </xf>
    <xf numFmtId="6" fontId="65" fillId="11" borderId="5" xfId="2" applyNumberFormat="1" applyFont="1" applyFill="1" applyBorder="1" applyAlignment="1">
      <alignment horizontal="right"/>
    </xf>
    <xf numFmtId="43" fontId="4" fillId="0" borderId="5" xfId="1" quotePrefix="1" applyNumberFormat="1" applyFont="1" applyBorder="1" applyAlignment="1">
      <alignment horizontal="right"/>
    </xf>
    <xf numFmtId="43" fontId="4" fillId="12" borderId="5" xfId="1" quotePrefix="1" applyNumberFormat="1" applyFont="1" applyFill="1" applyBorder="1" applyAlignment="1">
      <alignment horizontal="right"/>
    </xf>
    <xf numFmtId="10" fontId="4" fillId="0" borderId="5" xfId="2" applyNumberFormat="1" applyFont="1" applyBorder="1" applyAlignment="1">
      <alignment horizontal="right"/>
    </xf>
    <xf numFmtId="164" fontId="6" fillId="2" borderId="44" xfId="1" quotePrefix="1" applyNumberFormat="1" applyFont="1" applyFill="1" applyBorder="1" applyAlignment="1">
      <alignment horizontal="left" vertical="center" wrapText="1"/>
    </xf>
    <xf numFmtId="164" fontId="6" fillId="2" borderId="45" xfId="1" quotePrefix="1" applyNumberFormat="1" applyFont="1" applyFill="1" applyBorder="1" applyAlignment="1">
      <alignment horizontal="left" vertical="center" wrapText="1"/>
    </xf>
    <xf numFmtId="165" fontId="65" fillId="11" borderId="5" xfId="1" applyNumberFormat="1" applyFont="1" applyFill="1" applyBorder="1" applyAlignment="1">
      <alignment horizontal="right"/>
    </xf>
    <xf numFmtId="166" fontId="72" fillId="0" borderId="0" xfId="2" applyNumberFormat="1" applyFont="1" applyFill="1" applyBorder="1" applyAlignment="1">
      <alignment horizontal="right"/>
    </xf>
    <xf numFmtId="165" fontId="65" fillId="12" borderId="51" xfId="1" quotePrefix="1" applyNumberFormat="1" applyFont="1" applyFill="1" applyBorder="1" applyAlignment="1">
      <alignment horizontal="right"/>
    </xf>
    <xf numFmtId="164" fontId="65" fillId="0" borderId="32" xfId="1" quotePrefix="1" applyNumberFormat="1" applyFont="1" applyFill="1" applyBorder="1" applyAlignment="1">
      <alignment horizontal="right"/>
    </xf>
    <xf numFmtId="167" fontId="65" fillId="0" borderId="0" xfId="1" quotePrefix="1" applyNumberFormat="1" applyFont="1" applyFill="1" applyBorder="1" applyAlignment="1">
      <alignment horizontal="left"/>
    </xf>
    <xf numFmtId="0" fontId="81" fillId="2" borderId="63" xfId="0" applyFont="1" applyFill="1" applyBorder="1" applyAlignment="1">
      <alignment horizontal="center" vertical="center" wrapText="1"/>
    </xf>
    <xf numFmtId="0" fontId="81" fillId="2" borderId="65" xfId="0" applyFont="1" applyFill="1" applyBorder="1" applyAlignment="1">
      <alignment horizontal="center" vertical="center" wrapText="1"/>
    </xf>
    <xf numFmtId="0" fontId="82" fillId="2" borderId="62" xfId="0" applyFont="1" applyFill="1" applyBorder="1" applyAlignment="1">
      <alignment horizontal="center" vertical="center" wrapText="1"/>
    </xf>
    <xf numFmtId="0" fontId="82" fillId="2" borderId="64" xfId="0" applyFont="1" applyFill="1" applyBorder="1" applyAlignment="1">
      <alignment horizontal="center" vertical="center" wrapText="1"/>
    </xf>
    <xf numFmtId="0" fontId="83" fillId="0" borderId="70" xfId="0" applyFont="1" applyFill="1" applyBorder="1" applyAlignment="1">
      <alignment vertical="center" wrapText="1"/>
    </xf>
    <xf numFmtId="14" fontId="84" fillId="0" borderId="74" xfId="0" applyNumberFormat="1" applyFont="1" applyFill="1" applyBorder="1" applyAlignment="1">
      <alignment horizontal="center" vertical="center" wrapText="1"/>
    </xf>
    <xf numFmtId="14" fontId="84" fillId="0" borderId="75" xfId="0" applyNumberFormat="1" applyFont="1" applyFill="1" applyBorder="1" applyAlignment="1">
      <alignment horizontal="center" vertical="center" wrapText="1"/>
    </xf>
    <xf numFmtId="14" fontId="84" fillId="0" borderId="61" xfId="0" applyNumberFormat="1" applyFont="1" applyFill="1" applyBorder="1" applyAlignment="1">
      <alignment horizontal="center" vertical="center" wrapText="1"/>
    </xf>
    <xf numFmtId="14" fontId="84" fillId="0" borderId="63" xfId="0" applyNumberFormat="1" applyFont="1" applyFill="1" applyBorder="1" applyAlignment="1">
      <alignment horizontal="center" vertical="center" wrapText="1"/>
    </xf>
    <xf numFmtId="14" fontId="84" fillId="0" borderId="70" xfId="0" applyNumberFormat="1" applyFont="1" applyFill="1" applyBorder="1" applyAlignment="1">
      <alignment horizontal="center" vertical="center" wrapText="1"/>
    </xf>
    <xf numFmtId="14" fontId="84" fillId="0" borderId="72" xfId="0" applyNumberFormat="1" applyFont="1" applyFill="1" applyBorder="1" applyAlignment="1">
      <alignment horizontal="center" vertical="center" wrapText="1"/>
    </xf>
    <xf numFmtId="0" fontId="83" fillId="0" borderId="74" xfId="0" applyFont="1" applyFill="1" applyBorder="1" applyAlignment="1">
      <alignment vertical="center" wrapText="1"/>
    </xf>
    <xf numFmtId="8" fontId="84" fillId="0" borderId="75" xfId="0" applyNumberFormat="1" applyFont="1" applyFill="1" applyBorder="1" applyAlignment="1">
      <alignment horizontal="center" vertical="center" wrapText="1"/>
    </xf>
    <xf numFmtId="228" fontId="0" fillId="0" borderId="41" xfId="0" applyNumberFormat="1" applyBorder="1" applyAlignment="1">
      <alignment horizontal="right" vertical="center"/>
    </xf>
    <xf numFmtId="166" fontId="0" fillId="0" borderId="41" xfId="2" applyNumberFormat="1" applyFont="1" applyFill="1" applyBorder="1" applyAlignment="1">
      <alignment horizontal="right" vertical="center"/>
    </xf>
    <xf numFmtId="226" fontId="0" fillId="0" borderId="41" xfId="0" applyNumberFormat="1" applyBorder="1" applyAlignment="1">
      <alignment horizontal="right" vertical="center"/>
    </xf>
    <xf numFmtId="228" fontId="0" fillId="0" borderId="4" xfId="0" applyNumberFormat="1" applyBorder="1" applyAlignment="1">
      <alignment horizontal="right" vertical="center"/>
    </xf>
    <xf numFmtId="166" fontId="0" fillId="0" borderId="4" xfId="2" applyNumberFormat="1" applyFont="1" applyFill="1" applyBorder="1" applyAlignment="1">
      <alignment horizontal="right" vertical="center"/>
    </xf>
    <xf numFmtId="226" fontId="0" fillId="0" borderId="4" xfId="0" applyNumberFormat="1" applyBorder="1" applyAlignment="1">
      <alignment horizontal="right" vertical="center"/>
    </xf>
    <xf numFmtId="228" fontId="0" fillId="0" borderId="10" xfId="0" applyNumberFormat="1" applyBorder="1" applyAlignment="1">
      <alignment horizontal="right" vertical="center"/>
    </xf>
    <xf numFmtId="164" fontId="6" fillId="2" borderId="0" xfId="1" quotePrefix="1" applyNumberFormat="1" applyFont="1" applyFill="1" applyBorder="1" applyAlignment="1">
      <alignment horizontal="center" vertical="center" wrapText="1"/>
    </xf>
    <xf numFmtId="228" fontId="0" fillId="0" borderId="0" xfId="0" applyNumberFormat="1" applyBorder="1" applyAlignment="1">
      <alignment horizontal="right" vertical="center"/>
    </xf>
    <xf numFmtId="166" fontId="0" fillId="0" borderId="0" xfId="2" applyNumberFormat="1" applyFont="1" applyFill="1" applyBorder="1" applyAlignment="1">
      <alignment horizontal="right" vertical="center"/>
    </xf>
    <xf numFmtId="226" fontId="0" fillId="0" borderId="0" xfId="0" applyNumberFormat="1" applyBorder="1" applyAlignment="1">
      <alignment horizontal="right" vertical="center"/>
    </xf>
    <xf numFmtId="228" fontId="0" fillId="0" borderId="7" xfId="0" applyNumberFormat="1" applyBorder="1" applyAlignment="1">
      <alignment horizontal="right" vertical="center"/>
    </xf>
    <xf numFmtId="164" fontId="6" fillId="2" borderId="3" xfId="1" quotePrefix="1" applyNumberFormat="1" applyFont="1" applyFill="1" applyBorder="1" applyAlignment="1">
      <alignment horizontal="center" vertical="center" wrapText="1"/>
    </xf>
    <xf numFmtId="164" fontId="6" fillId="2" borderId="77" xfId="1" quotePrefix="1" applyNumberFormat="1" applyFont="1" applyFill="1" applyBorder="1" applyAlignment="1">
      <alignment horizontal="center" vertical="center" wrapText="1"/>
    </xf>
    <xf numFmtId="228" fontId="0" fillId="12" borderId="41" xfId="0" applyNumberFormat="1" applyFill="1" applyBorder="1" applyAlignment="1">
      <alignment horizontal="right" vertical="center"/>
    </xf>
    <xf numFmtId="166" fontId="0" fillId="12" borderId="41" xfId="2" applyNumberFormat="1" applyFont="1" applyFill="1" applyBorder="1" applyAlignment="1">
      <alignment horizontal="right" vertical="center"/>
    </xf>
    <xf numFmtId="226" fontId="0" fillId="12" borderId="41" xfId="0" applyNumberFormat="1" applyFill="1" applyBorder="1" applyAlignment="1">
      <alignment horizontal="right" vertical="center"/>
    </xf>
    <xf numFmtId="228" fontId="0" fillId="12" borderId="43" xfId="0" applyNumberFormat="1" applyFill="1" applyBorder="1" applyAlignment="1">
      <alignment horizontal="right" vertical="center"/>
    </xf>
    <xf numFmtId="228" fontId="55" fillId="0" borderId="0" xfId="0" applyNumberFormat="1" applyFont="1" applyBorder="1" applyAlignment="1">
      <alignment horizontal="right" vertical="center"/>
    </xf>
    <xf numFmtId="228" fontId="0" fillId="0" borderId="41" xfId="0" applyNumberFormat="1" applyFill="1" applyBorder="1" applyAlignment="1">
      <alignment horizontal="right" vertical="center"/>
    </xf>
    <xf numFmtId="226" fontId="0" fillId="0" borderId="41" xfId="0" applyNumberFormat="1" applyFill="1" applyBorder="1" applyAlignment="1">
      <alignment horizontal="right" vertical="center"/>
    </xf>
    <xf numFmtId="228" fontId="0" fillId="0" borderId="43" xfId="0" applyNumberFormat="1" applyFill="1" applyBorder="1" applyAlignment="1">
      <alignment horizontal="right" vertical="center"/>
    </xf>
    <xf numFmtId="164" fontId="6" fillId="2" borderId="76" xfId="1" quotePrefix="1" applyNumberFormat="1" applyFont="1" applyFill="1" applyBorder="1" applyAlignment="1">
      <alignment vertical="center" wrapText="1"/>
    </xf>
    <xf numFmtId="164" fontId="6" fillId="2" borderId="77" xfId="1" quotePrefix="1" applyNumberFormat="1" applyFont="1" applyFill="1" applyBorder="1" applyAlignment="1">
      <alignment vertical="center" wrapText="1"/>
    </xf>
    <xf numFmtId="164" fontId="6" fillId="2" borderId="82" xfId="1" quotePrefix="1" applyNumberFormat="1" applyFont="1" applyFill="1" applyBorder="1" applyAlignment="1">
      <alignment vertical="center" wrapText="1"/>
    </xf>
    <xf numFmtId="164" fontId="6" fillId="2" borderId="80" xfId="1" quotePrefix="1" applyNumberFormat="1" applyFont="1" applyFill="1" applyBorder="1" applyAlignment="1">
      <alignment vertical="center" wrapText="1"/>
    </xf>
    <xf numFmtId="0" fontId="89" fillId="0" borderId="3" xfId="0" applyFont="1" applyBorder="1"/>
    <xf numFmtId="0" fontId="87" fillId="0" borderId="3" xfId="0" applyFont="1" applyBorder="1"/>
    <xf numFmtId="5" fontId="87" fillId="0" borderId="4" xfId="1" applyNumberFormat="1" applyFont="1" applyFill="1" applyBorder="1" applyAlignment="1">
      <alignment horizontal="right"/>
    </xf>
    <xf numFmtId="165" fontId="88" fillId="0" borderId="15" xfId="1" applyNumberFormat="1" applyFont="1" applyBorder="1" applyAlignment="1">
      <alignment horizontal="right"/>
    </xf>
    <xf numFmtId="0" fontId="87" fillId="0" borderId="3" xfId="0" applyFont="1" applyFill="1" applyBorder="1"/>
    <xf numFmtId="43" fontId="87" fillId="0" borderId="4" xfId="1" applyNumberFormat="1" applyFont="1" applyBorder="1" applyAlignment="1">
      <alignment horizontal="right"/>
    </xf>
    <xf numFmtId="166" fontId="87" fillId="10" borderId="4" xfId="1" applyNumberFormat="1" applyFont="1" applyFill="1" applyBorder="1" applyAlignment="1">
      <alignment horizontal="right"/>
    </xf>
    <xf numFmtId="166" fontId="88" fillId="0" borderId="4" xfId="2" applyNumberFormat="1" applyFont="1" applyBorder="1" applyAlignment="1">
      <alignment horizontal="right"/>
    </xf>
    <xf numFmtId="10" fontId="87" fillId="10" borderId="4" xfId="2" applyNumberFormat="1" applyFont="1" applyFill="1" applyBorder="1" applyAlignment="1">
      <alignment horizontal="right"/>
    </xf>
    <xf numFmtId="166" fontId="65" fillId="0" borderId="4" xfId="2" applyNumberFormat="1" applyFont="1" applyBorder="1" applyAlignment="1">
      <alignment horizontal="right"/>
    </xf>
    <xf numFmtId="166" fontId="67" fillId="0" borderId="15" xfId="2" applyNumberFormat="1" applyFont="1" applyBorder="1" applyAlignment="1">
      <alignment horizontal="right"/>
    </xf>
    <xf numFmtId="0" fontId="88" fillId="0" borderId="14" xfId="0" applyFont="1" applyFill="1" applyBorder="1" applyAlignment="1">
      <alignment horizontal="left" indent="1"/>
    </xf>
    <xf numFmtId="0" fontId="88" fillId="0" borderId="3" xfId="0" applyFont="1" applyFill="1" applyBorder="1" applyAlignment="1">
      <alignment horizontal="left" indent="1"/>
    </xf>
    <xf numFmtId="0" fontId="67" fillId="0" borderId="14" xfId="0" applyFont="1" applyFill="1" applyBorder="1" applyAlignment="1">
      <alignment horizontal="left" indent="1"/>
    </xf>
    <xf numFmtId="166" fontId="88" fillId="0" borderId="15" xfId="2" applyNumberFormat="1" applyFont="1" applyBorder="1" applyAlignment="1">
      <alignment horizontal="right"/>
    </xf>
    <xf numFmtId="166" fontId="65" fillId="10" borderId="4" xfId="2" applyNumberFormat="1" applyFont="1" applyFill="1" applyBorder="1" applyAlignment="1">
      <alignment horizontal="right"/>
    </xf>
    <xf numFmtId="0" fontId="69" fillId="0" borderId="3" xfId="0" applyFont="1" applyBorder="1"/>
    <xf numFmtId="164" fontId="65" fillId="0" borderId="4" xfId="1" applyNumberFormat="1" applyFont="1" applyBorder="1" applyAlignment="1">
      <alignment horizontal="right"/>
    </xf>
    <xf numFmtId="165" fontId="90" fillId="0" borderId="4" xfId="1" applyNumberFormat="1" applyFont="1" applyFill="1" applyBorder="1" applyAlignment="1">
      <alignment horizontal="right"/>
    </xf>
    <xf numFmtId="166" fontId="65" fillId="0" borderId="8" xfId="2" quotePrefix="1" applyNumberFormat="1" applyFont="1" applyFill="1" applyBorder="1" applyAlignment="1">
      <alignment horizontal="right"/>
    </xf>
    <xf numFmtId="166" fontId="4" fillId="0" borderId="0" xfId="2" applyNumberFormat="1" applyFont="1" applyAlignment="1">
      <alignment horizontal="right"/>
    </xf>
    <xf numFmtId="165" fontId="67" fillId="0" borderId="8" xfId="1" applyNumberFormat="1" applyFont="1" applyFill="1" applyBorder="1" applyAlignment="1">
      <alignment horizontal="right"/>
    </xf>
    <xf numFmtId="5" fontId="69" fillId="0" borderId="4" xfId="1" applyNumberFormat="1" applyFont="1" applyBorder="1" applyAlignment="1">
      <alignment horizontal="right"/>
    </xf>
    <xf numFmtId="43" fontId="65" fillId="0" borderId="0" xfId="1" quotePrefix="1" applyNumberFormat="1" applyFont="1" applyFill="1" applyBorder="1" applyAlignment="1">
      <alignment horizontal="right"/>
    </xf>
    <xf numFmtId="43" fontId="4" fillId="0" borderId="5" xfId="1" quotePrefix="1" applyNumberFormat="1" applyFont="1" applyFill="1" applyBorder="1" applyAlignment="1">
      <alignment horizontal="right"/>
    </xf>
    <xf numFmtId="166" fontId="65" fillId="10" borderId="33" xfId="2" quotePrefix="1" applyNumberFormat="1" applyFont="1" applyFill="1" applyBorder="1" applyAlignment="1">
      <alignment horizontal="right"/>
    </xf>
    <xf numFmtId="10" fontId="4" fillId="0" borderId="5" xfId="2" quotePrefix="1" applyNumberFormat="1" applyFont="1" applyFill="1" applyBorder="1" applyAlignment="1">
      <alignment horizontal="right"/>
    </xf>
    <xf numFmtId="165" fontId="65" fillId="0" borderId="4" xfId="1" applyNumberFormat="1" applyFont="1" applyFill="1" applyBorder="1" applyAlignment="1">
      <alignment horizontal="right"/>
    </xf>
    <xf numFmtId="165" fontId="65" fillId="0" borderId="4" xfId="1" applyNumberFormat="1" applyFont="1" applyBorder="1" applyAlignment="1">
      <alignment horizontal="right"/>
    </xf>
    <xf numFmtId="43" fontId="68" fillId="0" borderId="4" xfId="1" applyNumberFormat="1" applyFont="1" applyFill="1" applyBorder="1" applyAlignment="1">
      <alignment horizontal="right"/>
    </xf>
    <xf numFmtId="0" fontId="67" fillId="0" borderId="14" xfId="0" applyFont="1" applyFill="1" applyBorder="1"/>
    <xf numFmtId="5" fontId="67" fillId="0" borderId="15" xfId="1" applyNumberFormat="1" applyFont="1" applyBorder="1" applyAlignment="1">
      <alignment horizontal="right"/>
    </xf>
    <xf numFmtId="43" fontId="65" fillId="0" borderId="0" xfId="1" applyFont="1" applyFill="1" applyAlignment="1">
      <alignment horizontal="right"/>
    </xf>
    <xf numFmtId="165" fontId="65" fillId="0" borderId="0" xfId="1" applyNumberFormat="1" applyFont="1" applyFill="1" applyAlignment="1">
      <alignment horizontal="right"/>
    </xf>
    <xf numFmtId="166" fontId="65" fillId="0" borderId="0" xfId="2" applyNumberFormat="1" applyFont="1" applyFill="1" applyAlignment="1">
      <alignment horizontal="right"/>
    </xf>
    <xf numFmtId="43" fontId="65" fillId="0" borderId="0" xfId="1" applyNumberFormat="1" applyFont="1" applyFill="1" applyAlignment="1">
      <alignment horizontal="right"/>
    </xf>
    <xf numFmtId="167" fontId="65" fillId="0" borderId="0" xfId="1" applyNumberFormat="1" applyFont="1" applyFill="1" applyAlignment="1">
      <alignment horizontal="right"/>
    </xf>
    <xf numFmtId="166" fontId="65" fillId="0" borderId="0" xfId="1" applyNumberFormat="1" applyFont="1" applyFill="1" applyAlignment="1">
      <alignment horizontal="right"/>
    </xf>
    <xf numFmtId="166" fontId="65" fillId="0" borderId="0" xfId="2" applyNumberFormat="1" applyFont="1"/>
    <xf numFmtId="229" fontId="65" fillId="10" borderId="4" xfId="1" applyNumberFormat="1" applyFont="1" applyFill="1" applyBorder="1" applyAlignment="1">
      <alignment horizontal="right"/>
    </xf>
    <xf numFmtId="0" fontId="67" fillId="0" borderId="3" xfId="0" applyFont="1" applyFill="1" applyBorder="1"/>
    <xf numFmtId="43" fontId="65" fillId="0" borderId="4" xfId="1" quotePrefix="1" applyNumberFormat="1" applyFont="1" applyBorder="1" applyAlignment="1">
      <alignment horizontal="right"/>
    </xf>
    <xf numFmtId="5" fontId="67" fillId="0" borderId="4" xfId="1" applyNumberFormat="1" applyFont="1" applyBorder="1" applyAlignment="1">
      <alignment horizontal="right"/>
    </xf>
    <xf numFmtId="0" fontId="67" fillId="0" borderId="25" xfId="0" applyFont="1" applyFill="1" applyBorder="1" applyAlignment="1">
      <alignment horizontal="left"/>
    </xf>
    <xf numFmtId="5" fontId="67" fillId="0" borderId="26" xfId="1" applyNumberFormat="1" applyFont="1" applyBorder="1" applyAlignment="1">
      <alignment horizontal="right"/>
    </xf>
    <xf numFmtId="0" fontId="67" fillId="0" borderId="1" xfId="0" applyFont="1" applyFill="1" applyBorder="1" applyAlignment="1">
      <alignment horizontal="left"/>
    </xf>
    <xf numFmtId="5" fontId="67" fillId="0" borderId="11" xfId="1" applyNumberFormat="1" applyFont="1" applyBorder="1" applyAlignment="1">
      <alignment horizontal="right"/>
    </xf>
    <xf numFmtId="0" fontId="65" fillId="0" borderId="1" xfId="0" applyFont="1" applyBorder="1"/>
    <xf numFmtId="5" fontId="65" fillId="0" borderId="4" xfId="1" applyNumberFormat="1" applyFont="1" applyFill="1" applyBorder="1" applyAlignment="1">
      <alignment horizontal="right"/>
    </xf>
    <xf numFmtId="0" fontId="65" fillId="0" borderId="14" xfId="0" applyFont="1" applyFill="1" applyBorder="1"/>
    <xf numFmtId="6" fontId="65" fillId="0" borderId="15" xfId="0" applyNumberFormat="1" applyFont="1" applyBorder="1"/>
    <xf numFmtId="10" fontId="65" fillId="10" borderId="11" xfId="1" applyNumberFormat="1" applyFont="1" applyFill="1" applyBorder="1" applyAlignment="1">
      <alignment horizontal="right"/>
    </xf>
    <xf numFmtId="10" fontId="65" fillId="10" borderId="4" xfId="2" applyNumberFormat="1" applyFont="1" applyFill="1" applyBorder="1" applyAlignment="1">
      <alignment horizontal="right"/>
    </xf>
    <xf numFmtId="230" fontId="67" fillId="0" borderId="0" xfId="2" applyNumberFormat="1" applyFont="1" applyFill="1" applyBorder="1" applyAlignment="1">
      <alignment horizontal="right"/>
    </xf>
    <xf numFmtId="0" fontId="0" fillId="0" borderId="0" xfId="0" applyBorder="1"/>
    <xf numFmtId="228" fontId="79" fillId="16" borderId="0" xfId="0" applyNumberFormat="1" applyFont="1" applyFill="1" applyBorder="1" applyAlignment="1">
      <alignment horizontal="right" vertical="center"/>
    </xf>
    <xf numFmtId="166" fontId="79" fillId="16" borderId="0" xfId="2" applyNumberFormat="1" applyFont="1" applyFill="1" applyBorder="1" applyAlignment="1">
      <alignment horizontal="right" vertical="center"/>
    </xf>
    <xf numFmtId="226" fontId="79" fillId="16" borderId="0" xfId="0" applyNumberFormat="1" applyFont="1" applyFill="1" applyBorder="1" applyAlignment="1">
      <alignment horizontal="right" vertical="center"/>
    </xf>
    <xf numFmtId="228" fontId="79" fillId="16" borderId="7" xfId="0" applyNumberFormat="1" applyFont="1" applyFill="1" applyBorder="1" applyAlignment="1">
      <alignment horizontal="right" vertical="center"/>
    </xf>
    <xf numFmtId="0" fontId="65" fillId="0" borderId="3" xfId="0" applyFont="1" applyFill="1" applyBorder="1" applyAlignment="1">
      <alignment horizontal="left"/>
    </xf>
    <xf numFmtId="0" fontId="65" fillId="0" borderId="4" xfId="0" applyFont="1" applyFill="1" applyBorder="1" applyAlignment="1">
      <alignment horizontal="left"/>
    </xf>
    <xf numFmtId="165" fontId="4" fillId="0" borderId="0" xfId="1" applyNumberFormat="1" applyFont="1"/>
    <xf numFmtId="165" fontId="57" fillId="0" borderId="0" xfId="1" applyNumberFormat="1" applyFont="1"/>
    <xf numFmtId="10" fontId="84" fillId="0" borderId="72" xfId="0" applyNumberFormat="1" applyFont="1" applyFill="1" applyBorder="1" applyAlignment="1">
      <alignment horizontal="center" vertical="center" wrapText="1"/>
    </xf>
    <xf numFmtId="9" fontId="84" fillId="0" borderId="72" xfId="0" applyNumberFormat="1" applyFont="1" applyFill="1" applyBorder="1" applyAlignment="1">
      <alignment horizontal="center" vertical="center" wrapText="1"/>
    </xf>
    <xf numFmtId="37" fontId="84" fillId="0" borderId="72" xfId="1" applyNumberFormat="1" applyFont="1" applyFill="1" applyBorder="1" applyAlignment="1">
      <alignment horizontal="center" vertical="center" wrapText="1"/>
    </xf>
    <xf numFmtId="10" fontId="84" fillId="0" borderId="74" xfId="0" applyNumberFormat="1" applyFont="1" applyFill="1" applyBorder="1" applyAlignment="1">
      <alignment horizontal="center" vertical="center" wrapText="1"/>
    </xf>
    <xf numFmtId="37" fontId="84" fillId="0" borderId="74" xfId="1" applyNumberFormat="1" applyFont="1" applyFill="1" applyBorder="1" applyAlignment="1">
      <alignment horizontal="center" vertical="center" wrapText="1"/>
    </xf>
    <xf numFmtId="9" fontId="84" fillId="0" borderId="74" xfId="0" applyNumberFormat="1" applyFont="1" applyFill="1" applyBorder="1" applyAlignment="1">
      <alignment horizontal="center" vertical="center" wrapText="1"/>
    </xf>
    <xf numFmtId="14" fontId="84" fillId="0" borderId="75" xfId="0" applyNumberFormat="1" applyFont="1" applyFill="1" applyBorder="1" applyAlignment="1">
      <alignment horizontal="left" vertical="center" wrapText="1"/>
    </xf>
    <xf numFmtId="10" fontId="4" fillId="12" borderId="5" xfId="2" quotePrefix="1" applyNumberFormat="1" applyFont="1" applyFill="1" applyBorder="1" applyAlignment="1">
      <alignment horizontal="right"/>
    </xf>
    <xf numFmtId="1" fontId="0" fillId="0" borderId="40" xfId="0" applyNumberFormat="1" applyFill="1" applyBorder="1" applyAlignment="1">
      <alignment horizontal="center" vertical="center"/>
    </xf>
    <xf numFmtId="228" fontId="0" fillId="0" borderId="0" xfId="0" applyNumberFormat="1" applyFill="1" applyBorder="1" applyAlignment="1">
      <alignment horizontal="right" vertical="center"/>
    </xf>
    <xf numFmtId="226" fontId="0" fillId="0" borderId="0" xfId="0" applyNumberFormat="1" applyFill="1" applyBorder="1" applyAlignment="1">
      <alignment horizontal="right" vertical="center"/>
    </xf>
    <xf numFmtId="1" fontId="0" fillId="0" borderId="42" xfId="0" applyNumberFormat="1" applyFill="1" applyBorder="1" applyAlignment="1">
      <alignment horizontal="center" vertical="center"/>
    </xf>
    <xf numFmtId="228" fontId="0" fillId="0" borderId="7" xfId="0" applyNumberFormat="1" applyFill="1" applyBorder="1" applyAlignment="1">
      <alignment horizontal="right" vertical="center"/>
    </xf>
    <xf numFmtId="43" fontId="65" fillId="0" borderId="0" xfId="1" applyNumberFormat="1" applyFont="1" applyFill="1" applyAlignment="1">
      <alignment horizontal="right" wrapText="1"/>
    </xf>
    <xf numFmtId="0" fontId="91" fillId="0" borderId="0" xfId="0" applyFont="1" applyFill="1"/>
    <xf numFmtId="0" fontId="92" fillId="0" borderId="12" xfId="0" applyFont="1" applyFill="1" applyBorder="1" applyAlignment="1">
      <alignment horizontal="left"/>
    </xf>
    <xf numFmtId="0" fontId="92" fillId="0" borderId="13" xfId="0" applyFont="1" applyFill="1" applyBorder="1" applyAlignment="1">
      <alignment horizontal="left"/>
    </xf>
    <xf numFmtId="165" fontId="92" fillId="0" borderId="57" xfId="1" applyNumberFormat="1" applyFont="1" applyFill="1" applyBorder="1" applyAlignment="1">
      <alignment horizontal="right"/>
    </xf>
    <xf numFmtId="165" fontId="92" fillId="0" borderId="56" xfId="1" applyNumberFormat="1" applyFont="1" applyFill="1" applyBorder="1" applyAlignment="1">
      <alignment horizontal="right"/>
    </xf>
    <xf numFmtId="0" fontId="91" fillId="0" borderId="3" xfId="0" applyFont="1" applyBorder="1" applyAlignment="1">
      <alignment horizontal="left"/>
    </xf>
    <xf numFmtId="0" fontId="91" fillId="0" borderId="4" xfId="0" applyFont="1" applyBorder="1" applyAlignment="1"/>
    <xf numFmtId="165" fontId="93" fillId="0" borderId="0" xfId="1" applyNumberFormat="1" applyFont="1" applyFill="1" applyBorder="1" applyAlignment="1">
      <alignment horizontal="right"/>
    </xf>
    <xf numFmtId="165" fontId="93" fillId="0" borderId="5" xfId="1" applyNumberFormat="1" applyFont="1" applyFill="1" applyBorder="1" applyAlignment="1">
      <alignment horizontal="right"/>
    </xf>
    <xf numFmtId="165" fontId="93" fillId="0" borderId="5" xfId="1" applyNumberFormat="1" applyFont="1" applyBorder="1" applyAlignment="1">
      <alignment horizontal="right"/>
    </xf>
    <xf numFmtId="0" fontId="91" fillId="0" borderId="0" xfId="0" applyFont="1"/>
    <xf numFmtId="0" fontId="92" fillId="0" borderId="3" xfId="0" applyFont="1" applyBorder="1" applyAlignment="1">
      <alignment horizontal="left"/>
    </xf>
    <xf numFmtId="0" fontId="92" fillId="0" borderId="4" xfId="0" applyFont="1" applyBorder="1" applyAlignment="1"/>
    <xf numFmtId="165" fontId="92" fillId="0" borderId="0" xfId="1" applyNumberFormat="1" applyFont="1" applyFill="1" applyBorder="1" applyAlignment="1">
      <alignment horizontal="right"/>
    </xf>
    <xf numFmtId="165" fontId="92" fillId="0" borderId="5" xfId="1" applyNumberFormat="1" applyFont="1" applyFill="1" applyBorder="1" applyAlignment="1">
      <alignment horizontal="right"/>
    </xf>
    <xf numFmtId="165" fontId="92" fillId="0" borderId="5" xfId="1" applyNumberFormat="1" applyFont="1" applyBorder="1" applyAlignment="1">
      <alignment horizontal="right"/>
    </xf>
    <xf numFmtId="0" fontId="92" fillId="0" borderId="4" xfId="0" applyFont="1" applyBorder="1" applyAlignment="1">
      <alignment horizontal="left"/>
    </xf>
    <xf numFmtId="165" fontId="94" fillId="0" borderId="0" xfId="1" applyNumberFormat="1" applyFont="1" applyFill="1" applyBorder="1" applyAlignment="1">
      <alignment horizontal="right"/>
    </xf>
    <xf numFmtId="165" fontId="94" fillId="0" borderId="5" xfId="1" applyNumberFormat="1" applyFont="1" applyFill="1" applyBorder="1" applyAlignment="1">
      <alignment horizontal="right"/>
    </xf>
    <xf numFmtId="165" fontId="94" fillId="0" borderId="0" xfId="1" applyNumberFormat="1" applyFont="1" applyBorder="1" applyAlignment="1">
      <alignment horizontal="right"/>
    </xf>
    <xf numFmtId="165" fontId="94" fillId="0" borderId="5" xfId="1" applyNumberFormat="1" applyFont="1" applyBorder="1" applyAlignment="1">
      <alignment horizontal="right"/>
    </xf>
    <xf numFmtId="165" fontId="92" fillId="0" borderId="0" xfId="1" applyNumberFormat="1" applyFont="1" applyBorder="1" applyAlignment="1">
      <alignment horizontal="right"/>
    </xf>
    <xf numFmtId="0" fontId="92" fillId="0" borderId="4" xfId="0" applyFont="1" applyFill="1" applyBorder="1" applyAlignment="1">
      <alignment horizontal="left"/>
    </xf>
    <xf numFmtId="43" fontId="92" fillId="0" borderId="0" xfId="1" applyNumberFormat="1" applyFont="1" applyFill="1" applyBorder="1" applyAlignment="1">
      <alignment horizontal="right"/>
    </xf>
    <xf numFmtId="43" fontId="92" fillId="0" borderId="5" xfId="1" applyNumberFormat="1" applyFont="1" applyFill="1" applyBorder="1" applyAlignment="1">
      <alignment horizontal="right"/>
    </xf>
    <xf numFmtId="43" fontId="92" fillId="11" borderId="5" xfId="1" applyNumberFormat="1" applyFont="1" applyFill="1" applyBorder="1" applyAlignment="1">
      <alignment horizontal="right"/>
    </xf>
    <xf numFmtId="0" fontId="65" fillId="0" borderId="3" xfId="0" applyFont="1" applyFill="1" applyBorder="1" applyAlignment="1">
      <alignment horizontal="left"/>
    </xf>
    <xf numFmtId="0" fontId="65" fillId="0" borderId="4" xfId="0" applyFont="1" applyFill="1" applyBorder="1" applyAlignment="1">
      <alignment horizontal="left"/>
    </xf>
    <xf numFmtId="0" fontId="65" fillId="12" borderId="3" xfId="0" applyFont="1" applyFill="1" applyBorder="1" applyAlignment="1">
      <alignment horizontal="left"/>
    </xf>
    <xf numFmtId="0" fontId="65" fillId="12" borderId="4" xfId="0" applyFont="1" applyFill="1" applyBorder="1" applyAlignment="1">
      <alignment horizontal="left"/>
    </xf>
    <xf numFmtId="164" fontId="6" fillId="2" borderId="44" xfId="1" quotePrefix="1" applyNumberFormat="1" applyFont="1" applyFill="1" applyBorder="1" applyAlignment="1">
      <alignment horizontal="left" vertical="center" wrapText="1"/>
    </xf>
    <xf numFmtId="164" fontId="6" fillId="2" borderId="45" xfId="1" quotePrefix="1" applyNumberFormat="1" applyFont="1" applyFill="1" applyBorder="1" applyAlignment="1">
      <alignment horizontal="left" vertical="center" wrapText="1"/>
    </xf>
    <xf numFmtId="164" fontId="6" fillId="2" borderId="77" xfId="1" quotePrefix="1" applyNumberFormat="1" applyFont="1" applyFill="1" applyBorder="1" applyAlignment="1">
      <alignment horizontal="center" vertical="center" wrapText="1"/>
    </xf>
    <xf numFmtId="165" fontId="65" fillId="0" borderId="0" xfId="1" applyNumberFormat="1" applyFont="1" applyFill="1" applyAlignment="1">
      <alignment horizontal="left"/>
    </xf>
    <xf numFmtId="43" fontId="65" fillId="0" borderId="0" xfId="1" applyFont="1" applyFill="1" applyAlignment="1">
      <alignment horizontal="left"/>
    </xf>
    <xf numFmtId="9" fontId="65" fillId="0" borderId="0" xfId="1" applyNumberFormat="1" applyFont="1" applyFill="1" applyAlignment="1">
      <alignment horizontal="right"/>
    </xf>
    <xf numFmtId="0" fontId="0" fillId="0" borderId="0" xfId="0" applyFill="1"/>
    <xf numFmtId="0" fontId="2" fillId="0" borderId="0" xfId="0" applyFont="1" applyFill="1" applyAlignment="1">
      <alignment horizontal="left"/>
    </xf>
    <xf numFmtId="0" fontId="0" fillId="0" borderId="0" xfId="0" applyFill="1" applyAlignment="1">
      <alignment wrapText="1"/>
    </xf>
    <xf numFmtId="0" fontId="2" fillId="0" borderId="0" xfId="0" applyFont="1"/>
    <xf numFmtId="164" fontId="6" fillId="2" borderId="91" xfId="1" quotePrefix="1" applyNumberFormat="1" applyFont="1" applyFill="1" applyBorder="1" applyAlignment="1">
      <alignment horizontal="center" vertical="center" wrapText="1"/>
    </xf>
    <xf numFmtId="164" fontId="6" fillId="2" borderId="90" xfId="1" quotePrefix="1" applyNumberFormat="1" applyFont="1" applyFill="1" applyBorder="1" applyAlignment="1">
      <alignment horizontal="center" vertical="center" wrapText="1"/>
    </xf>
    <xf numFmtId="0" fontId="0" fillId="0" borderId="99" xfId="0" applyBorder="1"/>
    <xf numFmtId="0" fontId="0" fillId="0" borderId="100" xfId="0" applyBorder="1"/>
    <xf numFmtId="0" fontId="0" fillId="0" borderId="96" xfId="0" applyBorder="1"/>
    <xf numFmtId="0" fontId="0" fillId="0" borderId="97" xfId="0" applyBorder="1"/>
    <xf numFmtId="228" fontId="0" fillId="0" borderId="101" xfId="0" applyNumberFormat="1" applyBorder="1" applyAlignment="1">
      <alignment horizontal="right" vertical="center"/>
    </xf>
    <xf numFmtId="228" fontId="0" fillId="0" borderId="102" xfId="0" applyNumberFormat="1" applyBorder="1" applyAlignment="1">
      <alignment horizontal="right" vertical="center"/>
    </xf>
    <xf numFmtId="166" fontId="0" fillId="0" borderId="102" xfId="2" applyNumberFormat="1" applyFont="1" applyFill="1" applyBorder="1" applyAlignment="1">
      <alignment horizontal="right" vertical="center"/>
    </xf>
    <xf numFmtId="226" fontId="0" fillId="0" borderId="102" xfId="0" applyNumberFormat="1" applyBorder="1" applyAlignment="1">
      <alignment horizontal="right" vertical="center"/>
    </xf>
    <xf numFmtId="164" fontId="2" fillId="3" borderId="103" xfId="1" quotePrefix="1" applyNumberFormat="1" applyFont="1" applyFill="1" applyBorder="1" applyAlignment="1">
      <alignment horizontal="center" vertical="center"/>
    </xf>
    <xf numFmtId="164" fontId="2" fillId="3" borderId="104" xfId="1" quotePrefix="1" applyNumberFormat="1" applyFont="1" applyFill="1" applyBorder="1" applyAlignment="1">
      <alignment horizontal="center" vertical="center"/>
    </xf>
    <xf numFmtId="228" fontId="0" fillId="0" borderId="105" xfId="0" applyNumberFormat="1" applyBorder="1" applyAlignment="1">
      <alignment horizontal="right" vertical="center"/>
    </xf>
    <xf numFmtId="228" fontId="0" fillId="0" borderId="106" xfId="0" applyNumberFormat="1" applyBorder="1" applyAlignment="1">
      <alignment horizontal="right" vertical="center"/>
    </xf>
    <xf numFmtId="164" fontId="2" fillId="3" borderId="38" xfId="1" quotePrefix="1" applyNumberFormat="1" applyFont="1" applyFill="1" applyBorder="1" applyAlignment="1">
      <alignment horizontal="right" vertical="center"/>
    </xf>
    <xf numFmtId="164" fontId="2" fillId="3" borderId="39" xfId="1" quotePrefix="1" applyNumberFormat="1" applyFont="1" applyFill="1" applyBorder="1" applyAlignment="1">
      <alignment horizontal="right" vertical="center"/>
    </xf>
    <xf numFmtId="164" fontId="2" fillId="3" borderId="108" xfId="1" quotePrefix="1" applyNumberFormat="1" applyFont="1" applyFill="1" applyBorder="1" applyAlignment="1">
      <alignment vertical="center"/>
    </xf>
    <xf numFmtId="1" fontId="65" fillId="0" borderId="0" xfId="0" applyNumberFormat="1" applyFont="1" applyBorder="1" applyAlignment="1">
      <alignment horizontal="center" vertical="center"/>
    </xf>
    <xf numFmtId="228" fontId="65" fillId="0" borderId="41" xfId="0" applyNumberFormat="1" applyFont="1" applyBorder="1" applyAlignment="1">
      <alignment horizontal="right" vertical="center"/>
    </xf>
    <xf numFmtId="1" fontId="65" fillId="0" borderId="40" xfId="0" applyNumberFormat="1" applyFont="1" applyBorder="1" applyAlignment="1">
      <alignment horizontal="center" vertical="center"/>
    </xf>
    <xf numFmtId="228" fontId="65" fillId="0" borderId="100" xfId="0" applyNumberFormat="1" applyFont="1" applyBorder="1" applyAlignment="1">
      <alignment horizontal="right" vertical="center"/>
    </xf>
    <xf numFmtId="166" fontId="65" fillId="0" borderId="41" xfId="2" applyNumberFormat="1" applyFont="1" applyFill="1" applyBorder="1" applyAlignment="1">
      <alignment horizontal="right" vertical="center"/>
    </xf>
    <xf numFmtId="166" fontId="65" fillId="0" borderId="100" xfId="2" applyNumberFormat="1" applyFont="1" applyFill="1" applyBorder="1" applyAlignment="1">
      <alignment horizontal="right" vertical="center"/>
    </xf>
    <xf numFmtId="226" fontId="65" fillId="0" borderId="41" xfId="0" applyNumberFormat="1" applyFont="1" applyBorder="1" applyAlignment="1">
      <alignment horizontal="right" vertical="center"/>
    </xf>
    <xf numFmtId="226" fontId="65" fillId="0" borderId="100" xfId="0" applyNumberFormat="1" applyFont="1" applyBorder="1" applyAlignment="1">
      <alignment horizontal="right" vertical="center"/>
    </xf>
    <xf numFmtId="1" fontId="65" fillId="0" borderId="97" xfId="0" applyNumberFormat="1" applyFont="1" applyBorder="1" applyAlignment="1">
      <alignment horizontal="center" vertical="center"/>
    </xf>
    <xf numFmtId="228" fontId="65" fillId="0" borderId="106" xfId="0" applyNumberFormat="1" applyFont="1" applyBorder="1" applyAlignment="1">
      <alignment horizontal="right" vertical="center"/>
    </xf>
    <xf numFmtId="1" fontId="65" fillId="0" borderId="107" xfId="0" applyNumberFormat="1" applyFont="1" applyBorder="1" applyAlignment="1">
      <alignment horizontal="center" vertical="center"/>
    </xf>
    <xf numFmtId="228" fontId="65" fillId="0" borderId="98" xfId="0" applyNumberFormat="1" applyFont="1" applyBorder="1" applyAlignment="1">
      <alignment horizontal="right" vertical="center"/>
    </xf>
    <xf numFmtId="164" fontId="95" fillId="3" borderId="103" xfId="1" quotePrefix="1" applyNumberFormat="1" applyFont="1" applyFill="1" applyBorder="1" applyAlignment="1">
      <alignment horizontal="center" vertical="center"/>
    </xf>
    <xf numFmtId="1" fontId="65" fillId="0" borderId="38" xfId="0" applyNumberFormat="1" applyFont="1" applyBorder="1" applyAlignment="1">
      <alignment horizontal="center" vertical="center"/>
    </xf>
    <xf numFmtId="228" fontId="65" fillId="0" borderId="0" xfId="0" applyNumberFormat="1" applyFont="1" applyFill="1" applyBorder="1" applyAlignment="1">
      <alignment horizontal="right" vertical="center"/>
    </xf>
    <xf numFmtId="0" fontId="0" fillId="0" borderId="0" xfId="0" applyAlignment="1">
      <alignment horizontal="center"/>
    </xf>
    <xf numFmtId="10" fontId="0" fillId="0" borderId="0" xfId="2" applyNumberFormat="1" applyFont="1"/>
    <xf numFmtId="14" fontId="0" fillId="0" borderId="99" xfId="0" applyNumberFormat="1" applyBorder="1"/>
    <xf numFmtId="10" fontId="0" fillId="0" borderId="0" xfId="2" applyNumberFormat="1" applyFont="1" applyBorder="1"/>
    <xf numFmtId="10" fontId="0" fillId="0" borderId="0" xfId="0" applyNumberFormat="1" applyBorder="1"/>
    <xf numFmtId="14" fontId="0" fillId="0" borderId="96" xfId="0" applyNumberFormat="1" applyBorder="1"/>
    <xf numFmtId="10" fontId="0" fillId="0" borderId="97" xfId="0" applyNumberFormat="1" applyBorder="1"/>
    <xf numFmtId="43" fontId="0" fillId="0" borderId="0" xfId="1" applyFont="1" applyBorder="1"/>
    <xf numFmtId="43" fontId="0" fillId="0" borderId="97" xfId="1" applyFont="1" applyBorder="1"/>
    <xf numFmtId="0" fontId="0" fillId="0" borderId="93" xfId="0" applyBorder="1"/>
    <xf numFmtId="0" fontId="0" fillId="0" borderId="94" xfId="0" applyBorder="1"/>
    <xf numFmtId="0" fontId="0" fillId="0" borderId="95" xfId="0" applyBorder="1"/>
    <xf numFmtId="0" fontId="2" fillId="0" borderId="0" xfId="0" applyFont="1" applyBorder="1" applyAlignment="1">
      <alignment horizontal="right"/>
    </xf>
    <xf numFmtId="0" fontId="2" fillId="0" borderId="100" xfId="0" applyFont="1" applyBorder="1"/>
    <xf numFmtId="0" fontId="0" fillId="16" borderId="0" xfId="0" applyFill="1" applyBorder="1"/>
    <xf numFmtId="0" fontId="2" fillId="16" borderId="0" xfId="0" applyFont="1" applyFill="1" applyBorder="1" applyAlignment="1">
      <alignment horizontal="right"/>
    </xf>
    <xf numFmtId="10" fontId="2" fillId="16" borderId="100" xfId="2" applyNumberFormat="1" applyFont="1" applyFill="1" applyBorder="1"/>
    <xf numFmtId="10" fontId="96" fillId="0" borderId="100" xfId="1" applyNumberFormat="1" applyFont="1" applyBorder="1"/>
    <xf numFmtId="0" fontId="96" fillId="0" borderId="0" xfId="0" applyFont="1" applyBorder="1" applyAlignment="1">
      <alignment horizontal="right"/>
    </xf>
    <xf numFmtId="0" fontId="0" fillId="0" borderId="0" xfId="0" applyBorder="1" applyAlignment="1">
      <alignment horizontal="center" vertical="center"/>
    </xf>
    <xf numFmtId="0" fontId="0" fillId="0" borderId="97" xfId="0" applyBorder="1" applyAlignment="1">
      <alignment horizontal="center" vertical="center"/>
    </xf>
    <xf numFmtId="43" fontId="0" fillId="0" borderId="0" xfId="1" applyFont="1" applyBorder="1" applyAlignment="1">
      <alignment horizontal="center"/>
    </xf>
    <xf numFmtId="0" fontId="0" fillId="0" borderId="0" xfId="0" applyBorder="1" applyAlignment="1">
      <alignment horizontal="center"/>
    </xf>
    <xf numFmtId="0" fontId="0" fillId="0" borderId="97" xfId="0" applyBorder="1" applyAlignment="1">
      <alignment horizontal="center"/>
    </xf>
    <xf numFmtId="164" fontId="6" fillId="2" borderId="109" xfId="1" quotePrefix="1" applyNumberFormat="1" applyFont="1" applyFill="1" applyBorder="1" applyAlignment="1">
      <alignment horizontal="center" vertical="center" wrapText="1"/>
    </xf>
    <xf numFmtId="2" fontId="0" fillId="0" borderId="0" xfId="0" applyNumberFormat="1" applyBorder="1" applyAlignment="1">
      <alignment horizontal="center"/>
    </xf>
    <xf numFmtId="2" fontId="0" fillId="0" borderId="97" xfId="0" applyNumberFormat="1" applyBorder="1" applyAlignment="1">
      <alignment horizontal="center"/>
    </xf>
    <xf numFmtId="166" fontId="0" fillId="0" borderId="0" xfId="0" applyNumberFormat="1" applyBorder="1"/>
    <xf numFmtId="7" fontId="0" fillId="0" borderId="100" xfId="0" applyNumberFormat="1" applyBorder="1"/>
    <xf numFmtId="10" fontId="0" fillId="0" borderId="98" xfId="0" applyNumberFormat="1" applyBorder="1"/>
    <xf numFmtId="43" fontId="87" fillId="10" borderId="4" xfId="1" applyNumberFormat="1" applyFont="1" applyFill="1" applyBorder="1" applyAlignment="1">
      <alignment horizontal="right"/>
    </xf>
    <xf numFmtId="231" fontId="0" fillId="0" borderId="100" xfId="0" applyNumberFormat="1" applyBorder="1"/>
    <xf numFmtId="231" fontId="0" fillId="0" borderId="98" xfId="0" applyNumberFormat="1" applyBorder="1"/>
    <xf numFmtId="164" fontId="4" fillId="0" borderId="0" xfId="1" applyNumberFormat="1" applyFont="1" applyFill="1" applyBorder="1" applyAlignment="1">
      <alignment horizontal="right"/>
    </xf>
    <xf numFmtId="9" fontId="0" fillId="0" borderId="100" xfId="2" applyFont="1" applyBorder="1" applyAlignment="1">
      <alignment horizontal="right" vertical="center"/>
    </xf>
    <xf numFmtId="9" fontId="0" fillId="0" borderId="98" xfId="2" applyFont="1" applyBorder="1" applyAlignment="1">
      <alignment horizontal="right" vertical="center"/>
    </xf>
    <xf numFmtId="0" fontId="97" fillId="0" borderId="0" xfId="0" applyFont="1" applyAlignment="1">
      <alignment horizontal="right"/>
    </xf>
    <xf numFmtId="229" fontId="65" fillId="10" borderId="4" xfId="2" applyNumberFormat="1" applyFont="1" applyFill="1" applyBorder="1" applyAlignment="1">
      <alignment horizontal="right"/>
    </xf>
    <xf numFmtId="165" fontId="98" fillId="0" borderId="0" xfId="1" applyNumberFormat="1" applyFont="1" applyAlignment="1">
      <alignment horizontal="right"/>
    </xf>
    <xf numFmtId="0" fontId="65" fillId="0" borderId="3" xfId="0" applyFont="1" applyFill="1" applyBorder="1" applyAlignment="1">
      <alignment horizontal="left"/>
    </xf>
    <xf numFmtId="0" fontId="65" fillId="0" borderId="4" xfId="0" applyFont="1" applyFill="1" applyBorder="1" applyAlignment="1">
      <alignment horizontal="left"/>
    </xf>
    <xf numFmtId="164" fontId="6" fillId="2" borderId="91" xfId="1" quotePrefix="1" applyNumberFormat="1" applyFont="1" applyFill="1" applyBorder="1" applyAlignment="1">
      <alignment horizontal="center" vertical="center" wrapText="1"/>
    </xf>
    <xf numFmtId="164" fontId="61" fillId="2" borderId="0" xfId="1" quotePrefix="1" applyNumberFormat="1" applyFont="1" applyFill="1" applyBorder="1" applyAlignment="1">
      <alignment horizontal="right"/>
    </xf>
    <xf numFmtId="164" fontId="61" fillId="2" borderId="5" xfId="1" quotePrefix="1" applyNumberFormat="1" applyFont="1" applyFill="1" applyBorder="1" applyAlignment="1">
      <alignment horizontal="right"/>
    </xf>
    <xf numFmtId="164" fontId="2" fillId="3" borderId="0" xfId="1" quotePrefix="1" applyNumberFormat="1" applyFont="1" applyFill="1" applyBorder="1" applyAlignment="1">
      <alignment horizontal="right"/>
    </xf>
    <xf numFmtId="164" fontId="2" fillId="3" borderId="5" xfId="1" quotePrefix="1" applyNumberFormat="1" applyFont="1" applyFill="1" applyBorder="1" applyAlignment="1">
      <alignment horizontal="right"/>
    </xf>
    <xf numFmtId="0" fontId="91" fillId="12" borderId="3" xfId="0" applyFont="1" applyFill="1" applyBorder="1" applyAlignment="1">
      <alignment horizontal="left"/>
    </xf>
    <xf numFmtId="0" fontId="99" fillId="0" borderId="0" xfId="0" applyFont="1"/>
    <xf numFmtId="0" fontId="99" fillId="0" borderId="3" xfId="0" applyFont="1" applyFill="1" applyBorder="1" applyAlignment="1">
      <alignment horizontal="left"/>
    </xf>
    <xf numFmtId="0" fontId="99" fillId="0" borderId="4" xfId="0" applyFont="1" applyFill="1" applyBorder="1" applyAlignment="1">
      <alignment horizontal="left"/>
    </xf>
    <xf numFmtId="165" fontId="99" fillId="0" borderId="0" xfId="1" applyNumberFormat="1" applyFont="1" applyFill="1" applyBorder="1" applyAlignment="1">
      <alignment horizontal="right"/>
    </xf>
    <xf numFmtId="165" fontId="99" fillId="0" borderId="5" xfId="1" applyNumberFormat="1" applyFont="1" applyFill="1" applyBorder="1" applyAlignment="1">
      <alignment horizontal="right"/>
    </xf>
    <xf numFmtId="165" fontId="99" fillId="10" borderId="0" xfId="1" applyNumberFormat="1" applyFont="1" applyFill="1" applyBorder="1" applyAlignment="1">
      <alignment horizontal="right"/>
    </xf>
    <xf numFmtId="165" fontId="99" fillId="12" borderId="0" xfId="1" quotePrefix="1" applyNumberFormat="1" applyFont="1" applyFill="1" applyBorder="1" applyAlignment="1">
      <alignment horizontal="right"/>
    </xf>
    <xf numFmtId="0" fontId="100" fillId="12" borderId="3" xfId="0" applyFont="1" applyFill="1" applyBorder="1" applyAlignment="1">
      <alignment horizontal="left"/>
    </xf>
    <xf numFmtId="0" fontId="100" fillId="12" borderId="52" xfId="0" applyFont="1" applyFill="1" applyBorder="1" applyAlignment="1">
      <alignment horizontal="left"/>
    </xf>
    <xf numFmtId="165" fontId="100" fillId="12" borderId="0" xfId="1" quotePrefix="1" applyNumberFormat="1" applyFont="1" applyFill="1" applyBorder="1" applyAlignment="1">
      <alignment horizontal="right"/>
    </xf>
    <xf numFmtId="166" fontId="100" fillId="12" borderId="54" xfId="2" quotePrefix="1" applyNumberFormat="1" applyFont="1" applyFill="1" applyBorder="1" applyAlignment="1">
      <alignment horizontal="right"/>
    </xf>
    <xf numFmtId="165" fontId="100" fillId="12" borderId="5" xfId="1" quotePrefix="1" applyNumberFormat="1" applyFont="1" applyFill="1" applyBorder="1" applyAlignment="1">
      <alignment horizontal="right"/>
    </xf>
    <xf numFmtId="166" fontId="65" fillId="0" borderId="0" xfId="2" applyNumberFormat="1" applyFont="1" applyFill="1" applyAlignment="1">
      <alignment horizontal="left"/>
    </xf>
    <xf numFmtId="166" fontId="65" fillId="12" borderId="3" xfId="2" applyNumberFormat="1" applyFont="1" applyFill="1" applyBorder="1" applyAlignment="1">
      <alignment horizontal="right"/>
    </xf>
    <xf numFmtId="9" fontId="65" fillId="0" borderId="0" xfId="1" applyNumberFormat="1" applyFont="1" applyFill="1" applyAlignment="1">
      <alignment horizontal="left"/>
    </xf>
    <xf numFmtId="10" fontId="65" fillId="0" borderId="0" xfId="1" applyNumberFormat="1" applyFont="1" applyFill="1" applyAlignment="1">
      <alignment horizontal="right"/>
    </xf>
    <xf numFmtId="166" fontId="65" fillId="12" borderId="7" xfId="2" applyNumberFormat="1" applyFont="1" applyFill="1" applyBorder="1" applyAlignment="1">
      <alignment horizontal="right"/>
    </xf>
    <xf numFmtId="228" fontId="0" fillId="0" borderId="97" xfId="0" applyNumberFormat="1" applyBorder="1" applyAlignment="1">
      <alignment horizontal="right" vertical="center"/>
    </xf>
    <xf numFmtId="1" fontId="65" fillId="0" borderId="110" xfId="0" applyNumberFormat="1" applyFont="1" applyBorder="1" applyAlignment="1">
      <alignment horizontal="center" vertical="center"/>
    </xf>
    <xf numFmtId="5" fontId="65" fillId="0" borderId="41" xfId="0" applyNumberFormat="1" applyFont="1" applyFill="1" applyBorder="1" applyAlignment="1">
      <alignment horizontal="right" vertical="center"/>
    </xf>
    <xf numFmtId="5" fontId="65" fillId="0" borderId="111" xfId="0" applyNumberFormat="1" applyFont="1" applyFill="1" applyBorder="1" applyAlignment="1">
      <alignment horizontal="right" vertical="center"/>
    </xf>
    <xf numFmtId="5" fontId="65" fillId="0" borderId="39" xfId="0" applyNumberFormat="1" applyFont="1" applyFill="1" applyBorder="1" applyAlignment="1">
      <alignment horizontal="right" vertical="center"/>
    </xf>
    <xf numFmtId="231" fontId="2" fillId="0" borderId="100" xfId="0" applyNumberFormat="1" applyFont="1" applyBorder="1"/>
    <xf numFmtId="0" fontId="4" fillId="0" borderId="0" xfId="0" applyFont="1" applyFill="1" applyAlignment="1">
      <alignment horizontal="right"/>
    </xf>
    <xf numFmtId="0" fontId="2" fillId="16" borderId="94" xfId="0" applyFont="1" applyFill="1" applyBorder="1" applyAlignment="1">
      <alignment horizontal="right"/>
    </xf>
    <xf numFmtId="10" fontId="2" fillId="16" borderId="94" xfId="0" applyNumberFormat="1" applyFont="1" applyFill="1" applyBorder="1"/>
    <xf numFmtId="0" fontId="0" fillId="0" borderId="96" xfId="0" applyFill="1" applyBorder="1"/>
    <xf numFmtId="0" fontId="0" fillId="0" borderId="97" xfId="0" applyFill="1" applyBorder="1"/>
    <xf numFmtId="0" fontId="2" fillId="0" borderId="97" xfId="0" applyFont="1" applyFill="1" applyBorder="1" applyAlignment="1">
      <alignment horizontal="right"/>
    </xf>
    <xf numFmtId="10" fontId="2" fillId="0" borderId="98" xfId="2" applyNumberFormat="1" applyFont="1" applyFill="1" applyBorder="1"/>
    <xf numFmtId="0" fontId="65" fillId="0" borderId="4" xfId="0" applyFont="1" applyFill="1" applyBorder="1" applyAlignment="1">
      <alignment horizontal="left"/>
    </xf>
    <xf numFmtId="164" fontId="6" fillId="2" borderId="77" xfId="1" quotePrefix="1" applyNumberFormat="1" applyFont="1" applyFill="1" applyBorder="1" applyAlignment="1">
      <alignment horizontal="center" vertical="center" wrapText="1"/>
    </xf>
    <xf numFmtId="0" fontId="67" fillId="0" borderId="0" xfId="0" applyFont="1" applyFill="1"/>
    <xf numFmtId="0" fontId="99" fillId="0" borderId="0" xfId="0" applyFont="1" applyFill="1"/>
    <xf numFmtId="9" fontId="4" fillId="0" borderId="0" xfId="2" applyFont="1" applyBorder="1" applyAlignment="1">
      <alignment horizontal="left"/>
    </xf>
    <xf numFmtId="228" fontId="0" fillId="0" borderId="0" xfId="0" applyNumberFormat="1" applyAlignment="1">
      <alignment horizontal="right" vertical="center"/>
    </xf>
    <xf numFmtId="228" fontId="79" fillId="16" borderId="0" xfId="0" applyNumberFormat="1" applyFont="1" applyFill="1" applyAlignment="1">
      <alignment horizontal="right" vertical="center"/>
    </xf>
    <xf numFmtId="166" fontId="0" fillId="0" borderId="0" xfId="2" applyNumberFormat="1" applyFont="1" applyAlignment="1">
      <alignment horizontal="right" vertical="center"/>
    </xf>
    <xf numFmtId="166" fontId="79" fillId="16" borderId="0" xfId="2" applyNumberFormat="1" applyFont="1" applyFill="1" applyAlignment="1">
      <alignment horizontal="right" vertical="center"/>
    </xf>
    <xf numFmtId="166" fontId="0" fillId="0" borderId="4" xfId="2" applyNumberFormat="1" applyFont="1" applyBorder="1" applyAlignment="1">
      <alignment horizontal="right" vertical="center"/>
    </xf>
    <xf numFmtId="226" fontId="0" fillId="0" borderId="0" xfId="0" applyNumberFormat="1" applyAlignment="1">
      <alignment horizontal="right" vertical="center"/>
    </xf>
    <xf numFmtId="226" fontId="79" fillId="16" borderId="0" xfId="0" applyNumberFormat="1" applyFont="1" applyFill="1" applyAlignment="1">
      <alignment horizontal="right" vertical="center"/>
    </xf>
    <xf numFmtId="166" fontId="65" fillId="11" borderId="34" xfId="2" applyNumberFormat="1" applyFont="1" applyFill="1" applyBorder="1" applyAlignment="1">
      <alignment horizontal="right"/>
    </xf>
    <xf numFmtId="165" fontId="65" fillId="11" borderId="0" xfId="1" applyNumberFormat="1" applyFont="1" applyFill="1" applyBorder="1" applyAlignment="1">
      <alignment horizontal="right"/>
    </xf>
    <xf numFmtId="9" fontId="102" fillId="0" borderId="0" xfId="2" applyFont="1" applyFill="1" applyBorder="1" applyAlignment="1">
      <alignment horizontal="left"/>
    </xf>
    <xf numFmtId="164" fontId="103" fillId="0" borderId="0" xfId="1" quotePrefix="1" applyNumberFormat="1" applyFont="1" applyFill="1" applyBorder="1" applyAlignment="1">
      <alignment horizontal="right"/>
    </xf>
    <xf numFmtId="164" fontId="4" fillId="0" borderId="0" xfId="1" applyNumberFormat="1" applyFont="1" applyFill="1" applyBorder="1" applyAlignment="1">
      <alignment horizontal="left" vertical="top"/>
    </xf>
    <xf numFmtId="0" fontId="65" fillId="0" borderId="3" xfId="0" applyFont="1" applyFill="1" applyBorder="1" applyAlignment="1">
      <alignment horizontal="left"/>
    </xf>
    <xf numFmtId="0" fontId="65" fillId="0" borderId="4" xfId="0" applyFont="1" applyFill="1" applyBorder="1" applyAlignment="1">
      <alignment horizontal="left"/>
    </xf>
    <xf numFmtId="0" fontId="65" fillId="0" borderId="6" xfId="0" applyFont="1" applyFill="1" applyBorder="1" applyAlignment="1">
      <alignment horizontal="left"/>
    </xf>
    <xf numFmtId="0" fontId="65" fillId="0" borderId="10" xfId="0" applyFont="1" applyFill="1" applyBorder="1" applyAlignment="1">
      <alignment horizontal="left"/>
    </xf>
    <xf numFmtId="0" fontId="63" fillId="2" borderId="1" xfId="0" applyFont="1" applyFill="1" applyBorder="1" applyAlignment="1">
      <alignment horizontal="left"/>
    </xf>
    <xf numFmtId="0" fontId="63" fillId="2" borderId="11" xfId="0" applyFont="1" applyFill="1" applyBorder="1" applyAlignment="1">
      <alignment horizontal="left"/>
    </xf>
    <xf numFmtId="0" fontId="67" fillId="12" borderId="3" xfId="0" applyFont="1" applyFill="1" applyBorder="1" applyAlignment="1">
      <alignment horizontal="left" indent="1"/>
    </xf>
    <xf numFmtId="0" fontId="67" fillId="12" borderId="4" xfId="0" applyFont="1" applyFill="1" applyBorder="1" applyAlignment="1">
      <alignment horizontal="left" indent="1"/>
    </xf>
    <xf numFmtId="0" fontId="65" fillId="12" borderId="3" xfId="0" applyFont="1" applyFill="1" applyBorder="1" applyAlignment="1">
      <alignment horizontal="left"/>
    </xf>
    <xf numFmtId="0" fontId="65" fillId="12" borderId="4" xfId="0" applyFont="1" applyFill="1" applyBorder="1" applyAlignment="1">
      <alignment horizontal="left"/>
    </xf>
    <xf numFmtId="0" fontId="69" fillId="12" borderId="27" xfId="0" applyFont="1" applyFill="1" applyBorder="1" applyAlignment="1">
      <alignment horizontal="left"/>
    </xf>
    <xf numFmtId="0" fontId="69" fillId="12" borderId="28" xfId="0" applyFont="1" applyFill="1" applyBorder="1" applyAlignment="1">
      <alignment horizontal="left"/>
    </xf>
    <xf numFmtId="0" fontId="65" fillId="0" borderId="27" xfId="0" applyFont="1" applyFill="1" applyBorder="1" applyAlignment="1">
      <alignment horizontal="left"/>
    </xf>
    <xf numFmtId="0" fontId="65" fillId="0" borderId="28" xfId="0" applyFont="1" applyFill="1" applyBorder="1" applyAlignment="1">
      <alignment horizontal="left"/>
    </xf>
    <xf numFmtId="0" fontId="65" fillId="0" borderId="3" xfId="0" applyFont="1" applyBorder="1" applyAlignment="1">
      <alignment horizontal="left"/>
    </xf>
    <xf numFmtId="0" fontId="65" fillId="0" borderId="4" xfId="0" applyFont="1" applyBorder="1" applyAlignment="1">
      <alignment horizontal="left"/>
    </xf>
    <xf numFmtId="0" fontId="65" fillId="12" borderId="3" xfId="3" applyFont="1" applyFill="1" applyBorder="1" applyAlignment="1">
      <alignment horizontal="left" vertical="top"/>
    </xf>
    <xf numFmtId="0" fontId="65" fillId="12" borderId="4" xfId="3" applyFont="1" applyFill="1" applyBorder="1" applyAlignment="1">
      <alignment horizontal="left" vertical="top"/>
    </xf>
    <xf numFmtId="0" fontId="65" fillId="0" borderId="6" xfId="0" applyFont="1" applyBorder="1" applyAlignment="1">
      <alignment horizontal="left"/>
    </xf>
    <xf numFmtId="0" fontId="65" fillId="0" borderId="10" xfId="0" applyFont="1" applyBorder="1" applyAlignment="1">
      <alignment horizontal="left"/>
    </xf>
    <xf numFmtId="0" fontId="69" fillId="0" borderId="3" xfId="0" applyFont="1" applyBorder="1" applyAlignment="1">
      <alignment horizontal="left"/>
    </xf>
    <xf numFmtId="0" fontId="69" fillId="0" borderId="4" xfId="0" applyFont="1" applyBorder="1" applyAlignment="1">
      <alignment horizontal="left"/>
    </xf>
    <xf numFmtId="0" fontId="64" fillId="2" borderId="3" xfId="0" applyFont="1" applyFill="1" applyBorder="1" applyAlignment="1">
      <alignment horizontal="left"/>
    </xf>
    <xf numFmtId="0" fontId="64" fillId="2" borderId="4" xfId="0" applyFont="1" applyFill="1" applyBorder="1" applyAlignment="1">
      <alignment horizontal="left"/>
    </xf>
    <xf numFmtId="0" fontId="63" fillId="2" borderId="3" xfId="0" applyFont="1" applyFill="1" applyBorder="1" applyAlignment="1">
      <alignment horizontal="left"/>
    </xf>
    <xf numFmtId="0" fontId="63" fillId="2" borderId="4" xfId="0" applyFont="1" applyFill="1" applyBorder="1" applyAlignment="1">
      <alignment horizontal="left"/>
    </xf>
    <xf numFmtId="0" fontId="69" fillId="12" borderId="3" xfId="0" applyFont="1" applyFill="1" applyBorder="1" applyAlignment="1">
      <alignment horizontal="left"/>
    </xf>
    <xf numFmtId="0" fontId="69" fillId="12" borderId="4" xfId="0" applyFont="1" applyFill="1" applyBorder="1" applyAlignment="1">
      <alignment horizontal="left"/>
    </xf>
    <xf numFmtId="0" fontId="69" fillId="0" borderId="48" xfId="0" applyFont="1" applyBorder="1" applyAlignment="1">
      <alignment horizontal="left"/>
    </xf>
    <xf numFmtId="0" fontId="69" fillId="0" borderId="49" xfId="0" applyFont="1" applyBorder="1" applyAlignment="1">
      <alignment horizontal="left"/>
    </xf>
    <xf numFmtId="0" fontId="65" fillId="0" borderId="14" xfId="0" applyFont="1" applyFill="1" applyBorder="1" applyAlignment="1">
      <alignment horizontal="left" indent="1"/>
    </xf>
    <xf numFmtId="0" fontId="65" fillId="0" borderId="15" xfId="0" applyFont="1" applyFill="1" applyBorder="1" applyAlignment="1">
      <alignment horizontal="left" indent="1"/>
    </xf>
    <xf numFmtId="0" fontId="65" fillId="12" borderId="3" xfId="0" applyFont="1" applyFill="1" applyBorder="1" applyAlignment="1">
      <alignment horizontal="left" indent="5"/>
    </xf>
    <xf numFmtId="0" fontId="65" fillId="12" borderId="4" xfId="0" applyFont="1" applyFill="1" applyBorder="1" applyAlignment="1">
      <alignment horizontal="left" indent="5"/>
    </xf>
    <xf numFmtId="0" fontId="65" fillId="12" borderId="3" xfId="0" applyFont="1" applyFill="1" applyBorder="1" applyAlignment="1">
      <alignment horizontal="left" indent="2"/>
    </xf>
    <xf numFmtId="0" fontId="65" fillId="12" borderId="4" xfId="0" applyFont="1" applyFill="1" applyBorder="1" applyAlignment="1">
      <alignment horizontal="left" indent="2"/>
    </xf>
    <xf numFmtId="0" fontId="65" fillId="12" borderId="14" xfId="0" applyFont="1" applyFill="1" applyBorder="1" applyAlignment="1">
      <alignment horizontal="left"/>
    </xf>
    <xf numFmtId="0" fontId="65" fillId="12" borderId="15" xfId="0" applyFont="1" applyFill="1" applyBorder="1" applyAlignment="1">
      <alignment horizontal="left"/>
    </xf>
    <xf numFmtId="0" fontId="67" fillId="0" borderId="14" xfId="0" applyFont="1" applyBorder="1" applyAlignment="1">
      <alignment horizontal="left" indent="1"/>
    </xf>
    <xf numFmtId="0" fontId="67" fillId="0" borderId="15" xfId="0" applyFont="1" applyBorder="1" applyAlignment="1">
      <alignment horizontal="left" indent="1"/>
    </xf>
    <xf numFmtId="0" fontId="65" fillId="10" borderId="1" xfId="0" applyFont="1" applyFill="1" applyBorder="1" applyAlignment="1">
      <alignment horizontal="left"/>
    </xf>
    <xf numFmtId="0" fontId="65" fillId="10" borderId="11" xfId="0" applyFont="1" applyFill="1" applyBorder="1" applyAlignment="1">
      <alignment horizontal="left"/>
    </xf>
    <xf numFmtId="0" fontId="65" fillId="11" borderId="3" xfId="0" applyFont="1" applyFill="1" applyBorder="1" applyAlignment="1">
      <alignment horizontal="left"/>
    </xf>
    <xf numFmtId="0" fontId="65" fillId="11" borderId="4" xfId="0" applyFont="1" applyFill="1" applyBorder="1" applyAlignment="1">
      <alignment horizontal="left"/>
    </xf>
    <xf numFmtId="0" fontId="65" fillId="9" borderId="6" xfId="0" applyFont="1" applyFill="1" applyBorder="1" applyAlignment="1">
      <alignment horizontal="left"/>
    </xf>
    <xf numFmtId="0" fontId="65" fillId="9" borderId="10" xfId="0" applyFont="1" applyFill="1" applyBorder="1" applyAlignment="1">
      <alignment horizontal="left"/>
    </xf>
    <xf numFmtId="0" fontId="67" fillId="0" borderId="3" xfId="0" applyFont="1" applyFill="1" applyBorder="1" applyAlignment="1">
      <alignment horizontal="left" indent="1"/>
    </xf>
    <xf numFmtId="0" fontId="67" fillId="0" borderId="4" xfId="0" applyFont="1" applyFill="1" applyBorder="1" applyAlignment="1">
      <alignment horizontal="left" indent="1"/>
    </xf>
    <xf numFmtId="0" fontId="67" fillId="0" borderId="3" xfId="0" applyFont="1" applyBorder="1" applyAlignment="1">
      <alignment horizontal="left"/>
    </xf>
    <xf numFmtId="0" fontId="67" fillId="0" borderId="4" xfId="0" applyFont="1" applyBorder="1" applyAlignment="1">
      <alignment horizontal="left"/>
    </xf>
    <xf numFmtId="0" fontId="65" fillId="0" borderId="3" xfId="0" applyFont="1" applyBorder="1" applyAlignment="1">
      <alignment horizontal="left" indent="2"/>
    </xf>
    <xf numFmtId="0" fontId="65" fillId="0" borderId="4" xfId="0" applyFont="1" applyBorder="1" applyAlignment="1">
      <alignment horizontal="left" indent="2"/>
    </xf>
    <xf numFmtId="0" fontId="67" fillId="0" borderId="3" xfId="0" applyFont="1" applyBorder="1" applyAlignment="1">
      <alignment horizontal="left" indent="2"/>
    </xf>
    <xf numFmtId="0" fontId="67" fillId="0" borderId="4" xfId="0" applyFont="1" applyBorder="1" applyAlignment="1">
      <alignment horizontal="left" indent="2"/>
    </xf>
    <xf numFmtId="0" fontId="67" fillId="0" borderId="3" xfId="3" applyFont="1" applyBorder="1" applyAlignment="1">
      <alignment horizontal="left" vertical="top" indent="2"/>
    </xf>
    <xf numFmtId="0" fontId="67" fillId="0" borderId="4" xfId="3" applyFont="1" applyBorder="1" applyAlignment="1">
      <alignment horizontal="left" vertical="top" indent="2"/>
    </xf>
    <xf numFmtId="0" fontId="65" fillId="0" borderId="3" xfId="3" applyFont="1" applyFill="1" applyBorder="1" applyAlignment="1">
      <alignment horizontal="left" vertical="top"/>
    </xf>
    <xf numFmtId="0" fontId="65" fillId="0" borderId="4" xfId="3" applyFont="1" applyFill="1" applyBorder="1" applyAlignment="1">
      <alignment horizontal="left" vertical="top"/>
    </xf>
    <xf numFmtId="0" fontId="4" fillId="12" borderId="3" xfId="0" applyFont="1" applyFill="1" applyBorder="1" applyAlignment="1">
      <alignment horizontal="left"/>
    </xf>
    <xf numFmtId="0" fontId="4" fillId="12" borderId="4" xfId="0" applyFont="1" applyFill="1" applyBorder="1" applyAlignment="1">
      <alignment horizontal="left"/>
    </xf>
    <xf numFmtId="0" fontId="65" fillId="0" borderId="29" xfId="0" applyFont="1" applyBorder="1" applyAlignment="1">
      <alignment horizontal="left" vertical="top" wrapText="1"/>
    </xf>
    <xf numFmtId="0" fontId="65" fillId="0" borderId="30" xfId="0" applyFont="1" applyBorder="1" applyAlignment="1">
      <alignment horizontal="left" vertical="top" wrapText="1"/>
    </xf>
    <xf numFmtId="0" fontId="87"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65" fillId="0" borderId="3" xfId="0" applyFont="1" applyFill="1" applyBorder="1" applyAlignment="1">
      <alignment horizontal="left" vertical="top" wrapText="1"/>
    </xf>
    <xf numFmtId="0" fontId="65" fillId="0" borderId="4" xfId="0" applyFont="1" applyFill="1" applyBorder="1" applyAlignment="1">
      <alignment horizontal="left" vertical="top" wrapText="1"/>
    </xf>
    <xf numFmtId="0" fontId="4" fillId="0" borderId="2" xfId="0" applyFont="1" applyFill="1" applyBorder="1" applyAlignment="1">
      <alignment horizontal="left"/>
    </xf>
    <xf numFmtId="0" fontId="65" fillId="12" borderId="27" xfId="0" applyFont="1" applyFill="1" applyBorder="1" applyAlignment="1">
      <alignment horizontal="left"/>
    </xf>
    <xf numFmtId="0" fontId="65" fillId="12" borderId="28" xfId="0" applyFont="1" applyFill="1" applyBorder="1" applyAlignment="1">
      <alignment horizontal="left"/>
    </xf>
    <xf numFmtId="0" fontId="63" fillId="2" borderId="2" xfId="0" applyFont="1" applyFill="1" applyBorder="1" applyAlignment="1">
      <alignment horizontal="left"/>
    </xf>
    <xf numFmtId="0" fontId="65" fillId="0" borderId="27" xfId="0" applyFont="1" applyFill="1" applyBorder="1" applyAlignment="1">
      <alignment horizontal="left" vertical="top" wrapText="1"/>
    </xf>
    <xf numFmtId="0" fontId="65" fillId="0" borderId="28" xfId="0" applyFont="1" applyFill="1" applyBorder="1" applyAlignment="1">
      <alignment horizontal="left" vertical="top" wrapText="1"/>
    </xf>
    <xf numFmtId="0" fontId="65" fillId="0" borderId="6" xfId="0" applyFont="1" applyFill="1" applyBorder="1" applyAlignment="1">
      <alignment horizontal="left" vertical="top" wrapText="1"/>
    </xf>
    <xf numFmtId="0" fontId="65" fillId="0" borderId="10" xfId="0" applyFont="1" applyFill="1" applyBorder="1" applyAlignment="1">
      <alignment horizontal="left" vertical="top" wrapText="1"/>
    </xf>
    <xf numFmtId="0" fontId="65" fillId="0" borderId="12" xfId="0" applyFont="1" applyFill="1" applyBorder="1" applyAlignment="1">
      <alignment horizontal="left" vertical="top" wrapText="1"/>
    </xf>
    <xf numFmtId="0" fontId="65" fillId="0" borderId="13" xfId="0" applyFont="1" applyFill="1" applyBorder="1" applyAlignment="1">
      <alignment horizontal="left" vertical="top" wrapText="1"/>
    </xf>
    <xf numFmtId="0" fontId="65" fillId="0" borderId="25" xfId="0" applyFont="1" applyFill="1" applyBorder="1" applyAlignment="1">
      <alignment horizontal="left" vertical="top" wrapText="1"/>
    </xf>
    <xf numFmtId="0" fontId="65" fillId="0" borderId="26" xfId="0" applyFont="1" applyFill="1" applyBorder="1" applyAlignment="1">
      <alignment horizontal="left" vertical="top" wrapText="1"/>
    </xf>
    <xf numFmtId="0" fontId="69" fillId="0" borderId="27" xfId="0" applyFont="1" applyBorder="1" applyAlignment="1">
      <alignment horizontal="left"/>
    </xf>
    <xf numFmtId="0" fontId="69" fillId="0" borderId="28" xfId="0" applyFont="1" applyBorder="1" applyAlignment="1">
      <alignment horizontal="left"/>
    </xf>
    <xf numFmtId="0" fontId="64" fillId="0" borderId="55" xfId="0" applyFont="1" applyFill="1" applyBorder="1" applyAlignment="1">
      <alignment horizontal="center" wrapText="1"/>
    </xf>
    <xf numFmtId="0" fontId="64" fillId="0" borderId="5" xfId="0" applyFont="1" applyFill="1" applyBorder="1" applyAlignment="1">
      <alignment horizontal="center" wrapText="1"/>
    </xf>
    <xf numFmtId="0" fontId="67" fillId="0" borderId="3" xfId="0" applyFont="1" applyBorder="1" applyAlignment="1">
      <alignment horizontal="left" indent="1"/>
    </xf>
    <xf numFmtId="0" fontId="67" fillId="0" borderId="4" xfId="0" applyFont="1" applyBorder="1" applyAlignment="1">
      <alignment horizontal="left" indent="1"/>
    </xf>
    <xf numFmtId="0" fontId="67" fillId="0" borderId="6" xfId="0" applyFont="1" applyBorder="1" applyAlignment="1">
      <alignment horizontal="left" indent="2"/>
    </xf>
    <xf numFmtId="0" fontId="67" fillId="0" borderId="10" xfId="0" applyFont="1" applyBorder="1" applyAlignment="1">
      <alignment horizontal="left" indent="2"/>
    </xf>
    <xf numFmtId="0" fontId="2" fillId="0" borderId="0" xfId="0" applyFont="1" applyFill="1" applyAlignment="1">
      <alignment horizontal="center" vertical="top" wrapText="1"/>
    </xf>
    <xf numFmtId="0" fontId="80" fillId="14" borderId="58" xfId="0" applyFont="1" applyFill="1" applyBorder="1" applyAlignment="1">
      <alignment horizontal="center" vertical="center" wrapText="1"/>
    </xf>
    <xf numFmtId="0" fontId="80" fillId="14" borderId="59" xfId="0" applyFont="1" applyFill="1" applyBorder="1" applyAlignment="1">
      <alignment horizontal="center" vertical="center" wrapText="1"/>
    </xf>
    <xf numFmtId="0" fontId="80" fillId="14" borderId="60" xfId="0" applyFont="1" applyFill="1" applyBorder="1" applyAlignment="1">
      <alignment horizontal="center" vertical="center" wrapText="1"/>
    </xf>
    <xf numFmtId="0" fontId="83" fillId="0" borderId="87" xfId="0" applyFont="1" applyFill="1" applyBorder="1" applyAlignment="1">
      <alignment horizontal="left" vertical="top" wrapText="1"/>
    </xf>
    <xf numFmtId="0" fontId="83" fillId="0" borderId="88" xfId="0" applyFont="1" applyFill="1" applyBorder="1" applyAlignment="1">
      <alignment horizontal="left" vertical="top" wrapText="1"/>
    </xf>
    <xf numFmtId="0" fontId="83" fillId="0" borderId="89" xfId="0" applyFont="1" applyFill="1" applyBorder="1" applyAlignment="1">
      <alignment horizontal="left" vertical="top" wrapText="1"/>
    </xf>
    <xf numFmtId="0" fontId="85" fillId="0" borderId="74" xfId="0" applyFont="1" applyFill="1" applyBorder="1" applyAlignment="1">
      <alignment horizontal="center" vertical="center" wrapText="1"/>
    </xf>
    <xf numFmtId="0" fontId="81" fillId="2" borderId="67" xfId="0" applyFont="1" applyFill="1" applyBorder="1" applyAlignment="1">
      <alignment horizontal="center" vertical="center" wrapText="1"/>
    </xf>
    <xf numFmtId="0" fontId="81" fillId="2" borderId="61" xfId="0" applyFont="1" applyFill="1" applyBorder="1" applyAlignment="1">
      <alignment horizontal="center" vertical="center" wrapText="1"/>
    </xf>
    <xf numFmtId="14" fontId="84" fillId="0" borderId="83" xfId="0" applyNumberFormat="1" applyFont="1" applyFill="1" applyBorder="1" applyAlignment="1">
      <alignment horizontal="center" vertical="center" wrapText="1"/>
    </xf>
    <xf numFmtId="14" fontId="84" fillId="0" borderId="84" xfId="0" applyNumberFormat="1" applyFont="1" applyFill="1" applyBorder="1" applyAlignment="1">
      <alignment horizontal="center" vertical="center" wrapText="1"/>
    </xf>
    <xf numFmtId="14" fontId="84" fillId="0" borderId="75" xfId="0" applyNumberFormat="1" applyFont="1" applyFill="1" applyBorder="1" applyAlignment="1">
      <alignment horizontal="center" vertical="center" wrapText="1"/>
    </xf>
    <xf numFmtId="0" fontId="81" fillId="2" borderId="85" xfId="0" applyFont="1" applyFill="1" applyBorder="1" applyAlignment="1">
      <alignment horizontal="center" vertical="center" wrapText="1"/>
    </xf>
    <xf numFmtId="0" fontId="81" fillId="2" borderId="86" xfId="0" applyFont="1" applyFill="1" applyBorder="1" applyAlignment="1">
      <alignment horizontal="center" vertical="center" wrapText="1"/>
    </xf>
    <xf numFmtId="0" fontId="86" fillId="13" borderId="66" xfId="0" applyFont="1" applyFill="1" applyBorder="1" applyAlignment="1">
      <alignment horizontal="center" vertical="center" wrapText="1"/>
    </xf>
    <xf numFmtId="0" fontId="86" fillId="13" borderId="59" xfId="0" applyFont="1" applyFill="1" applyBorder="1" applyAlignment="1">
      <alignment horizontal="center" vertical="center" wrapText="1"/>
    </xf>
    <xf numFmtId="0" fontId="85" fillId="0" borderId="73" xfId="0" applyFont="1" applyFill="1" applyBorder="1" applyAlignment="1">
      <alignment horizontal="center" vertical="center" wrapText="1"/>
    </xf>
    <xf numFmtId="0" fontId="85" fillId="0" borderId="71" xfId="0" applyFont="1" applyFill="1" applyBorder="1" applyAlignment="1">
      <alignment horizontal="center" vertical="center" wrapText="1"/>
    </xf>
    <xf numFmtId="0" fontId="85" fillId="0" borderId="72" xfId="0" applyFont="1" applyFill="1" applyBorder="1" applyAlignment="1">
      <alignment horizontal="center" vertical="center" wrapText="1"/>
    </xf>
    <xf numFmtId="0" fontId="81" fillId="2" borderId="68" xfId="0" applyFont="1" applyFill="1" applyBorder="1" applyAlignment="1">
      <alignment horizontal="center" vertical="center" wrapText="1"/>
    </xf>
    <xf numFmtId="0" fontId="81" fillId="2" borderId="69" xfId="0" applyFont="1" applyFill="1" applyBorder="1" applyAlignment="1">
      <alignment horizontal="center" vertical="center" wrapText="1"/>
    </xf>
    <xf numFmtId="0" fontId="2" fillId="0" borderId="0" xfId="0" applyFont="1" applyAlignment="1">
      <alignment horizontal="center" vertical="top" wrapText="1"/>
    </xf>
    <xf numFmtId="164" fontId="6" fillId="2" borderId="81" xfId="1" quotePrefix="1" applyNumberFormat="1" applyFont="1" applyFill="1" applyBorder="1" applyAlignment="1">
      <alignment horizontal="center" vertical="center" wrapText="1"/>
    </xf>
    <xf numFmtId="164" fontId="6" fillId="2" borderId="78" xfId="1" quotePrefix="1" applyNumberFormat="1" applyFont="1" applyFill="1" applyBorder="1" applyAlignment="1">
      <alignment horizontal="center" vertical="center" wrapText="1"/>
    </xf>
    <xf numFmtId="164" fontId="6" fillId="2" borderId="79" xfId="1" quotePrefix="1" applyNumberFormat="1" applyFont="1" applyFill="1" applyBorder="1" applyAlignment="1">
      <alignment horizontal="center" vertical="center" wrapText="1"/>
    </xf>
    <xf numFmtId="164" fontId="88" fillId="13" borderId="35" xfId="1" quotePrefix="1" applyNumberFormat="1" applyFont="1" applyFill="1" applyBorder="1" applyAlignment="1">
      <alignment horizontal="center" vertical="center" wrapText="1"/>
    </xf>
    <xf numFmtId="164" fontId="88" fillId="13" borderId="36" xfId="1" quotePrefix="1" applyNumberFormat="1" applyFont="1" applyFill="1" applyBorder="1" applyAlignment="1">
      <alignment horizontal="center" vertical="center" wrapText="1"/>
    </xf>
    <xf numFmtId="164" fontId="88" fillId="13" borderId="37" xfId="1" quotePrefix="1" applyNumberFormat="1" applyFont="1" applyFill="1" applyBorder="1" applyAlignment="1">
      <alignment horizontal="center" vertical="center" wrapText="1"/>
    </xf>
    <xf numFmtId="164" fontId="6" fillId="2" borderId="76" xfId="1" quotePrefix="1" applyNumberFormat="1" applyFont="1" applyFill="1" applyBorder="1" applyAlignment="1">
      <alignment horizontal="center" vertical="center" wrapText="1"/>
    </xf>
    <xf numFmtId="164" fontId="6" fillId="2" borderId="77" xfId="1" quotePrefix="1" applyNumberFormat="1" applyFont="1" applyFill="1" applyBorder="1" applyAlignment="1">
      <alignment horizontal="center" vertical="center" wrapText="1"/>
    </xf>
    <xf numFmtId="164" fontId="6" fillId="2" borderId="82" xfId="1" quotePrefix="1" applyNumberFormat="1" applyFont="1" applyFill="1" applyBorder="1" applyAlignment="1">
      <alignment horizontal="center" vertical="center" wrapText="1"/>
    </xf>
    <xf numFmtId="164" fontId="6" fillId="2" borderId="80" xfId="1" quotePrefix="1" applyNumberFormat="1" applyFont="1" applyFill="1" applyBorder="1" applyAlignment="1">
      <alignment horizontal="center" vertical="center" wrapText="1"/>
    </xf>
    <xf numFmtId="164" fontId="88" fillId="15" borderId="81" xfId="1" quotePrefix="1" applyNumberFormat="1" applyFont="1" applyFill="1" applyBorder="1" applyAlignment="1">
      <alignment horizontal="center" vertical="center" wrapText="1"/>
    </xf>
    <xf numFmtId="164" fontId="88" fillId="15" borderId="78" xfId="1" quotePrefix="1" applyNumberFormat="1" applyFont="1" applyFill="1" applyBorder="1" applyAlignment="1">
      <alignment horizontal="center" vertical="center" wrapText="1"/>
    </xf>
    <xf numFmtId="164" fontId="88" fillId="15" borderId="79" xfId="1" quotePrefix="1" applyNumberFormat="1" applyFont="1" applyFill="1" applyBorder="1" applyAlignment="1">
      <alignment horizontal="center" vertical="center" wrapText="1"/>
    </xf>
    <xf numFmtId="164" fontId="61" fillId="2" borderId="93" xfId="1" quotePrefix="1" applyNumberFormat="1" applyFont="1" applyFill="1" applyBorder="1" applyAlignment="1">
      <alignment horizontal="left"/>
    </xf>
    <xf numFmtId="164" fontId="61" fillId="2" borderId="94" xfId="1" quotePrefix="1" applyNumberFormat="1" applyFont="1" applyFill="1" applyBorder="1" applyAlignment="1">
      <alignment horizontal="left"/>
    </xf>
    <xf numFmtId="164" fontId="61" fillId="2" borderId="95" xfId="1" quotePrefix="1" applyNumberFormat="1" applyFont="1" applyFill="1" applyBorder="1" applyAlignment="1">
      <alignment horizontal="left"/>
    </xf>
    <xf numFmtId="164" fontId="61" fillId="2" borderId="91" xfId="1" quotePrefix="1" applyNumberFormat="1" applyFont="1" applyFill="1" applyBorder="1" applyAlignment="1">
      <alignment horizontal="center"/>
    </xf>
    <xf numFmtId="164" fontId="61" fillId="2" borderId="92" xfId="1" quotePrefix="1" applyNumberFormat="1" applyFont="1" applyFill="1" applyBorder="1" applyAlignment="1">
      <alignment horizontal="center"/>
    </xf>
    <xf numFmtId="164" fontId="61" fillId="2" borderId="112" xfId="1" quotePrefix="1" applyNumberFormat="1" applyFont="1" applyFill="1" applyBorder="1" applyAlignment="1">
      <alignment horizontal="center"/>
    </xf>
    <xf numFmtId="164" fontId="6" fillId="2" borderId="91" xfId="1" quotePrefix="1" applyNumberFormat="1" applyFont="1" applyFill="1" applyBorder="1" applyAlignment="1">
      <alignment horizontal="center" vertical="center" wrapText="1"/>
    </xf>
    <xf numFmtId="164" fontId="6" fillId="2" borderId="94" xfId="1" quotePrefix="1" applyNumberFormat="1" applyFont="1" applyFill="1" applyBorder="1" applyAlignment="1">
      <alignment horizontal="center" vertical="center" wrapText="1"/>
    </xf>
    <xf numFmtId="164" fontId="6" fillId="2" borderId="95" xfId="1" quotePrefix="1" applyNumberFormat="1" applyFont="1" applyFill="1" applyBorder="1" applyAlignment="1">
      <alignment horizontal="center" vertical="center" wrapText="1"/>
    </xf>
    <xf numFmtId="164" fontId="61" fillId="2" borderId="96" xfId="1" quotePrefix="1" applyNumberFormat="1" applyFont="1" applyFill="1" applyBorder="1" applyAlignment="1">
      <alignment horizontal="left"/>
    </xf>
    <xf numFmtId="164" fontId="88" fillId="13" borderId="81" xfId="1" quotePrefix="1" applyNumberFormat="1" applyFont="1" applyFill="1" applyBorder="1" applyAlignment="1">
      <alignment horizontal="center" vertical="center" wrapText="1"/>
    </xf>
    <xf numFmtId="164" fontId="88" fillId="13" borderId="78" xfId="1" quotePrefix="1" applyNumberFormat="1" applyFont="1" applyFill="1" applyBorder="1" applyAlignment="1">
      <alignment horizontal="center" vertical="center" wrapText="1"/>
    </xf>
    <xf numFmtId="164" fontId="88" fillId="13" borderId="79" xfId="1" quotePrefix="1" applyNumberFormat="1" applyFont="1" applyFill="1" applyBorder="1" applyAlignment="1">
      <alignment horizontal="center" vertical="center" wrapText="1"/>
    </xf>
    <xf numFmtId="164" fontId="2" fillId="3" borderId="38" xfId="1" quotePrefix="1" applyNumberFormat="1" applyFont="1" applyFill="1" applyBorder="1" applyAlignment="1">
      <alignment horizontal="center" vertical="center"/>
    </xf>
    <xf numFmtId="164" fontId="2" fillId="3" borderId="39" xfId="1" quotePrefix="1" applyNumberFormat="1" applyFont="1" applyFill="1" applyBorder="1" applyAlignment="1">
      <alignment horizontal="center" vertical="center"/>
    </xf>
    <xf numFmtId="164" fontId="2" fillId="3" borderId="108" xfId="1" quotePrefix="1" applyNumberFormat="1" applyFont="1" applyFill="1" applyBorder="1" applyAlignment="1">
      <alignment horizontal="center" vertical="center"/>
    </xf>
    <xf numFmtId="164" fontId="6" fillId="2" borderId="92" xfId="1" quotePrefix="1" applyNumberFormat="1" applyFont="1" applyFill="1" applyBorder="1" applyAlignment="1">
      <alignment horizontal="center" vertical="center" wrapText="1"/>
    </xf>
    <xf numFmtId="164" fontId="61" fillId="2" borderId="93" xfId="1" quotePrefix="1" applyNumberFormat="1" applyFont="1" applyFill="1" applyBorder="1" applyAlignment="1">
      <alignment horizontal="center"/>
    </xf>
    <xf numFmtId="164" fontId="61" fillId="2" borderId="94" xfId="1" quotePrefix="1" applyNumberFormat="1" applyFont="1" applyFill="1" applyBorder="1" applyAlignment="1">
      <alignment horizontal="center"/>
    </xf>
    <xf numFmtId="164" fontId="88" fillId="15" borderId="35" xfId="1" quotePrefix="1" applyNumberFormat="1" applyFont="1" applyFill="1" applyBorder="1" applyAlignment="1">
      <alignment horizontal="center" vertical="center" wrapText="1"/>
    </xf>
    <xf numFmtId="164" fontId="88" fillId="15" borderId="36" xfId="1" quotePrefix="1" applyNumberFormat="1" applyFont="1" applyFill="1" applyBorder="1" applyAlignment="1">
      <alignment horizontal="center" vertical="center" wrapText="1"/>
    </xf>
    <xf numFmtId="164" fontId="88" fillId="15" borderId="37" xfId="1" quotePrefix="1" applyNumberFormat="1" applyFont="1" applyFill="1" applyBorder="1" applyAlignment="1">
      <alignment horizontal="center" vertical="center" wrapText="1"/>
    </xf>
  </cellXfs>
  <cellStyles count="330">
    <cellStyle name="_%(SignOnly)" xfId="6" xr:uid="{00000000-0005-0000-0000-000000000000}"/>
    <cellStyle name="_%(SignSpaceOnly)" xfId="7" xr:uid="{00000000-0005-0000-0000-000001000000}"/>
    <cellStyle name="_Comma" xfId="8" xr:uid="{00000000-0005-0000-0000-000002000000}"/>
    <cellStyle name="_Currency" xfId="9" xr:uid="{00000000-0005-0000-0000-000003000000}"/>
    <cellStyle name="_CurrencySpace" xfId="10" xr:uid="{00000000-0005-0000-0000-000004000000}"/>
    <cellStyle name="_Euro" xfId="11" xr:uid="{00000000-0005-0000-0000-000005000000}"/>
    <cellStyle name="_Heading" xfId="12" xr:uid="{00000000-0005-0000-0000-000006000000}"/>
    <cellStyle name="_Heading_prestemp" xfId="13" xr:uid="{00000000-0005-0000-0000-000007000000}"/>
    <cellStyle name="_Heading_prestemp_1st Qtr PL FY07" xfId="14" xr:uid="{00000000-0005-0000-0000-000008000000}"/>
    <cellStyle name="_Heading_prestemp_Financial Statements" xfId="15" xr:uid="{00000000-0005-0000-0000-000009000000}"/>
    <cellStyle name="_Heading_prestemp_Financial Statementsvs1" xfId="16" xr:uid="{00000000-0005-0000-0000-00000A000000}"/>
    <cellStyle name="_Highlight" xfId="17" xr:uid="{00000000-0005-0000-0000-00000B000000}"/>
    <cellStyle name="_Multiple" xfId="18" xr:uid="{00000000-0005-0000-0000-00000C000000}"/>
    <cellStyle name="_MultipleSpace" xfId="19" xr:uid="{00000000-0005-0000-0000-00000D000000}"/>
    <cellStyle name="_SubHeading" xfId="20" xr:uid="{00000000-0005-0000-0000-00000E000000}"/>
    <cellStyle name="_SubHeading_prestemp" xfId="21" xr:uid="{00000000-0005-0000-0000-00000F000000}"/>
    <cellStyle name="_SubHeading_prestemp_1st Qtr PL FY07" xfId="22" xr:uid="{00000000-0005-0000-0000-000010000000}"/>
    <cellStyle name="_SubHeading_prestemp_Financial Statements" xfId="23" xr:uid="{00000000-0005-0000-0000-000011000000}"/>
    <cellStyle name="_SubHeading_prestemp_Financial Statementsvs1" xfId="24" xr:uid="{00000000-0005-0000-0000-000012000000}"/>
    <cellStyle name="_Table" xfId="25" xr:uid="{00000000-0005-0000-0000-000013000000}"/>
    <cellStyle name="_TableHead" xfId="26" xr:uid="{00000000-0005-0000-0000-000014000000}"/>
    <cellStyle name="_TableRowHead" xfId="27" xr:uid="{00000000-0005-0000-0000-000015000000}"/>
    <cellStyle name="_TableSuperHead" xfId="28" xr:uid="{00000000-0005-0000-0000-000016000000}"/>
    <cellStyle name="=C:\WINNT\SYSTEM32\COMMAND.COM" xfId="29" xr:uid="{00000000-0005-0000-0000-000017000000}"/>
    <cellStyle name="=C:\WINNT\SYSTEM32\COMMAND.COM 2" xfId="30" xr:uid="{00000000-0005-0000-0000-000018000000}"/>
    <cellStyle name="6-0" xfId="31" xr:uid="{00000000-0005-0000-0000-000019000000}"/>
    <cellStyle name="Bold12" xfId="32" xr:uid="{00000000-0005-0000-0000-00001A000000}"/>
    <cellStyle name="BoldItal12" xfId="33" xr:uid="{00000000-0005-0000-0000-00001B000000}"/>
    <cellStyle name="Border" xfId="34" xr:uid="{00000000-0005-0000-0000-00001C000000}"/>
    <cellStyle name="Border 10" xfId="35" xr:uid="{00000000-0005-0000-0000-00001D000000}"/>
    <cellStyle name="Border 11" xfId="36" xr:uid="{00000000-0005-0000-0000-00001E000000}"/>
    <cellStyle name="Border 12" xfId="37" xr:uid="{00000000-0005-0000-0000-00001F000000}"/>
    <cellStyle name="Border 13" xfId="38" xr:uid="{00000000-0005-0000-0000-000020000000}"/>
    <cellStyle name="Border 14" xfId="39" xr:uid="{00000000-0005-0000-0000-000021000000}"/>
    <cellStyle name="Border 15" xfId="40" xr:uid="{00000000-0005-0000-0000-000022000000}"/>
    <cellStyle name="Border 16" xfId="41" xr:uid="{00000000-0005-0000-0000-000023000000}"/>
    <cellStyle name="Border 17" xfId="42" xr:uid="{00000000-0005-0000-0000-000024000000}"/>
    <cellStyle name="Border 18" xfId="43" xr:uid="{00000000-0005-0000-0000-000025000000}"/>
    <cellStyle name="Border 19" xfId="44" xr:uid="{00000000-0005-0000-0000-000026000000}"/>
    <cellStyle name="Border 2" xfId="45" xr:uid="{00000000-0005-0000-0000-000027000000}"/>
    <cellStyle name="Border 20" xfId="46" xr:uid="{00000000-0005-0000-0000-000028000000}"/>
    <cellStyle name="Border 21" xfId="47" xr:uid="{00000000-0005-0000-0000-000029000000}"/>
    <cellStyle name="Border 22" xfId="48" xr:uid="{00000000-0005-0000-0000-00002A000000}"/>
    <cellStyle name="Border 23" xfId="49" xr:uid="{00000000-0005-0000-0000-00002B000000}"/>
    <cellStyle name="Border 24" xfId="50" xr:uid="{00000000-0005-0000-0000-00002C000000}"/>
    <cellStyle name="Border 25" xfId="51" xr:uid="{00000000-0005-0000-0000-00002D000000}"/>
    <cellStyle name="Border 26" xfId="52" xr:uid="{00000000-0005-0000-0000-00002E000000}"/>
    <cellStyle name="Border 27" xfId="53" xr:uid="{00000000-0005-0000-0000-00002F000000}"/>
    <cellStyle name="Border 28" xfId="54" xr:uid="{00000000-0005-0000-0000-000030000000}"/>
    <cellStyle name="Border 29" xfId="55" xr:uid="{00000000-0005-0000-0000-000031000000}"/>
    <cellStyle name="Border 3" xfId="56" xr:uid="{00000000-0005-0000-0000-000032000000}"/>
    <cellStyle name="Border 30" xfId="57" xr:uid="{00000000-0005-0000-0000-000033000000}"/>
    <cellStyle name="Border 31" xfId="58" xr:uid="{00000000-0005-0000-0000-000034000000}"/>
    <cellStyle name="Border 32" xfId="59" xr:uid="{00000000-0005-0000-0000-000035000000}"/>
    <cellStyle name="Border 33" xfId="60" xr:uid="{00000000-0005-0000-0000-000036000000}"/>
    <cellStyle name="Border 34" xfId="61" xr:uid="{00000000-0005-0000-0000-000037000000}"/>
    <cellStyle name="Border 35" xfId="62" xr:uid="{00000000-0005-0000-0000-000038000000}"/>
    <cellStyle name="Border 36" xfId="63" xr:uid="{00000000-0005-0000-0000-000039000000}"/>
    <cellStyle name="Border 37" xfId="64" xr:uid="{00000000-0005-0000-0000-00003A000000}"/>
    <cellStyle name="Border 38" xfId="65" xr:uid="{00000000-0005-0000-0000-00003B000000}"/>
    <cellStyle name="Border 39" xfId="66" xr:uid="{00000000-0005-0000-0000-00003C000000}"/>
    <cellStyle name="Border 4" xfId="67" xr:uid="{00000000-0005-0000-0000-00003D000000}"/>
    <cellStyle name="Border 40" xfId="68" xr:uid="{00000000-0005-0000-0000-00003E000000}"/>
    <cellStyle name="Border 41" xfId="69" xr:uid="{00000000-0005-0000-0000-00003F000000}"/>
    <cellStyle name="Border 42" xfId="70" xr:uid="{00000000-0005-0000-0000-000040000000}"/>
    <cellStyle name="Border 5" xfId="71" xr:uid="{00000000-0005-0000-0000-000041000000}"/>
    <cellStyle name="Border 6" xfId="72" xr:uid="{00000000-0005-0000-0000-000042000000}"/>
    <cellStyle name="Border 7" xfId="73" xr:uid="{00000000-0005-0000-0000-000043000000}"/>
    <cellStyle name="Border 8" xfId="74" xr:uid="{00000000-0005-0000-0000-000044000000}"/>
    <cellStyle name="Border 9" xfId="75" xr:uid="{00000000-0005-0000-0000-000045000000}"/>
    <cellStyle name="Calc Currency (0)" xfId="76" xr:uid="{00000000-0005-0000-0000-000046000000}"/>
    <cellStyle name="Calc Currency (0) 2" xfId="77" xr:uid="{00000000-0005-0000-0000-000047000000}"/>
    <cellStyle name="Calc Currency (2)" xfId="78" xr:uid="{00000000-0005-0000-0000-000048000000}"/>
    <cellStyle name="Calc Currency (2) 2" xfId="79" xr:uid="{00000000-0005-0000-0000-000049000000}"/>
    <cellStyle name="Calc Percent (0)" xfId="80" xr:uid="{00000000-0005-0000-0000-00004A000000}"/>
    <cellStyle name="Calc Percent (0) 2" xfId="81" xr:uid="{00000000-0005-0000-0000-00004B000000}"/>
    <cellStyle name="Calc Percent (1)" xfId="82" xr:uid="{00000000-0005-0000-0000-00004C000000}"/>
    <cellStyle name="Calc Percent (1) 2" xfId="83" xr:uid="{00000000-0005-0000-0000-00004D000000}"/>
    <cellStyle name="Calc Percent (2)" xfId="84" xr:uid="{00000000-0005-0000-0000-00004E000000}"/>
    <cellStyle name="Calc Percent (2) 2" xfId="85" xr:uid="{00000000-0005-0000-0000-00004F000000}"/>
    <cellStyle name="Calc Units (0)" xfId="86" xr:uid="{00000000-0005-0000-0000-000050000000}"/>
    <cellStyle name="Calc Units (0) 2" xfId="87" xr:uid="{00000000-0005-0000-0000-000051000000}"/>
    <cellStyle name="Calc Units (1)" xfId="88" xr:uid="{00000000-0005-0000-0000-000052000000}"/>
    <cellStyle name="Calc Units (1) 2" xfId="89" xr:uid="{00000000-0005-0000-0000-000053000000}"/>
    <cellStyle name="Calc Units (2)" xfId="90" xr:uid="{00000000-0005-0000-0000-000054000000}"/>
    <cellStyle name="Calc Units (2) 2" xfId="91" xr:uid="{00000000-0005-0000-0000-000055000000}"/>
    <cellStyle name="Centered Heading" xfId="92" xr:uid="{00000000-0005-0000-0000-000056000000}"/>
    <cellStyle name="columns" xfId="93" xr:uid="{00000000-0005-0000-0000-000057000000}"/>
    <cellStyle name="Comma" xfId="1" builtinId="3"/>
    <cellStyle name="Comma  - Style1" xfId="94" xr:uid="{00000000-0005-0000-0000-000059000000}"/>
    <cellStyle name="Comma  - Style2" xfId="95" xr:uid="{00000000-0005-0000-0000-00005A000000}"/>
    <cellStyle name="Comma  - Style3" xfId="96" xr:uid="{00000000-0005-0000-0000-00005B000000}"/>
    <cellStyle name="Comma  - Style4" xfId="97" xr:uid="{00000000-0005-0000-0000-00005C000000}"/>
    <cellStyle name="Comma  - Style5" xfId="98" xr:uid="{00000000-0005-0000-0000-00005D000000}"/>
    <cellStyle name="Comma  - Style6" xfId="99" xr:uid="{00000000-0005-0000-0000-00005E000000}"/>
    <cellStyle name="Comma  - Style7" xfId="100" xr:uid="{00000000-0005-0000-0000-00005F000000}"/>
    <cellStyle name="Comma  - Style8" xfId="101" xr:uid="{00000000-0005-0000-0000-000060000000}"/>
    <cellStyle name="comma (0)" xfId="102" xr:uid="{00000000-0005-0000-0000-000061000000}"/>
    <cellStyle name="comma (0) 2" xfId="103" xr:uid="{00000000-0005-0000-0000-000062000000}"/>
    <cellStyle name="comma (0) 2 2" xfId="104" xr:uid="{00000000-0005-0000-0000-000063000000}"/>
    <cellStyle name="comma (0) 3" xfId="105" xr:uid="{00000000-0005-0000-0000-000064000000}"/>
    <cellStyle name="Comma [00]" xfId="106" xr:uid="{00000000-0005-0000-0000-000065000000}"/>
    <cellStyle name="Comma [00] 2" xfId="107" xr:uid="{00000000-0005-0000-0000-000066000000}"/>
    <cellStyle name="Comma 2" xfId="5" xr:uid="{00000000-0005-0000-0000-000067000000}"/>
    <cellStyle name="Comma 2 2" xfId="108" xr:uid="{00000000-0005-0000-0000-000068000000}"/>
    <cellStyle name="Comma 2 2 2" xfId="109" xr:uid="{00000000-0005-0000-0000-000069000000}"/>
    <cellStyle name="Comma 2 3" xfId="110" xr:uid="{00000000-0005-0000-0000-00006A000000}"/>
    <cellStyle name="Comma 2 4" xfId="111" xr:uid="{00000000-0005-0000-0000-00006B000000}"/>
    <cellStyle name="Comma 2 5" xfId="112" xr:uid="{00000000-0005-0000-0000-00006C000000}"/>
    <cellStyle name="Comma 2 6" xfId="113" xr:uid="{00000000-0005-0000-0000-00006D000000}"/>
    <cellStyle name="Comma 3" xfId="114" xr:uid="{00000000-0005-0000-0000-00006E000000}"/>
    <cellStyle name="Comma 3 2" xfId="115" xr:uid="{00000000-0005-0000-0000-00006F000000}"/>
    <cellStyle name="Comma 4" xfId="116" xr:uid="{00000000-0005-0000-0000-000070000000}"/>
    <cellStyle name="Comma 4 2" xfId="117" xr:uid="{00000000-0005-0000-0000-000071000000}"/>
    <cellStyle name="Comma 5" xfId="118" xr:uid="{00000000-0005-0000-0000-000072000000}"/>
    <cellStyle name="Comma 5 2" xfId="119" xr:uid="{00000000-0005-0000-0000-000073000000}"/>
    <cellStyle name="Comma Acctg" xfId="120" xr:uid="{00000000-0005-0000-0000-000074000000}"/>
    <cellStyle name="Comma Acctg 2" xfId="121" xr:uid="{00000000-0005-0000-0000-000075000000}"/>
    <cellStyle name="Comma0" xfId="122" xr:uid="{00000000-0005-0000-0000-000076000000}"/>
    <cellStyle name="Company Name" xfId="123" xr:uid="{00000000-0005-0000-0000-000077000000}"/>
    <cellStyle name="Contracts" xfId="124" xr:uid="{00000000-0005-0000-0000-000078000000}"/>
    <cellStyle name="CR Comma" xfId="125" xr:uid="{00000000-0005-0000-0000-000079000000}"/>
    <cellStyle name="CR Currency" xfId="126" xr:uid="{00000000-0005-0000-0000-00007A000000}"/>
    <cellStyle name="curr" xfId="127" xr:uid="{00000000-0005-0000-0000-00007B000000}"/>
    <cellStyle name="Currency [00]" xfId="128" xr:uid="{00000000-0005-0000-0000-00007C000000}"/>
    <cellStyle name="Currency [00] 2" xfId="129" xr:uid="{00000000-0005-0000-0000-00007D000000}"/>
    <cellStyle name="Currency 2" xfId="130" xr:uid="{00000000-0005-0000-0000-00007E000000}"/>
    <cellStyle name="Currency Acctg" xfId="131" xr:uid="{00000000-0005-0000-0000-00007F000000}"/>
    <cellStyle name="Currency0" xfId="132" xr:uid="{00000000-0005-0000-0000-000080000000}"/>
    <cellStyle name="Data" xfId="133" xr:uid="{00000000-0005-0000-0000-000081000000}"/>
    <cellStyle name="Date" xfId="134" xr:uid="{00000000-0005-0000-0000-000082000000}"/>
    <cellStyle name="Date Short" xfId="135" xr:uid="{00000000-0005-0000-0000-000083000000}"/>
    <cellStyle name="DateJoel" xfId="136" xr:uid="{00000000-0005-0000-0000-000084000000}"/>
    <cellStyle name="debbie" xfId="137" xr:uid="{00000000-0005-0000-0000-000085000000}"/>
    <cellStyle name="Dezimal [0]_laroux" xfId="138" xr:uid="{00000000-0005-0000-0000-000086000000}"/>
    <cellStyle name="Dezimal_laroux" xfId="139" xr:uid="{00000000-0005-0000-0000-000087000000}"/>
    <cellStyle name="Enter Currency (0)" xfId="140" xr:uid="{00000000-0005-0000-0000-000088000000}"/>
    <cellStyle name="Enter Currency (0) 2" xfId="141" xr:uid="{00000000-0005-0000-0000-000089000000}"/>
    <cellStyle name="Enter Currency (2)" xfId="142" xr:uid="{00000000-0005-0000-0000-00008A000000}"/>
    <cellStyle name="Enter Currency (2) 2" xfId="143" xr:uid="{00000000-0005-0000-0000-00008B000000}"/>
    <cellStyle name="Enter Units (0)" xfId="144" xr:uid="{00000000-0005-0000-0000-00008C000000}"/>
    <cellStyle name="Enter Units (0) 2" xfId="145" xr:uid="{00000000-0005-0000-0000-00008D000000}"/>
    <cellStyle name="Enter Units (1)" xfId="146" xr:uid="{00000000-0005-0000-0000-00008E000000}"/>
    <cellStyle name="Enter Units (1) 2" xfId="147" xr:uid="{00000000-0005-0000-0000-00008F000000}"/>
    <cellStyle name="Enter Units (2)" xfId="148" xr:uid="{00000000-0005-0000-0000-000090000000}"/>
    <cellStyle name="Enter Units (2) 2" xfId="149" xr:uid="{00000000-0005-0000-0000-000091000000}"/>
    <cellStyle name="eps" xfId="150" xr:uid="{00000000-0005-0000-0000-000092000000}"/>
    <cellStyle name="Euro" xfId="151" xr:uid="{00000000-0005-0000-0000-000093000000}"/>
    <cellStyle name="Grey" xfId="152" xr:uid="{00000000-0005-0000-0000-000094000000}"/>
    <cellStyle name="Header1" xfId="153" xr:uid="{00000000-0005-0000-0000-000095000000}"/>
    <cellStyle name="Header2" xfId="154" xr:uid="{00000000-0005-0000-0000-000096000000}"/>
    <cellStyle name="Header2 10" xfId="155" xr:uid="{00000000-0005-0000-0000-000097000000}"/>
    <cellStyle name="Header2 11" xfId="156" xr:uid="{00000000-0005-0000-0000-000098000000}"/>
    <cellStyle name="Header2 12" xfId="157" xr:uid="{00000000-0005-0000-0000-000099000000}"/>
    <cellStyle name="Header2 13" xfId="158" xr:uid="{00000000-0005-0000-0000-00009A000000}"/>
    <cellStyle name="Header2 14" xfId="159" xr:uid="{00000000-0005-0000-0000-00009B000000}"/>
    <cellStyle name="Header2 15" xfId="160" xr:uid="{00000000-0005-0000-0000-00009C000000}"/>
    <cellStyle name="Header2 16" xfId="161" xr:uid="{00000000-0005-0000-0000-00009D000000}"/>
    <cellStyle name="Header2 17" xfId="162" xr:uid="{00000000-0005-0000-0000-00009E000000}"/>
    <cellStyle name="Header2 18" xfId="163" xr:uid="{00000000-0005-0000-0000-00009F000000}"/>
    <cellStyle name="Header2 19" xfId="164" xr:uid="{00000000-0005-0000-0000-0000A0000000}"/>
    <cellStyle name="Header2 2" xfId="165" xr:uid="{00000000-0005-0000-0000-0000A1000000}"/>
    <cellStyle name="Header2 20" xfId="166" xr:uid="{00000000-0005-0000-0000-0000A2000000}"/>
    <cellStyle name="Header2 21" xfId="167" xr:uid="{00000000-0005-0000-0000-0000A3000000}"/>
    <cellStyle name="Header2 22" xfId="168" xr:uid="{00000000-0005-0000-0000-0000A4000000}"/>
    <cellStyle name="Header2 23" xfId="169" xr:uid="{00000000-0005-0000-0000-0000A5000000}"/>
    <cellStyle name="Header2 24" xfId="170" xr:uid="{00000000-0005-0000-0000-0000A6000000}"/>
    <cellStyle name="Header2 25" xfId="171" xr:uid="{00000000-0005-0000-0000-0000A7000000}"/>
    <cellStyle name="Header2 26" xfId="172" xr:uid="{00000000-0005-0000-0000-0000A8000000}"/>
    <cellStyle name="Header2 27" xfId="173" xr:uid="{00000000-0005-0000-0000-0000A9000000}"/>
    <cellStyle name="Header2 28" xfId="174" xr:uid="{00000000-0005-0000-0000-0000AA000000}"/>
    <cellStyle name="Header2 29" xfId="175" xr:uid="{00000000-0005-0000-0000-0000AB000000}"/>
    <cellStyle name="Header2 3" xfId="176" xr:uid="{00000000-0005-0000-0000-0000AC000000}"/>
    <cellStyle name="Header2 30" xfId="177" xr:uid="{00000000-0005-0000-0000-0000AD000000}"/>
    <cellStyle name="Header2 31" xfId="178" xr:uid="{00000000-0005-0000-0000-0000AE000000}"/>
    <cellStyle name="Header2 32" xfId="179" xr:uid="{00000000-0005-0000-0000-0000AF000000}"/>
    <cellStyle name="Header2 33" xfId="180" xr:uid="{00000000-0005-0000-0000-0000B0000000}"/>
    <cellStyle name="Header2 34" xfId="181" xr:uid="{00000000-0005-0000-0000-0000B1000000}"/>
    <cellStyle name="Header2 35" xfId="182" xr:uid="{00000000-0005-0000-0000-0000B2000000}"/>
    <cellStyle name="Header2 36" xfId="183" xr:uid="{00000000-0005-0000-0000-0000B3000000}"/>
    <cellStyle name="Header2 37" xfId="184" xr:uid="{00000000-0005-0000-0000-0000B4000000}"/>
    <cellStyle name="Header2 38" xfId="185" xr:uid="{00000000-0005-0000-0000-0000B5000000}"/>
    <cellStyle name="Header2 39" xfId="186" xr:uid="{00000000-0005-0000-0000-0000B6000000}"/>
    <cellStyle name="Header2 4" xfId="187" xr:uid="{00000000-0005-0000-0000-0000B7000000}"/>
    <cellStyle name="Header2 40" xfId="188" xr:uid="{00000000-0005-0000-0000-0000B8000000}"/>
    <cellStyle name="Header2 41" xfId="189" xr:uid="{00000000-0005-0000-0000-0000B9000000}"/>
    <cellStyle name="Header2 42" xfId="190" xr:uid="{00000000-0005-0000-0000-0000BA000000}"/>
    <cellStyle name="Header2 5" xfId="191" xr:uid="{00000000-0005-0000-0000-0000BB000000}"/>
    <cellStyle name="Header2 6" xfId="192" xr:uid="{00000000-0005-0000-0000-0000BC000000}"/>
    <cellStyle name="Header2 7" xfId="193" xr:uid="{00000000-0005-0000-0000-0000BD000000}"/>
    <cellStyle name="Header2 8" xfId="194" xr:uid="{00000000-0005-0000-0000-0000BE000000}"/>
    <cellStyle name="Header2 9" xfId="195" xr:uid="{00000000-0005-0000-0000-0000BF000000}"/>
    <cellStyle name="Heading" xfId="196" xr:uid="{00000000-0005-0000-0000-0000C0000000}"/>
    <cellStyle name="Heading 1 2" xfId="197" xr:uid="{00000000-0005-0000-0000-0000C1000000}"/>
    <cellStyle name="Heading 1 3" xfId="198" xr:uid="{00000000-0005-0000-0000-0000C2000000}"/>
    <cellStyle name="Heading 1 4" xfId="199" xr:uid="{00000000-0005-0000-0000-0000C3000000}"/>
    <cellStyle name="Heading 2 2" xfId="200" xr:uid="{00000000-0005-0000-0000-0000C4000000}"/>
    <cellStyle name="Heading 2 3" xfId="201" xr:uid="{00000000-0005-0000-0000-0000C5000000}"/>
    <cellStyle name="Heading 2 4" xfId="202" xr:uid="{00000000-0005-0000-0000-0000C6000000}"/>
    <cellStyle name="Heading No Underline" xfId="203" xr:uid="{00000000-0005-0000-0000-0000C7000000}"/>
    <cellStyle name="Heading With Underline" xfId="204" xr:uid="{00000000-0005-0000-0000-0000C8000000}"/>
    <cellStyle name="Hyperlink" xfId="329" builtinId="8"/>
    <cellStyle name="Hyperlink 2" xfId="205" xr:uid="{00000000-0005-0000-0000-0000CA000000}"/>
    <cellStyle name="Hyperlink 2 2" xfId="206" xr:uid="{00000000-0005-0000-0000-0000CB000000}"/>
    <cellStyle name="Hyperlink 2 2 2" xfId="207" xr:uid="{00000000-0005-0000-0000-0000CC000000}"/>
    <cellStyle name="Hyperlink 3" xfId="208" xr:uid="{00000000-0005-0000-0000-0000CD000000}"/>
    <cellStyle name="Hyperlink 4" xfId="209" xr:uid="{00000000-0005-0000-0000-0000CE000000}"/>
    <cellStyle name="Input [yellow]" xfId="210" xr:uid="{00000000-0005-0000-0000-0000CF000000}"/>
    <cellStyle name="Link Currency (0)" xfId="211" xr:uid="{00000000-0005-0000-0000-0000D0000000}"/>
    <cellStyle name="Link Currency (0) 2" xfId="212" xr:uid="{00000000-0005-0000-0000-0000D1000000}"/>
    <cellStyle name="Link Currency (2)" xfId="213" xr:uid="{00000000-0005-0000-0000-0000D2000000}"/>
    <cellStyle name="Link Currency (2) 2" xfId="214" xr:uid="{00000000-0005-0000-0000-0000D3000000}"/>
    <cellStyle name="Link Units (0)" xfId="215" xr:uid="{00000000-0005-0000-0000-0000D4000000}"/>
    <cellStyle name="Link Units (0) 2" xfId="216" xr:uid="{00000000-0005-0000-0000-0000D5000000}"/>
    <cellStyle name="Link Units (1)" xfId="217" xr:uid="{00000000-0005-0000-0000-0000D6000000}"/>
    <cellStyle name="Link Units (1) 2" xfId="218" xr:uid="{00000000-0005-0000-0000-0000D7000000}"/>
    <cellStyle name="Link Units (2)" xfId="219" xr:uid="{00000000-0005-0000-0000-0000D8000000}"/>
    <cellStyle name="Link Units (2) 2" xfId="220" xr:uid="{00000000-0005-0000-0000-0000D9000000}"/>
    <cellStyle name="Millares [0]_pldt" xfId="221" xr:uid="{00000000-0005-0000-0000-0000DA000000}"/>
    <cellStyle name="Millares_pldt" xfId="222" xr:uid="{00000000-0005-0000-0000-0000DB000000}"/>
    <cellStyle name="Milliers [0]_AR1194" xfId="223" xr:uid="{00000000-0005-0000-0000-0000DC000000}"/>
    <cellStyle name="Milliers_AR1194" xfId="224" xr:uid="{00000000-0005-0000-0000-0000DD000000}"/>
    <cellStyle name="Moneda [0]_pldt" xfId="225" xr:uid="{00000000-0005-0000-0000-0000DE000000}"/>
    <cellStyle name="Moneda_pldt" xfId="226" xr:uid="{00000000-0005-0000-0000-0000DF000000}"/>
    <cellStyle name="Monétaire [0]_AR1194" xfId="227" xr:uid="{00000000-0005-0000-0000-0000E0000000}"/>
    <cellStyle name="Monétaire_AR1194" xfId="228" xr:uid="{00000000-0005-0000-0000-0000E1000000}"/>
    <cellStyle name="negativ" xfId="229" xr:uid="{00000000-0005-0000-0000-0000E2000000}"/>
    <cellStyle name="no dec" xfId="230" xr:uid="{00000000-0005-0000-0000-0000E3000000}"/>
    <cellStyle name="nodollars" xfId="231" xr:uid="{00000000-0005-0000-0000-0000E4000000}"/>
    <cellStyle name="nodollars 2" xfId="232" xr:uid="{00000000-0005-0000-0000-0000E5000000}"/>
    <cellStyle name="Normal" xfId="0" builtinId="0"/>
    <cellStyle name="Normal - Style1" xfId="233" xr:uid="{00000000-0005-0000-0000-0000E7000000}"/>
    <cellStyle name="Normal - Style1 2" xfId="234" xr:uid="{00000000-0005-0000-0000-0000E8000000}"/>
    <cellStyle name="Normal - Style2" xfId="235" xr:uid="{00000000-0005-0000-0000-0000E9000000}"/>
    <cellStyle name="Normal - Style3" xfId="236" xr:uid="{00000000-0005-0000-0000-0000EA000000}"/>
    <cellStyle name="Normal - Style4" xfId="237" xr:uid="{00000000-0005-0000-0000-0000EB000000}"/>
    <cellStyle name="Normal - Style5" xfId="238" xr:uid="{00000000-0005-0000-0000-0000EC000000}"/>
    <cellStyle name="Normal 10" xfId="239" xr:uid="{00000000-0005-0000-0000-0000ED000000}"/>
    <cellStyle name="Normal 2" xfId="3" xr:uid="{00000000-0005-0000-0000-0000EE000000}"/>
    <cellStyle name="Normal 2 2" xfId="240" xr:uid="{00000000-0005-0000-0000-0000EF000000}"/>
    <cellStyle name="Normal 2 2 2" xfId="241" xr:uid="{00000000-0005-0000-0000-0000F0000000}"/>
    <cellStyle name="Normal 2 3" xfId="242" xr:uid="{00000000-0005-0000-0000-0000F1000000}"/>
    <cellStyle name="Normal 2 3 2" xfId="243" xr:uid="{00000000-0005-0000-0000-0000F2000000}"/>
    <cellStyle name="Normal 2 4" xfId="244" xr:uid="{00000000-0005-0000-0000-0000F3000000}"/>
    <cellStyle name="Normal 2 5" xfId="245" xr:uid="{00000000-0005-0000-0000-0000F4000000}"/>
    <cellStyle name="Normal 2 6" xfId="246" xr:uid="{00000000-0005-0000-0000-0000F5000000}"/>
    <cellStyle name="Normal 2 7" xfId="247" xr:uid="{00000000-0005-0000-0000-0000F6000000}"/>
    <cellStyle name="Normal 2 8" xfId="248" xr:uid="{00000000-0005-0000-0000-0000F7000000}"/>
    <cellStyle name="Normal 3" xfId="4" xr:uid="{00000000-0005-0000-0000-0000F8000000}"/>
    <cellStyle name="Normal 3 2" xfId="249" xr:uid="{00000000-0005-0000-0000-0000F9000000}"/>
    <cellStyle name="Normal 3 3" xfId="250" xr:uid="{00000000-0005-0000-0000-0000FA000000}"/>
    <cellStyle name="Normal 3 4" xfId="251" xr:uid="{00000000-0005-0000-0000-0000FB000000}"/>
    <cellStyle name="Normal 4" xfId="252" xr:uid="{00000000-0005-0000-0000-0000FC000000}"/>
    <cellStyle name="Normal 5" xfId="253" xr:uid="{00000000-0005-0000-0000-0000FD000000}"/>
    <cellStyle name="Normal 5 2" xfId="254" xr:uid="{00000000-0005-0000-0000-0000FE000000}"/>
    <cellStyle name="Normal 6" xfId="255" xr:uid="{00000000-0005-0000-0000-0000FF000000}"/>
    <cellStyle name="Normal 6 2" xfId="256" xr:uid="{00000000-0005-0000-0000-000000010000}"/>
    <cellStyle name="Normal 6 3" xfId="257" xr:uid="{00000000-0005-0000-0000-000001010000}"/>
    <cellStyle name="Normal 7" xfId="258" xr:uid="{00000000-0005-0000-0000-000002010000}"/>
    <cellStyle name="Normal 7 2" xfId="259" xr:uid="{00000000-0005-0000-0000-000003010000}"/>
    <cellStyle name="Normal 8" xfId="260" xr:uid="{00000000-0005-0000-0000-000004010000}"/>
    <cellStyle name="Normal 8 2" xfId="261" xr:uid="{00000000-0005-0000-0000-000005010000}"/>
    <cellStyle name="Normal 8 3" xfId="262" xr:uid="{00000000-0005-0000-0000-000006010000}"/>
    <cellStyle name="Normal 9" xfId="263" xr:uid="{00000000-0005-0000-0000-000007010000}"/>
    <cellStyle name="Number0DecimalStyle" xfId="264" xr:uid="{00000000-0005-0000-0000-000008010000}"/>
    <cellStyle name="Number0DecimalStyle 2" xfId="265" xr:uid="{00000000-0005-0000-0000-000009010000}"/>
    <cellStyle name="Number10DecimalStyle" xfId="266" xr:uid="{00000000-0005-0000-0000-00000A010000}"/>
    <cellStyle name="Number1DecimalStyle" xfId="267" xr:uid="{00000000-0005-0000-0000-00000B010000}"/>
    <cellStyle name="Number2DecimalStyle" xfId="268" xr:uid="{00000000-0005-0000-0000-00000C010000}"/>
    <cellStyle name="Number2DecimalStyle 2" xfId="269" xr:uid="{00000000-0005-0000-0000-00000D010000}"/>
    <cellStyle name="Number3DecimalStyle" xfId="270" xr:uid="{00000000-0005-0000-0000-00000E010000}"/>
    <cellStyle name="Number4DecimalStyle" xfId="271" xr:uid="{00000000-0005-0000-0000-00000F010000}"/>
    <cellStyle name="Number5DecimalStyle" xfId="272" xr:uid="{00000000-0005-0000-0000-000010010000}"/>
    <cellStyle name="Number6DecimalStyle" xfId="273" xr:uid="{00000000-0005-0000-0000-000011010000}"/>
    <cellStyle name="Number7DecimalStyle" xfId="274" xr:uid="{00000000-0005-0000-0000-000012010000}"/>
    <cellStyle name="Number8DecimalStyle" xfId="275" xr:uid="{00000000-0005-0000-0000-000013010000}"/>
    <cellStyle name="Number9DecimalStyle" xfId="276" xr:uid="{00000000-0005-0000-0000-000014010000}"/>
    <cellStyle name="over" xfId="277" xr:uid="{00000000-0005-0000-0000-000015010000}"/>
    <cellStyle name="Percent" xfId="2" builtinId="5"/>
    <cellStyle name="percent (0)" xfId="278" xr:uid="{00000000-0005-0000-0000-000017010000}"/>
    <cellStyle name="Percent [0]" xfId="279" xr:uid="{00000000-0005-0000-0000-000018010000}"/>
    <cellStyle name="Percent [0] 2" xfId="280" xr:uid="{00000000-0005-0000-0000-000019010000}"/>
    <cellStyle name="Percent [00]" xfId="281" xr:uid="{00000000-0005-0000-0000-00001A010000}"/>
    <cellStyle name="Percent [00] 2" xfId="282" xr:uid="{00000000-0005-0000-0000-00001B010000}"/>
    <cellStyle name="Percent [2]" xfId="283" xr:uid="{00000000-0005-0000-0000-00001C010000}"/>
    <cellStyle name="Percent 10" xfId="284" xr:uid="{00000000-0005-0000-0000-00001D010000}"/>
    <cellStyle name="Percent 2" xfId="285" xr:uid="{00000000-0005-0000-0000-00001E010000}"/>
    <cellStyle name="Percent 2 2" xfId="286" xr:uid="{00000000-0005-0000-0000-00001F010000}"/>
    <cellStyle name="Percent 2 3" xfId="287" xr:uid="{00000000-0005-0000-0000-000020010000}"/>
    <cellStyle name="Percent 2 4" xfId="288" xr:uid="{00000000-0005-0000-0000-000021010000}"/>
    <cellStyle name="Percent 3" xfId="289" xr:uid="{00000000-0005-0000-0000-000022010000}"/>
    <cellStyle name="Percent 3 2" xfId="290" xr:uid="{00000000-0005-0000-0000-000023010000}"/>
    <cellStyle name="Percent 4" xfId="291" xr:uid="{00000000-0005-0000-0000-000024010000}"/>
    <cellStyle name="Percent 6" xfId="292" xr:uid="{00000000-0005-0000-0000-000025010000}"/>
    <cellStyle name="PERCENTAGE" xfId="293" xr:uid="{00000000-0005-0000-0000-000026010000}"/>
    <cellStyle name="posit" xfId="294" xr:uid="{00000000-0005-0000-0000-000027010000}"/>
    <cellStyle name="Powerpoint Style" xfId="295" xr:uid="{00000000-0005-0000-0000-000028010000}"/>
    <cellStyle name="PrePop Currency (0)" xfId="296" xr:uid="{00000000-0005-0000-0000-000029010000}"/>
    <cellStyle name="PrePop Currency (0) 2" xfId="297" xr:uid="{00000000-0005-0000-0000-00002A010000}"/>
    <cellStyle name="PrePop Currency (2)" xfId="298" xr:uid="{00000000-0005-0000-0000-00002B010000}"/>
    <cellStyle name="PrePop Currency (2) 2" xfId="299" xr:uid="{00000000-0005-0000-0000-00002C010000}"/>
    <cellStyle name="PrePop Units (0)" xfId="300" xr:uid="{00000000-0005-0000-0000-00002D010000}"/>
    <cellStyle name="PrePop Units (0) 2" xfId="301" xr:uid="{00000000-0005-0000-0000-00002E010000}"/>
    <cellStyle name="PrePop Units (1)" xfId="302" xr:uid="{00000000-0005-0000-0000-00002F010000}"/>
    <cellStyle name="PrePop Units (1) 2" xfId="303" xr:uid="{00000000-0005-0000-0000-000030010000}"/>
    <cellStyle name="PrePop Units (2)" xfId="304" xr:uid="{00000000-0005-0000-0000-000031010000}"/>
    <cellStyle name="PrePop Units (2) 2" xfId="305" xr:uid="{00000000-0005-0000-0000-000032010000}"/>
    <cellStyle name="SingleTopDoubleBott" xfId="306" xr:uid="{00000000-0005-0000-0000-000033010000}"/>
    <cellStyle name="Standard_A" xfId="307" xr:uid="{00000000-0005-0000-0000-000034010000}"/>
    <cellStyle name="Style 1" xfId="308" xr:uid="{00000000-0005-0000-0000-000035010000}"/>
    <cellStyle name="Style 2" xfId="309" xr:uid="{00000000-0005-0000-0000-000036010000}"/>
    <cellStyle name="Style 3" xfId="310" xr:uid="{00000000-0005-0000-0000-000037010000}"/>
    <cellStyle name="Style 4" xfId="311" xr:uid="{00000000-0005-0000-0000-000038010000}"/>
    <cellStyle name="Text Indent A" xfId="312" xr:uid="{00000000-0005-0000-0000-000039010000}"/>
    <cellStyle name="Text Indent B" xfId="313" xr:uid="{00000000-0005-0000-0000-00003A010000}"/>
    <cellStyle name="Text Indent B 2" xfId="314" xr:uid="{00000000-0005-0000-0000-00003B010000}"/>
    <cellStyle name="Text Indent C" xfId="315" xr:uid="{00000000-0005-0000-0000-00003C010000}"/>
    <cellStyle name="Text Indent C 2" xfId="316" xr:uid="{00000000-0005-0000-0000-00003D010000}"/>
    <cellStyle name="TextStyle" xfId="317" xr:uid="{00000000-0005-0000-0000-00003E010000}"/>
    <cellStyle name="Tickmark" xfId="318" xr:uid="{00000000-0005-0000-0000-00003F010000}"/>
    <cellStyle name="TimStyle" xfId="319" xr:uid="{00000000-0005-0000-0000-000040010000}"/>
    <cellStyle name="Total 2" xfId="320" xr:uid="{00000000-0005-0000-0000-000041010000}"/>
    <cellStyle name="Total 3" xfId="321" xr:uid="{00000000-0005-0000-0000-000042010000}"/>
    <cellStyle name="Total 4" xfId="322" xr:uid="{00000000-0005-0000-0000-000043010000}"/>
    <cellStyle name="Underline" xfId="323" xr:uid="{00000000-0005-0000-0000-000044010000}"/>
    <cellStyle name="UnderlineDouble" xfId="324" xr:uid="{00000000-0005-0000-0000-000045010000}"/>
    <cellStyle name="Währung [0]_RESULTS" xfId="325" xr:uid="{00000000-0005-0000-0000-000046010000}"/>
    <cellStyle name="Währung_RESULTS" xfId="326" xr:uid="{00000000-0005-0000-0000-000047010000}"/>
    <cellStyle name="표준_BINV" xfId="327" xr:uid="{00000000-0005-0000-0000-000048010000}"/>
    <cellStyle name="標準_99B-05PE_IC2" xfId="328" xr:uid="{00000000-0005-0000-0000-00004901000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7B1-40DA-AF65-A59B5A4F6F80}"/>
            </c:ext>
          </c:extLst>
        </c:ser>
        <c:dLbls>
          <c:showLegendKey val="0"/>
          <c:showVal val="0"/>
          <c:showCatName val="0"/>
          <c:showSerName val="0"/>
          <c:showPercent val="0"/>
          <c:showBubbleSize val="0"/>
        </c:dLbls>
        <c:smooth val="0"/>
        <c:axId val="83449728"/>
        <c:axId val="132637440"/>
      </c:lineChart>
      <c:catAx>
        <c:axId val="8344972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32637440"/>
        <c:crosses val="autoZero"/>
        <c:auto val="1"/>
        <c:lblAlgn val="ctr"/>
        <c:lblOffset val="100"/>
        <c:tickLblSkip val="7"/>
        <c:noMultiLvlLbl val="1"/>
      </c:catAx>
      <c:valAx>
        <c:axId val="132637440"/>
        <c:scaling>
          <c:orientation val="minMax"/>
        </c:scaling>
        <c:delete val="0"/>
        <c:axPos val="l"/>
        <c:majorGridlines/>
        <c:numFmt formatCode="0.0\x" sourceLinked="0"/>
        <c:majorTickMark val="out"/>
        <c:minorTickMark val="none"/>
        <c:tickLblPos val="nextTo"/>
        <c:crossAx val="83449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Ground</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Model'!$B$148</c:f>
              <c:strCache>
                <c:ptCount val="1"/>
                <c:pt idx="0">
                  <c:v>FedEx Ground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F710-426D-8A80-7E881865C2F6}"/>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F710-426D-8A80-7E881865C2F6}"/>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F710-426D-8A80-7E881865C2F6}"/>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F710-426D-8A80-7E881865C2F6}"/>
              </c:ext>
            </c:extLst>
          </c:dPt>
          <c:dPt>
            <c:idx val="9"/>
            <c:invertIfNegative val="0"/>
            <c:bubble3D val="0"/>
            <c:extLst>
              <c:ext xmlns:c16="http://schemas.microsoft.com/office/drawing/2014/chart" uri="{C3380CC4-5D6E-409C-BE32-E72D297353CC}">
                <c16:uniqueId val="{00000008-F710-426D-8A80-7E881865C2F6}"/>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Model'!$Q$148,'FedEx Earnings Model'!$S$148,'FedEx Earnings Model'!$T$148,'FedEx Earnings Model'!$U$148,'FedEx Earnings Model'!$V$148,'FedEx Earnings Model'!$X$148,'FedEx Earnings Model'!$Y$148,'FedEx Earnings Model'!$Z$148)</c:f>
              <c:numCache>
                <c:formatCode>_(* #,##0_);_(* \(#,##0\);_(* "-"_);_(@_)</c:formatCode>
                <c:ptCount val="7"/>
                <c:pt idx="0">
                  <c:v>4798.9104000000007</c:v>
                </c:pt>
                <c:pt idx="1">
                  <c:v>5141.8121100000008</c:v>
                </c:pt>
                <c:pt idx="2">
                  <c:v>5260.9269999999988</c:v>
                </c:pt>
                <c:pt idx="3">
                  <c:v>5357.5912491064646</c:v>
                </c:pt>
                <c:pt idx="4">
                  <c:v>5165.6214672298656</c:v>
                </c:pt>
                <c:pt idx="5">
                  <c:v>5466.5891745806157</c:v>
                </c:pt>
                <c:pt idx="6">
                  <c:v>5606.7565841321439</c:v>
                </c:pt>
              </c:numCache>
            </c:numRef>
          </c:val>
          <c:extLst>
            <c:ext xmlns:c16="http://schemas.microsoft.com/office/drawing/2014/chart" uri="{C3380CC4-5D6E-409C-BE32-E72D297353CC}">
              <c16:uniqueId val="{00000009-F710-426D-8A80-7E881865C2F6}"/>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Model'!$B$155</c:f>
              <c:strCache>
                <c:ptCount val="1"/>
                <c:pt idx="0">
                  <c:v>Ground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F710-426D-8A80-7E881865C2F6}"/>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F710-426D-8A80-7E881865C2F6}"/>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F710-426D-8A80-7E881865C2F6}"/>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F710-426D-8A80-7E881865C2F6}"/>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Model'!$Q$155,'FedEx Earnings Model'!$S$155,'FedEx Earnings Model'!$T$155,'FedEx Earnings Model'!$U$155,'FedEx Earnings Model'!$V$155,'FedEx Earnings Model'!$X$155,'FedEx Earnings Model'!$Y$155,'FedEx Earnings Model'!$Z$155)</c:f>
              <c:numCache>
                <c:formatCode>0.0%</c:formatCode>
                <c:ptCount val="7"/>
                <c:pt idx="0">
                  <c:v>0.13897121313204777</c:v>
                </c:pt>
                <c:pt idx="1">
                  <c:v>0.11393106116434905</c:v>
                </c:pt>
                <c:pt idx="2">
                  <c:v>0.1096626126916414</c:v>
                </c:pt>
                <c:pt idx="3">
                  <c:v>0.14610911362375781</c:v>
                </c:pt>
                <c:pt idx="4">
                  <c:v>0.15261092391923509</c:v>
                </c:pt>
                <c:pt idx="5">
                  <c:v>9.7910521425964542E-2</c:v>
                </c:pt>
                <c:pt idx="6">
                  <c:v>9.430299972024242E-2</c:v>
                </c:pt>
              </c:numCache>
            </c:numRef>
          </c:val>
          <c:smooth val="0"/>
          <c:extLst>
            <c:ext xmlns:c16="http://schemas.microsoft.com/office/drawing/2014/chart" uri="{C3380CC4-5D6E-409C-BE32-E72D297353CC}">
              <c16:uniqueId val="{00000012-F710-426D-8A80-7E881865C2F6}"/>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150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Freight</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Model'!$B$158</c:f>
              <c:strCache>
                <c:ptCount val="1"/>
                <c:pt idx="0">
                  <c:v>Shipments per day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52F8-4E5D-832E-C041FF0FAE72}"/>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52F8-4E5D-832E-C041FF0FAE72}"/>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52F8-4E5D-832E-C041FF0FAE72}"/>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52F8-4E5D-832E-C041FF0FAE72}"/>
              </c:ext>
            </c:extLst>
          </c:dPt>
          <c:dPt>
            <c:idx val="9"/>
            <c:invertIfNegative val="0"/>
            <c:bubble3D val="0"/>
            <c:extLst>
              <c:ext xmlns:c16="http://schemas.microsoft.com/office/drawing/2014/chart" uri="{C3380CC4-5D6E-409C-BE32-E72D297353CC}">
                <c16:uniqueId val="{00000008-52F8-4E5D-832E-C041FF0FAE72}"/>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Model'!$Q$158,'FedEx Earnings Model'!$S$158,'FedEx Earnings Model'!$T$158,'FedEx Earnings Model'!$U$158,'FedEx Earnings Model'!$V$158,'FedEx Earnings Model'!$X$158,'FedEx Earnings Model'!$Y$158,'FedEx Earnings Model'!$Z$158)</c:f>
              <c:numCache>
                <c:formatCode>_(* #,##0_);_(* \(#,##0\);_(* "-"_);_(@_)</c:formatCode>
                <c:ptCount val="7"/>
                <c:pt idx="0">
                  <c:v>115.745</c:v>
                </c:pt>
                <c:pt idx="1">
                  <c:v>117.05</c:v>
                </c:pt>
                <c:pt idx="2">
                  <c:v>105.91200000000001</c:v>
                </c:pt>
                <c:pt idx="3">
                  <c:v>118.86616292067738</c:v>
                </c:pt>
                <c:pt idx="4">
                  <c:v>122.0878621100408</c:v>
                </c:pt>
                <c:pt idx="5">
                  <c:v>122.40185014778696</c:v>
                </c:pt>
                <c:pt idx="6">
                  <c:v>110.97412697557661</c:v>
                </c:pt>
              </c:numCache>
            </c:numRef>
          </c:val>
          <c:extLst>
            <c:ext xmlns:c16="http://schemas.microsoft.com/office/drawing/2014/chart" uri="{C3380CC4-5D6E-409C-BE32-E72D297353CC}">
              <c16:uniqueId val="{00000009-52F8-4E5D-832E-C041FF0FAE72}"/>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Model'!$B$162</c:f>
              <c:strCache>
                <c:ptCount val="1"/>
                <c:pt idx="0">
                  <c:v>Revenue per Shipment</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52F8-4E5D-832E-C041FF0FAE72}"/>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52F8-4E5D-832E-C041FF0FAE72}"/>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52F8-4E5D-832E-C041FF0FAE72}"/>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52F8-4E5D-832E-C041FF0FAE72}"/>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Model'!$Q$162,'FedEx Earnings Model'!$S$162,'FedEx Earnings Model'!$T$162,'FedEx Earnings Model'!$U$162,'FedEx Earnings Model'!$V$162,'FedEx Earnings Model'!$X$162,'FedEx Earnings Model'!$Y$162,'FedEx Earnings Model'!$Z$162)</c:f>
              <c:numCache>
                <c:formatCode>"$"#,##0.00_);\("$"#,##0.00\)</c:formatCode>
                <c:ptCount val="7"/>
                <c:pt idx="0">
                  <c:v>260.39</c:v>
                </c:pt>
                <c:pt idx="1">
                  <c:v>264.26499999999999</c:v>
                </c:pt>
                <c:pt idx="2">
                  <c:v>270.82</c:v>
                </c:pt>
                <c:pt idx="3">
                  <c:v>263.62923370445134</c:v>
                </c:pt>
                <c:pt idx="4">
                  <c:v>268.53170103670971</c:v>
                </c:pt>
                <c:pt idx="5">
                  <c:v>269.37868533098055</c:v>
                </c:pt>
                <c:pt idx="6">
                  <c:v>275.74302543337865</c:v>
                </c:pt>
              </c:numCache>
            </c:numRef>
          </c:val>
          <c:smooth val="0"/>
          <c:extLst>
            <c:ext xmlns:c16="http://schemas.microsoft.com/office/drawing/2014/chart" uri="{C3380CC4-5D6E-409C-BE32-E72D297353CC}">
              <c16:uniqueId val="{00000012-52F8-4E5D-832E-C041FF0FAE72}"/>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majorUnit val="30"/>
      </c:valAx>
      <c:valAx>
        <c:axId val="145729792"/>
        <c:scaling>
          <c:orientation val="minMax"/>
        </c:scaling>
        <c:delete val="0"/>
        <c:axPos val="r"/>
        <c:numFmt formatCode="&quot;$&quot;#,##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Freight</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Model'!$B$165</c:f>
              <c:strCache>
                <c:ptCount val="1"/>
                <c:pt idx="0">
                  <c:v>FedEx Freight Total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4D4C-4EC4-9CAF-2FB973AC6CA5}"/>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4D4C-4EC4-9CAF-2FB973AC6CA5}"/>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4D4C-4EC4-9CAF-2FB973AC6CA5}"/>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4D4C-4EC4-9CAF-2FB973AC6CA5}"/>
              </c:ext>
            </c:extLst>
          </c:dPt>
          <c:dPt>
            <c:idx val="9"/>
            <c:invertIfNegative val="0"/>
            <c:bubble3D val="0"/>
            <c:extLst>
              <c:ext xmlns:c16="http://schemas.microsoft.com/office/drawing/2014/chart" uri="{C3380CC4-5D6E-409C-BE32-E72D297353CC}">
                <c16:uniqueId val="{00000008-4D4C-4EC4-9CAF-2FB973AC6CA5}"/>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Model'!$Q$165,'FedEx Earnings Model'!$S$165,'FedEx Earnings Model'!$T$165,'FedEx Earnings Model'!$U$165,'FedEx Earnings Model'!$V$165,'FedEx Earnings Model'!$X$165,'FedEx Earnings Model'!$Y$165,'FedEx Earnings Model'!$Z$165)</c:f>
              <c:numCache>
                <c:formatCode>_(* #,##0_);_(* \(#,##0\);_(* "-"??_);_(@_)</c:formatCode>
                <c:ptCount val="7"/>
                <c:pt idx="0">
                  <c:v>1959.0246357499998</c:v>
                </c:pt>
                <c:pt idx="1">
                  <c:v>1917.7975314999999</c:v>
                </c:pt>
                <c:pt idx="2">
                  <c:v>1749.6683582400003</c:v>
                </c:pt>
                <c:pt idx="3">
                  <c:v>2036.8787038708319</c:v>
                </c:pt>
                <c:pt idx="4">
                  <c:v>2130.9899837423936</c:v>
                </c:pt>
                <c:pt idx="5">
                  <c:v>2044.2918674432133</c:v>
                </c:pt>
                <c:pt idx="6">
                  <c:v>1897.2211740585515</c:v>
                </c:pt>
              </c:numCache>
            </c:numRef>
          </c:val>
          <c:extLst>
            <c:ext xmlns:c16="http://schemas.microsoft.com/office/drawing/2014/chart" uri="{C3380CC4-5D6E-409C-BE32-E72D297353CC}">
              <c16:uniqueId val="{00000009-4D4C-4EC4-9CAF-2FB973AC6CA5}"/>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Model'!$B$172</c:f>
              <c:strCache>
                <c:ptCount val="1"/>
                <c:pt idx="0">
                  <c:v>Freight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4D4C-4EC4-9CAF-2FB973AC6CA5}"/>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4D4C-4EC4-9CAF-2FB973AC6CA5}"/>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4D4C-4EC4-9CAF-2FB973AC6CA5}"/>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4D4C-4EC4-9CAF-2FB973AC6CA5}"/>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Model'!$Q$155,'FedEx Earnings Model'!$S$155,'FedEx Earnings Model'!$T$155,'FedEx Earnings Model'!$U$155,'FedEx Earnings Model'!$V$155,'FedEx Earnings Model'!$X$155,'FedEx Earnings Model'!$Y$155,'FedEx Earnings Model'!$Z$155)</c:f>
              <c:numCache>
                <c:formatCode>0.0%</c:formatCode>
                <c:ptCount val="7"/>
                <c:pt idx="0">
                  <c:v>0.13897121313204777</c:v>
                </c:pt>
                <c:pt idx="1">
                  <c:v>0.11393106116434905</c:v>
                </c:pt>
                <c:pt idx="2">
                  <c:v>0.1096626126916414</c:v>
                </c:pt>
                <c:pt idx="3">
                  <c:v>0.14610911362375781</c:v>
                </c:pt>
                <c:pt idx="4">
                  <c:v>0.15261092391923509</c:v>
                </c:pt>
                <c:pt idx="5">
                  <c:v>9.7910521425964542E-2</c:v>
                </c:pt>
                <c:pt idx="6">
                  <c:v>9.430299972024242E-2</c:v>
                </c:pt>
              </c:numCache>
            </c:numRef>
          </c:val>
          <c:smooth val="0"/>
          <c:extLst>
            <c:ext xmlns:c16="http://schemas.microsoft.com/office/drawing/2014/chart" uri="{C3380CC4-5D6E-409C-BE32-E72D297353CC}">
              <c16:uniqueId val="{00000012-4D4C-4EC4-9CAF-2FB973AC6CA5}"/>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Revenue &amp; Margin Forecast</a:t>
            </a:r>
            <a:endParaRPr lang="en-US" sz="1200" b="0"/>
          </a:p>
        </c:rich>
      </c:tx>
      <c:layout>
        <c:manualLayout>
          <c:xMode val="edge"/>
          <c:yMode val="edge"/>
          <c:x val="0.23481738794463503"/>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Model'!$B$13:$C$13</c:f>
              <c:strCache>
                <c:ptCount val="2"/>
                <c:pt idx="0">
                  <c:v>Total Revenue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B9EA-484B-8D09-104C99D2C10F}"/>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B9EA-484B-8D09-104C99D2C10F}"/>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B9EA-484B-8D09-104C99D2C10F}"/>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B9EA-484B-8D09-104C99D2C10F}"/>
              </c:ext>
            </c:extLst>
          </c:dPt>
          <c:dPt>
            <c:idx val="9"/>
            <c:invertIfNegative val="0"/>
            <c:bubble3D val="0"/>
            <c:extLst>
              <c:ext xmlns:c16="http://schemas.microsoft.com/office/drawing/2014/chart" uri="{C3380CC4-5D6E-409C-BE32-E72D297353CC}">
                <c16:uniqueId val="{00000008-B9EA-484B-8D09-104C99D2C10F}"/>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Model'!$Q$13,'FedEx Earnings Model'!$S$13,'FedEx Earnings Model'!$T$13,'FedEx Earnings Model'!$U$13,'FedEx Earnings Model'!$V$13,'FedEx Earnings Model'!$X$13,'FedEx Earnings Model'!$Y$13,'FedEx Earnings Model'!$Z$13)</c:f>
              <c:numCache>
                <c:formatCode>_(* #,##0_);_(* \(#,##0\);_(* "-"??_);_(@_)</c:formatCode>
                <c:ptCount val="7"/>
                <c:pt idx="0">
                  <c:v>17052</c:v>
                </c:pt>
                <c:pt idx="1">
                  <c:v>17824</c:v>
                </c:pt>
                <c:pt idx="2">
                  <c:v>17010</c:v>
                </c:pt>
                <c:pt idx="3">
                  <c:v>18006.0819659023</c:v>
                </c:pt>
                <c:pt idx="4">
                  <c:v>17434.828131639068</c:v>
                </c:pt>
                <c:pt idx="5">
                  <c:v>18211.57351620838</c:v>
                </c:pt>
                <c:pt idx="6">
                  <c:v>17545.560122398219</c:v>
                </c:pt>
              </c:numCache>
            </c:numRef>
          </c:val>
          <c:extLst>
            <c:ext xmlns:c16="http://schemas.microsoft.com/office/drawing/2014/chart" uri="{C3380CC4-5D6E-409C-BE32-E72D297353CC}">
              <c16:uniqueId val="{00000009-B9EA-484B-8D09-104C99D2C10F}"/>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Model'!$B$224:$C$224</c:f>
              <c:strCache>
                <c:ptCount val="2"/>
                <c:pt idx="0">
                  <c:v>Operating margin (Non-GAAP)</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B9EA-484B-8D09-104C99D2C10F}"/>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B9EA-484B-8D09-104C99D2C10F}"/>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B9EA-484B-8D09-104C99D2C10F}"/>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B9EA-484B-8D09-104C99D2C10F}"/>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Model'!$Q$224,'FedEx Earnings Model'!$S$224,'FedEx Earnings Model'!$T$224,'FedEx Earnings Model'!$U$224,'FedEx Earnings Model'!$V$224,'FedEx Earnings Model'!$X$224,'FedEx Earnings Model'!$Y$224,'FedEx Earnings Model'!$Z$224)</c:f>
              <c:numCache>
                <c:formatCode>0.0%</c:formatCode>
                <c:ptCount val="7"/>
                <c:pt idx="0">
                  <c:v>6.9903823598404885E-2</c:v>
                </c:pt>
                <c:pt idx="1">
                  <c:v>7.4506283662477552E-2</c:v>
                </c:pt>
                <c:pt idx="2">
                  <c:v>5.7848324514991181E-2</c:v>
                </c:pt>
                <c:pt idx="3">
                  <c:v>0.10120117890505151</c:v>
                </c:pt>
                <c:pt idx="4">
                  <c:v>7.6256532723489714E-2</c:v>
                </c:pt>
                <c:pt idx="5">
                  <c:v>7.2632976984345593E-2</c:v>
                </c:pt>
                <c:pt idx="6">
                  <c:v>5.49866875492072E-2</c:v>
                </c:pt>
              </c:numCache>
            </c:numRef>
          </c:val>
          <c:smooth val="0"/>
          <c:extLst>
            <c:ext xmlns:c16="http://schemas.microsoft.com/office/drawing/2014/chart" uri="{C3380CC4-5D6E-409C-BE32-E72D297353CC}">
              <c16:uniqueId val="{00000012-B9EA-484B-8D09-104C99D2C10F}"/>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75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Capex to Revenue Forecast</a:t>
            </a:r>
          </a:p>
        </c:rich>
      </c:tx>
      <c:layout>
        <c:manualLayout>
          <c:xMode val="edge"/>
          <c:yMode val="edge"/>
          <c:x val="0.26813557664674015"/>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Model'!$B$13:$C$13</c:f>
              <c:strCache>
                <c:ptCount val="2"/>
                <c:pt idx="0">
                  <c:v>Total Revenue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32C5-404C-9A9E-65A6B95DAF16}"/>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32C5-404C-9A9E-65A6B95DAF16}"/>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32C5-404C-9A9E-65A6B95DAF16}"/>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32C5-404C-9A9E-65A6B95DAF16}"/>
              </c:ext>
            </c:extLst>
          </c:dPt>
          <c:dPt>
            <c:idx val="9"/>
            <c:invertIfNegative val="0"/>
            <c:bubble3D val="0"/>
            <c:extLst>
              <c:ext xmlns:c16="http://schemas.microsoft.com/office/drawing/2014/chart" uri="{C3380CC4-5D6E-409C-BE32-E72D297353CC}">
                <c16:uniqueId val="{00000008-32C5-404C-9A9E-65A6B95DAF16}"/>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Model'!$Q$13,'FedEx Earnings Model'!$S$13,'FedEx Earnings Model'!$T$13,'FedEx Earnings Model'!$U$13,'FedEx Earnings Model'!$V$13,'FedEx Earnings Model'!$X$13,'FedEx Earnings Model'!$Y$13,'FedEx Earnings Model'!$Z$13)</c:f>
              <c:numCache>
                <c:formatCode>_(* #,##0_);_(* \(#,##0\);_(* "-"??_);_(@_)</c:formatCode>
                <c:ptCount val="7"/>
                <c:pt idx="0">
                  <c:v>17052</c:v>
                </c:pt>
                <c:pt idx="1">
                  <c:v>17824</c:v>
                </c:pt>
                <c:pt idx="2">
                  <c:v>17010</c:v>
                </c:pt>
                <c:pt idx="3">
                  <c:v>18006.0819659023</c:v>
                </c:pt>
                <c:pt idx="4">
                  <c:v>17434.828131639068</c:v>
                </c:pt>
                <c:pt idx="5">
                  <c:v>18211.57351620838</c:v>
                </c:pt>
                <c:pt idx="6">
                  <c:v>17545.560122398219</c:v>
                </c:pt>
              </c:numCache>
            </c:numRef>
          </c:val>
          <c:extLst>
            <c:ext xmlns:c16="http://schemas.microsoft.com/office/drawing/2014/chart" uri="{C3380CC4-5D6E-409C-BE32-E72D297353CC}">
              <c16:uniqueId val="{00000009-32C5-404C-9A9E-65A6B95DAF16}"/>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Model'!$B$368</c:f>
              <c:strCache>
                <c:ptCount val="1"/>
                <c:pt idx="0">
                  <c:v>Capex to revenue</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32C5-404C-9A9E-65A6B95DAF16}"/>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32C5-404C-9A9E-65A6B95DAF16}"/>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32C5-404C-9A9E-65A6B95DAF16}"/>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32C5-404C-9A9E-65A6B95DAF16}"/>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Model'!$Q$368,'FedEx Earnings Model'!$S$368,'FedEx Earnings Model'!$T$368,'FedEx Earnings Model'!$U$368,'FedEx Earnings Model'!$V$368,'FedEx Earnings Model'!$X$368,'FedEx Earnings Model'!$Y$368,'FedEx Earnings Model'!$Z$368)</c:f>
              <c:numCache>
                <c:formatCode>0.0%</c:formatCode>
                <c:ptCount val="7"/>
                <c:pt idx="0">
                  <c:v>6.9141449683321601E-2</c:v>
                </c:pt>
                <c:pt idx="1">
                  <c:v>8.1631508078994608E-2</c:v>
                </c:pt>
                <c:pt idx="2">
                  <c:v>6.6019988242210462E-2</c:v>
                </c:pt>
                <c:pt idx="3">
                  <c:v>8.1982137029686014E-2</c:v>
                </c:pt>
                <c:pt idx="4">
                  <c:v>7.4693770758553157E-2</c:v>
                </c:pt>
                <c:pt idx="5">
                  <c:v>7.6081851027361064E-2</c:v>
                </c:pt>
                <c:pt idx="6">
                  <c:v>7.4694436764452671E-2</c:v>
                </c:pt>
              </c:numCache>
            </c:numRef>
          </c:val>
          <c:smooth val="0"/>
          <c:extLst>
            <c:ext xmlns:c16="http://schemas.microsoft.com/office/drawing/2014/chart" uri="{C3380CC4-5D6E-409C-BE32-E72D297353CC}">
              <c16:uniqueId val="{00000012-32C5-404C-9A9E-65A6B95DAF16}"/>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75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Fuel Expense Projections</a:t>
            </a:r>
            <a:endParaRPr lang="en-US" sz="1200" b="0"/>
          </a:p>
        </c:rich>
      </c:tx>
      <c:layout>
        <c:manualLayout>
          <c:xMode val="edge"/>
          <c:yMode val="edge"/>
          <c:x val="0.26813557664674015"/>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Model'!$B$19</c:f>
              <c:strCache>
                <c:ptCount val="1"/>
                <c:pt idx="0">
                  <c:v>Fuel expense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1F4B-40FB-AE75-E89B082418EC}"/>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1F4B-40FB-AE75-E89B082418EC}"/>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1F4B-40FB-AE75-E89B082418EC}"/>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1F4B-40FB-AE75-E89B082418EC}"/>
              </c:ext>
            </c:extLst>
          </c:dPt>
          <c:dPt>
            <c:idx val="9"/>
            <c:invertIfNegative val="0"/>
            <c:bubble3D val="0"/>
            <c:extLst>
              <c:ext xmlns:c16="http://schemas.microsoft.com/office/drawing/2014/chart" uri="{C3380CC4-5D6E-409C-BE32-E72D297353CC}">
                <c16:uniqueId val="{00000008-1F4B-40FB-AE75-E89B082418EC}"/>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Model'!$Q$19,'FedEx Earnings Model'!$S$19,'FedEx Earnings Model'!$T$19,'FedEx Earnings Model'!$U$19,'FedEx Earnings Model'!$V$19,'FedEx Earnings Model'!$X$19,'FedEx Earnings Model'!$Y$19,'FedEx Earnings Model'!$Z$19)</c:f>
              <c:numCache>
                <c:formatCode>_(* #,##0_);_(* \(#,##0\);_(* "-"??_);_(@_)</c:formatCode>
                <c:ptCount val="7"/>
                <c:pt idx="0">
                  <c:v>986</c:v>
                </c:pt>
                <c:pt idx="1">
                  <c:v>1052</c:v>
                </c:pt>
                <c:pt idx="2">
                  <c:v>907</c:v>
                </c:pt>
                <c:pt idx="3">
                  <c:v>971.8096132812849</c:v>
                </c:pt>
                <c:pt idx="4">
                  <c:v>977.46461243011788</c:v>
                </c:pt>
                <c:pt idx="5">
                  <c:v>987.7110152166598</c:v>
                </c:pt>
                <c:pt idx="6">
                  <c:v>938.40698772015992</c:v>
                </c:pt>
              </c:numCache>
            </c:numRef>
          </c:val>
          <c:extLst>
            <c:ext xmlns:c16="http://schemas.microsoft.com/office/drawing/2014/chart" uri="{C3380CC4-5D6E-409C-BE32-E72D297353CC}">
              <c16:uniqueId val="{00000009-1F4B-40FB-AE75-E89B082418EC}"/>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Model'!$B$228</c:f>
              <c:strCache>
                <c:ptCount val="1"/>
                <c:pt idx="0">
                  <c:v>Fuel expense as a % of revenue</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1F4B-40FB-AE75-E89B082418EC}"/>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1F4B-40FB-AE75-E89B082418EC}"/>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1F4B-40FB-AE75-E89B082418EC}"/>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1F4B-40FB-AE75-E89B082418EC}"/>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Model'!$Q$368,'FedEx Earnings Model'!$S$368,'FedEx Earnings Model'!$T$368,'FedEx Earnings Model'!$U$368,'FedEx Earnings Model'!$V$368,'FedEx Earnings Model'!$X$368,'FedEx Earnings Model'!$Y$368,'FedEx Earnings Model'!$Z$368)</c:f>
              <c:numCache>
                <c:formatCode>0.0%</c:formatCode>
                <c:ptCount val="7"/>
                <c:pt idx="0">
                  <c:v>6.9141449683321601E-2</c:v>
                </c:pt>
                <c:pt idx="1">
                  <c:v>8.1631508078994608E-2</c:v>
                </c:pt>
                <c:pt idx="2">
                  <c:v>6.6019988242210462E-2</c:v>
                </c:pt>
                <c:pt idx="3">
                  <c:v>8.1982137029686014E-2</c:v>
                </c:pt>
                <c:pt idx="4">
                  <c:v>7.4693770758553157E-2</c:v>
                </c:pt>
                <c:pt idx="5">
                  <c:v>7.6081851027361064E-2</c:v>
                </c:pt>
                <c:pt idx="6">
                  <c:v>7.4694436764452671E-2</c:v>
                </c:pt>
              </c:numCache>
            </c:numRef>
          </c:val>
          <c:smooth val="0"/>
          <c:extLst>
            <c:ext xmlns:c16="http://schemas.microsoft.com/office/drawing/2014/chart" uri="{C3380CC4-5D6E-409C-BE32-E72D297353CC}">
              <c16:uniqueId val="{00000012-1F4B-40FB-AE75-E89B082418EC}"/>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Express Segment Fuel Efficiency Projections</a:t>
            </a:r>
            <a:endParaRPr lang="en-US" sz="1200" b="0"/>
          </a:p>
        </c:rich>
      </c:tx>
      <c:layout>
        <c:manualLayout>
          <c:xMode val="edge"/>
          <c:yMode val="edge"/>
          <c:x val="0.10938955211243753"/>
          <c:y val="0"/>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Model'!$B$66</c:f>
              <c:strCache>
                <c:ptCount val="1"/>
                <c:pt idx="0">
                  <c:v>Jet fuel expense ($ in millions)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805C-499A-A36A-970CE342AB2A}"/>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805C-499A-A36A-970CE342AB2A}"/>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805C-499A-A36A-970CE342AB2A}"/>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805C-499A-A36A-970CE342AB2A}"/>
              </c:ext>
            </c:extLst>
          </c:dPt>
          <c:dPt>
            <c:idx val="9"/>
            <c:invertIfNegative val="0"/>
            <c:bubble3D val="0"/>
            <c:extLst>
              <c:ext xmlns:c16="http://schemas.microsoft.com/office/drawing/2014/chart" uri="{C3380CC4-5D6E-409C-BE32-E72D297353CC}">
                <c16:uniqueId val="{00000008-805C-499A-A36A-970CE342AB2A}"/>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Model'!$Q$66,'FedEx Earnings Model'!$S$66,'FedEx Earnings Model'!$T$66,'FedEx Earnings Model'!$U$66,'FedEx Earnings Model'!$V$66,'FedEx Earnings Model'!$X$66,'FedEx Earnings Model'!$Y$66,'FedEx Earnings Model'!$Z$66)</c:f>
              <c:numCache>
                <c:formatCode>_(* #,##0_);_(* \(#,##0\);_(* "-"_);_(@_)</c:formatCode>
                <c:ptCount val="7"/>
                <c:pt idx="0">
                  <c:v>726.40383599999996</c:v>
                </c:pt>
                <c:pt idx="1">
                  <c:v>781.14097600000002</c:v>
                </c:pt>
                <c:pt idx="2">
                  <c:v>659.78419400000007</c:v>
                </c:pt>
                <c:pt idx="3" formatCode="_(* #,##0_);_(* \(#,##0\);_(* &quot;-&quot;??_);_(@_)">
                  <c:v>707.77730594867694</c:v>
                </c:pt>
                <c:pt idx="4" formatCode="_(* #,##0_);_(* \(#,##0\);_(* &quot;-&quot;??_);_(@_)">
                  <c:v>711.46060810869074</c:v>
                </c:pt>
                <c:pt idx="5" formatCode="_(* #,##0_);_(* \(#,##0\);_(* &quot;-&quot;??_);_(@_)">
                  <c:v>709.44133854681797</c:v>
                </c:pt>
                <c:pt idx="6" formatCode="_(* #,##0_);_(* \(#,##0\);_(* &quot;-&quot;??_);_(@_)">
                  <c:v>681.24638146842403</c:v>
                </c:pt>
              </c:numCache>
            </c:numRef>
          </c:val>
          <c:extLst>
            <c:ext xmlns:c16="http://schemas.microsoft.com/office/drawing/2014/chart" uri="{C3380CC4-5D6E-409C-BE32-E72D297353CC}">
              <c16:uniqueId val="{00000009-805C-499A-A36A-970CE342AB2A}"/>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Model'!$B$64</c:f>
              <c:strCache>
                <c:ptCount val="1"/>
                <c:pt idx="0">
                  <c:v>Express segment revenue produced per gallon of jet fuel</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805C-499A-A36A-970CE342AB2A}"/>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805C-499A-A36A-970CE342AB2A}"/>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805C-499A-A36A-970CE342AB2A}"/>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805C-499A-A36A-970CE342AB2A}"/>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Model'!$Q$64,'FedEx Earnings Model'!$S$64,'FedEx Earnings Model'!$T$64,'FedEx Earnings Model'!$U$64,'FedEx Earnings Model'!$V$64,'FedEx Earnings Model'!$X$64,'FedEx Earnings Model'!$Y$64,'FedEx Earnings Model'!$Z$64)</c:f>
              <c:numCache>
                <c:formatCode>_(* #,##0_);_(* \(#,##0\);_(* "-"??_);_(@_)</c:formatCode>
                <c:ptCount val="7"/>
                <c:pt idx="0">
                  <c:v>29.273403209780138</c:v>
                </c:pt>
                <c:pt idx="1">
                  <c:v>29.346553753941965</c:v>
                </c:pt>
                <c:pt idx="2">
                  <c:v>27.338773208094771</c:v>
                </c:pt>
                <c:pt idx="3">
                  <c:v>29.586622113357439</c:v>
                </c:pt>
                <c:pt idx="4">
                  <c:v>29.268566307326992</c:v>
                </c:pt>
                <c:pt idx="5">
                  <c:v>29.786285458635554</c:v>
                </c:pt>
                <c:pt idx="6">
                  <c:v>27.722211752808509</c:v>
                </c:pt>
              </c:numCache>
            </c:numRef>
          </c:val>
          <c:smooth val="0"/>
          <c:extLst>
            <c:ext xmlns:c16="http://schemas.microsoft.com/office/drawing/2014/chart" uri="{C3380CC4-5D6E-409C-BE32-E72D297353CC}">
              <c16:uniqueId val="{00000012-805C-499A-A36A-970CE342AB2A}"/>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Quarterly Consensus Revenue</a:t>
            </a:r>
            <a:r>
              <a:rPr lang="en-US" sz="1200" b="0" baseline="0"/>
              <a:t> &amp; Margin Estimates</a:t>
            </a:r>
            <a:endParaRPr lang="en-US" sz="1200" b="0"/>
          </a:p>
        </c:rich>
      </c:tx>
      <c:layout>
        <c:manualLayout>
          <c:xMode val="edge"/>
          <c:yMode val="edge"/>
          <c:x val="0.13812681309573144"/>
          <c:y val="6.0111912762497045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'Consensus (Before F3Q19)'!$B$7</c:f>
              <c:strCache>
                <c:ptCount val="1"/>
                <c:pt idx="0">
                  <c:v>Revenue ($M)</c:v>
                </c:pt>
              </c:strCache>
            </c:strRef>
          </c:tx>
          <c:spPr>
            <a:solidFill>
              <a:schemeClr val="bg1">
                <a:lumMod val="75000"/>
              </a:schemeClr>
            </a:solidFill>
            <a:ln>
              <a:solidFill>
                <a:schemeClr val="tx1">
                  <a:lumMod val="75000"/>
                  <a:lumOff val="25000"/>
                </a:schemeClr>
              </a:solidFill>
            </a:ln>
          </c:spPr>
          <c:invertIfNegative val="0"/>
          <c:dPt>
            <c:idx val="0"/>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01-DF4B-4C3A-B3D6-67EF9F0F9156}"/>
              </c:ext>
            </c:extLst>
          </c:dPt>
          <c:dPt>
            <c:idx val="1"/>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03-DF4B-4C3A-B3D6-67EF9F0F9156}"/>
              </c:ext>
            </c:extLst>
          </c:dPt>
          <c:dPt>
            <c:idx val="2"/>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05-DF4B-4C3A-B3D6-67EF9F0F9156}"/>
              </c:ext>
            </c:extLst>
          </c:dPt>
          <c:dPt>
            <c:idx val="3"/>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07-DF4B-4C3A-B3D6-67EF9F0F9156}"/>
              </c:ext>
            </c:extLst>
          </c:dPt>
          <c:dPt>
            <c:idx val="4"/>
            <c:invertIfNegative val="0"/>
            <c:bubble3D val="0"/>
            <c:extLst>
              <c:ext xmlns:c16="http://schemas.microsoft.com/office/drawing/2014/chart" uri="{C3380CC4-5D6E-409C-BE32-E72D297353CC}">
                <c16:uniqueId val="{00000008-DF4B-4C3A-B3D6-67EF9F0F9156}"/>
              </c:ext>
            </c:extLst>
          </c:dPt>
          <c:dPt>
            <c:idx val="5"/>
            <c:invertIfNegative val="0"/>
            <c:bubble3D val="0"/>
            <c:extLst>
              <c:ext xmlns:c16="http://schemas.microsoft.com/office/drawing/2014/chart" uri="{C3380CC4-5D6E-409C-BE32-E72D297353CC}">
                <c16:uniqueId val="{00000009-DF4B-4C3A-B3D6-67EF9F0F9156}"/>
              </c:ext>
            </c:extLst>
          </c:dPt>
          <c:dPt>
            <c:idx val="6"/>
            <c:invertIfNegative val="0"/>
            <c:bubble3D val="0"/>
            <c:extLst>
              <c:ext xmlns:c16="http://schemas.microsoft.com/office/drawing/2014/chart" uri="{C3380CC4-5D6E-409C-BE32-E72D297353CC}">
                <c16:uniqueId val="{0000000A-DF4B-4C3A-B3D6-67EF9F0F9156}"/>
              </c:ext>
            </c:extLst>
          </c:dPt>
          <c:dPt>
            <c:idx val="7"/>
            <c:invertIfNegative val="0"/>
            <c:bubble3D val="0"/>
            <c:extLst>
              <c:ext xmlns:c16="http://schemas.microsoft.com/office/drawing/2014/chart" uri="{C3380CC4-5D6E-409C-BE32-E72D297353CC}">
                <c16:uniqueId val="{0000000B-DF4B-4C3A-B3D6-67EF9F0F9156}"/>
              </c:ext>
            </c:extLst>
          </c:dPt>
          <c:dPt>
            <c:idx val="9"/>
            <c:invertIfNegative val="0"/>
            <c:bubble3D val="0"/>
            <c:extLst>
              <c:ext xmlns:c16="http://schemas.microsoft.com/office/drawing/2014/chart" uri="{C3380CC4-5D6E-409C-BE32-E72D297353CC}">
                <c16:uniqueId val="{0000000C-DF4B-4C3A-B3D6-67EF9F0F9156}"/>
              </c:ext>
            </c:extLst>
          </c:dPt>
          <c:cat>
            <c:strRef>
              <c:f>('Consensus (Before F3Q19)'!$C$6,'Consensus (Before F3Q19)'!$D$6,'Consensus (Before F3Q19)'!$E$6,'Consensus (Before F3Q19)'!$F$6,'Consensus (Before F3Q19)'!$H$5,'Consensus (Before F3Q19)'!$J$5,'Consensus (Before F3Q19)'!$L$5,'Consensus (Before F3Q19)'!$N$5)</c:f>
              <c:strCache>
                <c:ptCount val="8"/>
                <c:pt idx="0">
                  <c:v> F2Q18 </c:v>
                </c:pt>
                <c:pt idx="1">
                  <c:v> F3Q18 </c:v>
                </c:pt>
                <c:pt idx="2">
                  <c:v> F4Q18 </c:v>
                </c:pt>
                <c:pt idx="3">
                  <c:v> F1Q19 </c:v>
                </c:pt>
                <c:pt idx="4">
                  <c:v> F3Q19E </c:v>
                </c:pt>
                <c:pt idx="5">
                  <c:v> F4Q19E </c:v>
                </c:pt>
                <c:pt idx="6">
                  <c:v> F1Q20E </c:v>
                </c:pt>
                <c:pt idx="7">
                  <c:v> F2Q20E </c:v>
                </c:pt>
              </c:strCache>
            </c:strRef>
          </c:cat>
          <c:val>
            <c:numRef>
              <c:f>('Consensus (Before F3Q19)'!$C$7,'Consensus (Before F3Q19)'!$D$7,'Consensus (Before F3Q19)'!$E$7,'Consensus (Before F3Q19)'!$F$7,'Consensus (Before F3Q19)'!$I$7,'Consensus (Before F3Q19)'!$K$7,'Consensus (Before F3Q19)'!$M$7,'Consensus (Before F3Q19)'!$O$7)</c:f>
              <c:numCache>
                <c:formatCode>"$"#,##0</c:formatCode>
                <c:ptCount val="8"/>
                <c:pt idx="0">
                  <c:v>16313</c:v>
                </c:pt>
                <c:pt idx="1">
                  <c:v>16526</c:v>
                </c:pt>
                <c:pt idx="2">
                  <c:v>17314</c:v>
                </c:pt>
                <c:pt idx="3">
                  <c:v>17052</c:v>
                </c:pt>
                <c:pt idx="4" formatCode="&quot;$&quot;#,##0_);\(&quot;$&quot;#,##0\)">
                  <c:v>17704.368421052601</c:v>
                </c:pt>
                <c:pt idx="5" formatCode="&quot;$&quot;#,##0_);\(&quot;$&quot;#,##0\)">
                  <c:v>18454.7368421053</c:v>
                </c:pt>
                <c:pt idx="6" formatCode="&quot;$&quot;#,##0_);\(&quot;$&quot;#,##0\)">
                  <c:v>17777.25</c:v>
                </c:pt>
                <c:pt idx="7" formatCode="&quot;$&quot;#,##0_);\(&quot;$&quot;#,##0\)">
                  <c:v>18593.142857142899</c:v>
                </c:pt>
              </c:numCache>
            </c:numRef>
          </c:val>
          <c:extLst>
            <c:ext xmlns:c16="http://schemas.microsoft.com/office/drawing/2014/chart" uri="{C3380CC4-5D6E-409C-BE32-E72D297353CC}">
              <c16:uniqueId val="{0000000D-DF4B-4C3A-B3D6-67EF9F0F9156}"/>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'Consensus (Before F3Q19)'!$B$9</c:f>
              <c:strCache>
                <c:ptCount val="1"/>
                <c:pt idx="0">
                  <c:v>Implied Operating Margin (%, non-GAAP)</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olid"/>
              </a:ln>
            </c:spPr>
            <c:extLst>
              <c:ext xmlns:c16="http://schemas.microsoft.com/office/drawing/2014/chart" uri="{C3380CC4-5D6E-409C-BE32-E72D297353CC}">
                <c16:uniqueId val="{0000000F-DF4B-4C3A-B3D6-67EF9F0F9156}"/>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11-DF4B-4C3A-B3D6-67EF9F0F9156}"/>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13-DF4B-4C3A-B3D6-67EF9F0F9156}"/>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5-DF4B-4C3A-B3D6-67EF9F0F9156}"/>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 </c:v>
                </c:pt>
                <c:pt idx="3">
                  <c:v> F4Q19E </c:v>
                </c:pt>
                <c:pt idx="4">
                  <c:v> F1Q20E </c:v>
                </c:pt>
              </c:strCache>
            </c:strRef>
          </c:cat>
          <c:val>
            <c:numRef>
              <c:f>('Consensus (Before F3Q19)'!$C$9,'Consensus (Before F3Q19)'!$D$9,'Consensus (Before F3Q19)'!$E$9,'Consensus (Before F3Q19)'!$F$9,'Consensus (Before F3Q19)'!$I$9,'Consensus (Before F3Q19)'!$K$9,'Consensus (Before F3Q19)'!$M$9,'Consensus (Before F3Q19)'!$O$9)</c:f>
              <c:numCache>
                <c:formatCode>0.0%</c:formatCode>
                <c:ptCount val="8"/>
                <c:pt idx="0">
                  <c:v>7.5829093361123034E-2</c:v>
                </c:pt>
                <c:pt idx="1">
                  <c:v>5.8332324821493406E-2</c:v>
                </c:pt>
                <c:pt idx="2">
                  <c:v>0.10598359708906088</c:v>
                </c:pt>
                <c:pt idx="3">
                  <c:v>6.9903823598404885E-2</c:v>
                </c:pt>
                <c:pt idx="4">
                  <c:v>6.5759519997695109E-2</c:v>
                </c:pt>
                <c:pt idx="5">
                  <c:v>0.10481361554256798</c:v>
                </c:pt>
                <c:pt idx="6">
                  <c:v>8.1992434150388829E-2</c:v>
                </c:pt>
                <c:pt idx="7">
                  <c:v>8.0137070502181884E-2</c:v>
                </c:pt>
              </c:numCache>
            </c:numRef>
          </c:val>
          <c:smooth val="0"/>
          <c:extLst>
            <c:ext xmlns:c16="http://schemas.microsoft.com/office/drawing/2014/chart" uri="{C3380CC4-5D6E-409C-BE32-E72D297353CC}">
              <c16:uniqueId val="{00000016-DF4B-4C3A-B3D6-67EF9F0F9156}"/>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Quarterly Consensus Revenue</a:t>
            </a:r>
            <a:r>
              <a:rPr lang="en-US" sz="1200" b="0" baseline="0"/>
              <a:t> &amp; Margin Estimates</a:t>
            </a:r>
            <a:endParaRPr lang="en-US" sz="1200" b="0"/>
          </a:p>
        </c:rich>
      </c:tx>
      <c:layout>
        <c:manualLayout>
          <c:xMode val="edge"/>
          <c:yMode val="edge"/>
          <c:x val="0.14115438058930416"/>
          <c:y val="6.0111912762497053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'Consensus (Before F2Q19)'!$B$7</c:f>
              <c:strCache>
                <c:ptCount val="1"/>
                <c:pt idx="0">
                  <c:v>Revenue ($M)</c:v>
                </c:pt>
              </c:strCache>
            </c:strRef>
          </c:tx>
          <c:spPr>
            <a:solidFill>
              <a:schemeClr val="bg1">
                <a:lumMod val="75000"/>
              </a:schemeClr>
            </a:solidFill>
            <a:ln>
              <a:solidFill>
                <a:schemeClr val="tx1">
                  <a:lumMod val="75000"/>
                  <a:lumOff val="25000"/>
                </a:schemeClr>
              </a:solidFill>
            </a:ln>
          </c:spPr>
          <c:invertIfNegative val="0"/>
          <c:dPt>
            <c:idx val="0"/>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4-7620-40BF-9AD1-D83C7ADDB36B}"/>
              </c:ext>
            </c:extLst>
          </c:dPt>
          <c:dPt>
            <c:idx val="1"/>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5-7620-40BF-9AD1-D83C7ADDB36B}"/>
              </c:ext>
            </c:extLst>
          </c:dPt>
          <c:dPt>
            <c:idx val="2"/>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6-7620-40BF-9AD1-D83C7ADDB36B}"/>
              </c:ext>
            </c:extLst>
          </c:dPt>
          <c:dPt>
            <c:idx val="3"/>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7-7620-40BF-9AD1-D83C7ADDB36B}"/>
              </c:ext>
            </c:extLst>
          </c:dPt>
          <c:dPt>
            <c:idx val="4"/>
            <c:invertIfNegative val="0"/>
            <c:bubble3D val="0"/>
            <c:extLst>
              <c:ext xmlns:c16="http://schemas.microsoft.com/office/drawing/2014/chart" uri="{C3380CC4-5D6E-409C-BE32-E72D297353CC}">
                <c16:uniqueId val="{00000001-7620-40BF-9AD1-D83C7ADDB36B}"/>
              </c:ext>
            </c:extLst>
          </c:dPt>
          <c:dPt>
            <c:idx val="5"/>
            <c:invertIfNegative val="0"/>
            <c:bubble3D val="0"/>
            <c:extLst>
              <c:ext xmlns:c16="http://schemas.microsoft.com/office/drawing/2014/chart" uri="{C3380CC4-5D6E-409C-BE32-E72D297353CC}">
                <c16:uniqueId val="{00000003-7620-40BF-9AD1-D83C7ADDB36B}"/>
              </c:ext>
            </c:extLst>
          </c:dPt>
          <c:dPt>
            <c:idx val="6"/>
            <c:invertIfNegative val="0"/>
            <c:bubble3D val="0"/>
            <c:extLst>
              <c:ext xmlns:c16="http://schemas.microsoft.com/office/drawing/2014/chart" uri="{C3380CC4-5D6E-409C-BE32-E72D297353CC}">
                <c16:uniqueId val="{00000005-7620-40BF-9AD1-D83C7ADDB36B}"/>
              </c:ext>
            </c:extLst>
          </c:dPt>
          <c:dPt>
            <c:idx val="7"/>
            <c:invertIfNegative val="0"/>
            <c:bubble3D val="0"/>
            <c:extLst>
              <c:ext xmlns:c16="http://schemas.microsoft.com/office/drawing/2014/chart" uri="{C3380CC4-5D6E-409C-BE32-E72D297353CC}">
                <c16:uniqueId val="{00000007-7620-40BF-9AD1-D83C7ADDB36B}"/>
              </c:ext>
            </c:extLst>
          </c:dPt>
          <c:dPt>
            <c:idx val="9"/>
            <c:invertIfNegative val="0"/>
            <c:bubble3D val="0"/>
            <c:extLst>
              <c:ext xmlns:c16="http://schemas.microsoft.com/office/drawing/2014/chart" uri="{C3380CC4-5D6E-409C-BE32-E72D297353CC}">
                <c16:uniqueId val="{00000008-7620-40BF-9AD1-D83C7ADDB36B}"/>
              </c:ext>
            </c:extLst>
          </c:dPt>
          <c:cat>
            <c:strRef>
              <c:f>('Consensus (Before F2Q19)'!$C$6,'Consensus (Before F2Q19)'!$D$6,'Consensus (Before F2Q19)'!$E$6,'Consensus (Before F2Q19)'!$F$6,'Consensus (Before F2Q19)'!$G$5,'Consensus (Before F2Q19)'!$I$5,'Consensus (Before F2Q19)'!$K$5,'Consensus (Before F2Q19)'!$M$5)</c:f>
              <c:strCache>
                <c:ptCount val="8"/>
                <c:pt idx="0">
                  <c:v> F2Q18 </c:v>
                </c:pt>
                <c:pt idx="1">
                  <c:v> F3Q18 </c:v>
                </c:pt>
                <c:pt idx="2">
                  <c:v> F4Q18 </c:v>
                </c:pt>
                <c:pt idx="3">
                  <c:v> F1Q19 </c:v>
                </c:pt>
                <c:pt idx="4">
                  <c:v> F2Q19E </c:v>
                </c:pt>
                <c:pt idx="5">
                  <c:v> F3Q19E </c:v>
                </c:pt>
                <c:pt idx="6">
                  <c:v> F4Q19E </c:v>
                </c:pt>
                <c:pt idx="7">
                  <c:v> F1Q20E </c:v>
                </c:pt>
              </c:strCache>
            </c:strRef>
          </c:cat>
          <c:val>
            <c:numRef>
              <c:f>('Consensus (Before F2Q19)'!$C$7,'Consensus (Before F2Q19)'!$D$7,'Consensus (Before F2Q19)'!$E$7,'Consensus (Before F2Q19)'!$F$7,'Consensus (Before F2Q19)'!$H$7,'Consensus (Before F2Q19)'!$J$7,'Consensus (Before F2Q19)'!$L$7,'Consensus (Before F2Q19)'!$N$7)</c:f>
              <c:numCache>
                <c:formatCode>"$"#,##0</c:formatCode>
                <c:ptCount val="8"/>
                <c:pt idx="0">
                  <c:v>16313</c:v>
                </c:pt>
                <c:pt idx="1">
                  <c:v>16526</c:v>
                </c:pt>
                <c:pt idx="2">
                  <c:v>17314</c:v>
                </c:pt>
                <c:pt idx="3">
                  <c:v>17052</c:v>
                </c:pt>
                <c:pt idx="4">
                  <c:v>17686.650000000001</c:v>
                </c:pt>
                <c:pt idx="5">
                  <c:v>17889</c:v>
                </c:pt>
                <c:pt idx="6">
                  <c:v>18692</c:v>
                </c:pt>
                <c:pt idx="7">
                  <c:v>18026</c:v>
                </c:pt>
              </c:numCache>
            </c:numRef>
          </c:val>
          <c:extLst>
            <c:ext xmlns:c16="http://schemas.microsoft.com/office/drawing/2014/chart" uri="{C3380CC4-5D6E-409C-BE32-E72D297353CC}">
              <c16:uniqueId val="{00000009-7620-40BF-9AD1-D83C7ADDB36B}"/>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'Consensus (Before F2Q19)'!$B$9</c:f>
              <c:strCache>
                <c:ptCount val="1"/>
                <c:pt idx="0">
                  <c:v>Implied Operating Margin (%, non-GAAP)</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olid"/>
              </a:ln>
            </c:spPr>
            <c:extLst>
              <c:ext xmlns:c16="http://schemas.microsoft.com/office/drawing/2014/chart" uri="{C3380CC4-5D6E-409C-BE32-E72D297353CC}">
                <c16:uniqueId val="{0000000B-7620-40BF-9AD1-D83C7ADDB36B}"/>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7620-40BF-9AD1-D83C7ADDB36B}"/>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7620-40BF-9AD1-D83C7ADDB36B}"/>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7620-40BF-9AD1-D83C7ADDB36B}"/>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 </c:v>
                </c:pt>
                <c:pt idx="3">
                  <c:v> F4Q19E </c:v>
                </c:pt>
                <c:pt idx="4">
                  <c:v> F1Q20E </c:v>
                </c:pt>
              </c:strCache>
            </c:strRef>
          </c:cat>
          <c:val>
            <c:numRef>
              <c:f>('Consensus (Before F2Q19)'!$C$9,'Consensus (Before F2Q19)'!$D$9,'Consensus (Before F2Q19)'!$E$9,'Consensus (Before F2Q19)'!$F$9,'Consensus (Before F2Q19)'!$H$9,'Consensus (Before F2Q19)'!$J$9,'Consensus (Before F2Q19)'!$L$9,'Consensus (Before F2Q19)'!$N$9)</c:f>
              <c:numCache>
                <c:formatCode>0.0%</c:formatCode>
                <c:ptCount val="8"/>
                <c:pt idx="0">
                  <c:v>7.5829093361123034E-2</c:v>
                </c:pt>
                <c:pt idx="1">
                  <c:v>5.8332324821493406E-2</c:v>
                </c:pt>
                <c:pt idx="2">
                  <c:v>0.10598359708906088</c:v>
                </c:pt>
                <c:pt idx="3">
                  <c:v>6.9903823598404885E-2</c:v>
                </c:pt>
                <c:pt idx="4">
                  <c:v>8.1021561460197372E-2</c:v>
                </c:pt>
                <c:pt idx="5">
                  <c:v>7.7306183069722617E-2</c:v>
                </c:pt>
                <c:pt idx="6">
                  <c:v>0.11591675084731336</c:v>
                </c:pt>
                <c:pt idx="7">
                  <c:v>9.0559518148676438E-2</c:v>
                </c:pt>
              </c:numCache>
            </c:numRef>
          </c:val>
          <c:smooth val="0"/>
          <c:extLst>
            <c:ext xmlns:c16="http://schemas.microsoft.com/office/drawing/2014/chart" uri="{C3380CC4-5D6E-409C-BE32-E72D297353CC}">
              <c16:uniqueId val="{00000012-7620-40BF-9AD1-D83C7ADDB36B}"/>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1A1-432C-9629-C0B8399F17B9}"/>
            </c:ext>
          </c:extLst>
        </c:ser>
        <c:dLbls>
          <c:showLegendKey val="0"/>
          <c:showVal val="0"/>
          <c:showCatName val="0"/>
          <c:showSerName val="0"/>
          <c:showPercent val="0"/>
          <c:showBubbleSize val="0"/>
        </c:dLbls>
        <c:smooth val="0"/>
        <c:axId val="142949760"/>
        <c:axId val="142967936"/>
      </c:lineChart>
      <c:catAx>
        <c:axId val="142949760"/>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67936"/>
        <c:crosses val="autoZero"/>
        <c:auto val="1"/>
        <c:lblAlgn val="ctr"/>
        <c:lblOffset val="100"/>
        <c:tickLblSkip val="7"/>
        <c:noMultiLvlLbl val="1"/>
      </c:catAx>
      <c:valAx>
        <c:axId val="142967936"/>
        <c:scaling>
          <c:orientation val="minMax"/>
        </c:scaling>
        <c:delete val="0"/>
        <c:axPos val="l"/>
        <c:majorGridlines/>
        <c:numFmt formatCode="0.0\x" sourceLinked="0"/>
        <c:majorTickMark val="out"/>
        <c:minorTickMark val="none"/>
        <c:tickLblPos val="nextTo"/>
        <c:crossAx val="1429497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A3B3-4E7E-8C1B-5EC41782F9D8}"/>
            </c:ext>
          </c:extLst>
        </c:ser>
        <c:dLbls>
          <c:showLegendKey val="0"/>
          <c:showVal val="0"/>
          <c:showCatName val="0"/>
          <c:showSerName val="0"/>
          <c:showPercent val="0"/>
          <c:showBubbleSize val="0"/>
        </c:dLbls>
        <c:smooth val="0"/>
        <c:axId val="142977664"/>
        <c:axId val="142983552"/>
      </c:lineChart>
      <c:catAx>
        <c:axId val="142977664"/>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83552"/>
        <c:crosses val="autoZero"/>
        <c:auto val="1"/>
        <c:lblAlgn val="ctr"/>
        <c:lblOffset val="100"/>
        <c:tickLblSkip val="7"/>
        <c:noMultiLvlLbl val="1"/>
      </c:catAx>
      <c:valAx>
        <c:axId val="142983552"/>
        <c:scaling>
          <c:orientation val="minMax"/>
        </c:scaling>
        <c:delete val="0"/>
        <c:axPos val="l"/>
        <c:majorGridlines/>
        <c:numFmt formatCode="0.0\x" sourceLinked="0"/>
        <c:majorTickMark val="out"/>
        <c:minorTickMark val="none"/>
        <c:tickLblPos val="nextTo"/>
        <c:crossAx val="1429776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CA6E-4F65-ABFE-CF3C792E3A02}"/>
            </c:ext>
          </c:extLst>
        </c:ser>
        <c:dLbls>
          <c:showLegendKey val="0"/>
          <c:showVal val="0"/>
          <c:showCatName val="0"/>
          <c:showSerName val="0"/>
          <c:showPercent val="0"/>
          <c:showBubbleSize val="0"/>
        </c:dLbls>
        <c:smooth val="0"/>
        <c:axId val="142994432"/>
        <c:axId val="142996224"/>
      </c:lineChart>
      <c:catAx>
        <c:axId val="142994432"/>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96224"/>
        <c:crosses val="autoZero"/>
        <c:auto val="1"/>
        <c:lblAlgn val="ctr"/>
        <c:lblOffset val="100"/>
        <c:tickLblSkip val="7"/>
        <c:noMultiLvlLbl val="1"/>
      </c:catAx>
      <c:valAx>
        <c:axId val="142996224"/>
        <c:scaling>
          <c:orientation val="minMax"/>
        </c:scaling>
        <c:delete val="0"/>
        <c:axPos val="l"/>
        <c:majorGridlines/>
        <c:numFmt formatCode="0.0\x" sourceLinked="0"/>
        <c:majorTickMark val="out"/>
        <c:minorTickMark val="none"/>
        <c:tickLblPos val="nextTo"/>
        <c:crossAx val="142994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358D-4E3E-9B28-09F3A256DAA2}"/>
            </c:ext>
          </c:extLst>
        </c:ser>
        <c:dLbls>
          <c:showLegendKey val="0"/>
          <c:showVal val="0"/>
          <c:showCatName val="0"/>
          <c:showSerName val="0"/>
          <c:showPercent val="0"/>
          <c:showBubbleSize val="0"/>
        </c:dLbls>
        <c:smooth val="0"/>
        <c:axId val="145511168"/>
        <c:axId val="145512704"/>
      </c:lineChart>
      <c:catAx>
        <c:axId val="14551116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5512704"/>
        <c:crosses val="autoZero"/>
        <c:auto val="1"/>
        <c:lblAlgn val="ctr"/>
        <c:lblOffset val="100"/>
        <c:tickLblSkip val="7"/>
        <c:noMultiLvlLbl val="1"/>
      </c:catAx>
      <c:valAx>
        <c:axId val="145512704"/>
        <c:scaling>
          <c:orientation val="minMax"/>
        </c:scaling>
        <c:delete val="0"/>
        <c:axPos val="l"/>
        <c:majorGridlines/>
        <c:numFmt formatCode="0.0\x" sourceLinked="0"/>
        <c:majorTickMark val="out"/>
        <c:minorTickMark val="none"/>
        <c:tickLblPos val="nextTo"/>
        <c:crossAx val="1455111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Express-Package</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Model'!$B$52</c:f>
              <c:strCache>
                <c:ptCount val="1"/>
                <c:pt idx="0">
                  <c:v>Packages: Total Average Daily Volume (ADV,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9-5C55-4DB1-A25C-6A7A09C8C754}"/>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A-5C55-4DB1-A25C-6A7A09C8C754}"/>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E-2462-4DF9-A2F7-046938A175E7}"/>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F-2462-4DF9-A2F7-046938A175E7}"/>
              </c:ext>
            </c:extLst>
          </c:dPt>
          <c:dPt>
            <c:idx val="9"/>
            <c:invertIfNegative val="0"/>
            <c:bubble3D val="0"/>
            <c:extLst>
              <c:ext xmlns:c16="http://schemas.microsoft.com/office/drawing/2014/chart" uri="{C3380CC4-5D6E-409C-BE32-E72D297353CC}">
                <c16:uniqueId val="{00000000-2462-4DF9-A2F7-046938A175E7}"/>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Model'!$Q$52,'FedEx Earnings Model'!$S$52,'FedEx Earnings Model'!$T$52,'FedEx Earnings Model'!$U$52,'FedEx Earnings Model'!$V$52,'FedEx Earnings Model'!$X$52,'FedEx Earnings Model'!$Y$52,'FedEx Earnings Model'!$Z$52)</c:f>
              <c:numCache>
                <c:formatCode>_(* #,##0_);_(* \(#,##0\);_(* "-"_);_(@_)</c:formatCode>
                <c:ptCount val="7"/>
                <c:pt idx="0">
                  <c:v>5886.7000000000007</c:v>
                </c:pt>
                <c:pt idx="1">
                  <c:v>6449.5</c:v>
                </c:pt>
                <c:pt idx="2">
                  <c:v>6283.4</c:v>
                </c:pt>
                <c:pt idx="3">
                  <c:v>5833.398953184821</c:v>
                </c:pt>
                <c:pt idx="4">
                  <c:v>5875.3784885412351</c:v>
                </c:pt>
                <c:pt idx="5">
                  <c:v>6522.5763088336435</c:v>
                </c:pt>
                <c:pt idx="6">
                  <c:v>6371.2199022898167</c:v>
                </c:pt>
              </c:numCache>
            </c:numRef>
          </c:val>
          <c:extLst>
            <c:ext xmlns:c16="http://schemas.microsoft.com/office/drawing/2014/chart" uri="{C3380CC4-5D6E-409C-BE32-E72D297353CC}">
              <c16:uniqueId val="{00000001-2462-4DF9-A2F7-046938A175E7}"/>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Model'!$B$53</c:f>
              <c:strCache>
                <c:ptCount val="1"/>
                <c:pt idx="0">
                  <c:v>Packages: Composite Yield (Revenue per package,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5C55-4DB1-A25C-6A7A09C8C754}"/>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C-5C55-4DB1-A25C-6A7A09C8C754}"/>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10-2462-4DF9-A2F7-046938A175E7}"/>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462-4DF9-A2F7-046938A175E7}"/>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Model'!$Q$53,'FedEx Earnings Model'!$S$53,'FedEx Earnings Model'!$T$53,'FedEx Earnings Model'!$U$53,'FedEx Earnings Model'!$V$53,'FedEx Earnings Model'!$X$53,'FedEx Earnings Model'!$Y$53,'FedEx Earnings Model'!$Z$53)</c:f>
              <c:numCache>
                <c:formatCode>"$"#,##0.00_);\("$"#,##0.00\)</c:formatCode>
                <c:ptCount val="7"/>
                <c:pt idx="0">
                  <c:v>18.636935991302426</c:v>
                </c:pt>
                <c:pt idx="1">
                  <c:v>18.299246653228931</c:v>
                </c:pt>
                <c:pt idx="2">
                  <c:v>18.014202438170418</c:v>
                </c:pt>
                <c:pt idx="3">
                  <c:v>19.080386252164132</c:v>
                </c:pt>
                <c:pt idx="4">
                  <c:v>18.229746469223905</c:v>
                </c:pt>
                <c:pt idx="5">
                  <c:v>18.062314930836269</c:v>
                </c:pt>
                <c:pt idx="6">
                  <c:v>17.700914911402283</c:v>
                </c:pt>
              </c:numCache>
            </c:numRef>
          </c:val>
          <c:smooth val="0"/>
          <c:extLst>
            <c:ext xmlns:c16="http://schemas.microsoft.com/office/drawing/2014/chart" uri="{C3380CC4-5D6E-409C-BE32-E72D297353CC}">
              <c16:uniqueId val="{00000002-2462-4DF9-A2F7-046938A175E7}"/>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Express-Freight</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Model'!$B$55</c:f>
              <c:strCache>
                <c:ptCount val="1"/>
                <c:pt idx="0">
                  <c:v>Freight: Total Average Daily Freight LBS (ADV,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4F9E-4ACC-AA79-DAD70449E7B9}"/>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4F9E-4ACC-AA79-DAD70449E7B9}"/>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4F9E-4ACC-AA79-DAD70449E7B9}"/>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4F9E-4ACC-AA79-DAD70449E7B9}"/>
              </c:ext>
            </c:extLst>
          </c:dPt>
          <c:dPt>
            <c:idx val="9"/>
            <c:invertIfNegative val="0"/>
            <c:bubble3D val="0"/>
            <c:extLst>
              <c:ext xmlns:c16="http://schemas.microsoft.com/office/drawing/2014/chart" uri="{C3380CC4-5D6E-409C-BE32-E72D297353CC}">
                <c16:uniqueId val="{00000008-4F9E-4ACC-AA79-DAD70449E7B9}"/>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Model'!$Q$55,'FedEx Earnings Model'!$S$55,'FedEx Earnings Model'!$T$55,'FedEx Earnings Model'!$U$55,'FedEx Earnings Model'!$V$55,'FedEx Earnings Model'!$X$55,'FedEx Earnings Model'!$Y$55,'FedEx Earnings Model'!$Z$55)</c:f>
              <c:numCache>
                <c:formatCode>_(* #,##0_);_(* \(#,##0\);_(* "-"_);_(@_)</c:formatCode>
                <c:ptCount val="7"/>
                <c:pt idx="0">
                  <c:v>28800</c:v>
                </c:pt>
                <c:pt idx="1">
                  <c:v>31733.699999999997</c:v>
                </c:pt>
                <c:pt idx="2">
                  <c:v>29617</c:v>
                </c:pt>
                <c:pt idx="3">
                  <c:v>30685.616940537337</c:v>
                </c:pt>
                <c:pt idx="4">
                  <c:v>29979.113717177275</c:v>
                </c:pt>
                <c:pt idx="5">
                  <c:v>33083.837985744722</c:v>
                </c:pt>
                <c:pt idx="6">
                  <c:v>30845.632320114055</c:v>
                </c:pt>
              </c:numCache>
            </c:numRef>
          </c:val>
          <c:extLst>
            <c:ext xmlns:c16="http://schemas.microsoft.com/office/drawing/2014/chart" uri="{C3380CC4-5D6E-409C-BE32-E72D297353CC}">
              <c16:uniqueId val="{00000009-4F9E-4ACC-AA79-DAD70449E7B9}"/>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Model'!$B$56</c:f>
              <c:strCache>
                <c:ptCount val="1"/>
                <c:pt idx="0">
                  <c:v>Freight: Composite Freight Yield (Revenue per package,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4F9E-4ACC-AA79-DAD70449E7B9}"/>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4F9E-4ACC-AA79-DAD70449E7B9}"/>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4F9E-4ACC-AA79-DAD70449E7B9}"/>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4F9E-4ACC-AA79-DAD70449E7B9}"/>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Model'!$Q$56,'FedEx Earnings Model'!$S$56,'FedEx Earnings Model'!$T$56,'FedEx Earnings Model'!$U$56,'FedEx Earnings Model'!$V$56,'FedEx Earnings Model'!$X$56,'FedEx Earnings Model'!$Y$56,'FedEx Earnings Model'!$Z$56)</c:f>
              <c:numCache>
                <c:formatCode>"$"#,##0.00_);\("$"#,##0.00\)</c:formatCode>
                <c:ptCount val="7"/>
                <c:pt idx="0">
                  <c:v>1.0062736805555557</c:v>
                </c:pt>
                <c:pt idx="1">
                  <c:v>0.99682650305511178</c:v>
                </c:pt>
                <c:pt idx="2">
                  <c:v>0.99170918729108282</c:v>
                </c:pt>
                <c:pt idx="3">
                  <c:v>1.048877339789825</c:v>
                </c:pt>
                <c:pt idx="4">
                  <c:v>0.98755136997186788</c:v>
                </c:pt>
                <c:pt idx="5">
                  <c:v>0.98189229403125577</c:v>
                </c:pt>
                <c:pt idx="6">
                  <c:v>0.97765710329980193</c:v>
                </c:pt>
              </c:numCache>
            </c:numRef>
          </c:val>
          <c:smooth val="0"/>
          <c:extLst>
            <c:ext xmlns:c16="http://schemas.microsoft.com/office/drawing/2014/chart" uri="{C3380CC4-5D6E-409C-BE32-E72D297353CC}">
              <c16:uniqueId val="{00000012-4F9E-4ACC-AA79-DAD70449E7B9}"/>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majorUnit val="1500"/>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Model'!$B$60</c:f>
              <c:strCache>
                <c:ptCount val="1"/>
                <c:pt idx="0">
                  <c:v>Express Segment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2752-4AAF-A23C-0D86086CE154}"/>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2752-4AAF-A23C-0D86086CE154}"/>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2752-4AAF-A23C-0D86086CE154}"/>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2752-4AAF-A23C-0D86086CE154}"/>
              </c:ext>
            </c:extLst>
          </c:dPt>
          <c:dPt>
            <c:idx val="9"/>
            <c:invertIfNegative val="0"/>
            <c:bubble3D val="0"/>
            <c:extLst>
              <c:ext xmlns:c16="http://schemas.microsoft.com/office/drawing/2014/chart" uri="{C3380CC4-5D6E-409C-BE32-E72D297353CC}">
                <c16:uniqueId val="{00000008-2752-4AAF-A23C-0D86086CE154}"/>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Model'!$Q$60,'FedEx Earnings Model'!$S$60,'FedEx Earnings Model'!$T$60,'FedEx Earnings Model'!$U$60,'FedEx Earnings Model'!$V$60,'FedEx Earnings Model'!$X$60,'FedEx Earnings Model'!$Y$60,'FedEx Earnings Model'!$Z$60)</c:f>
              <c:numCache>
                <c:formatCode>_(* #,##0_);_(* \(#,##0\);_(* "-"_);_(@_)</c:formatCode>
                <c:ptCount val="7"/>
                <c:pt idx="0">
                  <c:v>9221.2976515000009</c:v>
                </c:pt>
                <c:pt idx="1">
                  <c:v>9603.6010228699997</c:v>
                </c:pt>
                <c:pt idx="2">
                  <c:v>9005.3372172000018</c:v>
                </c:pt>
                <c:pt idx="3">
                  <c:v>9518.5180415971263</c:v>
                </c:pt>
                <c:pt idx="4">
                  <c:v>9053.6660797740878</c:v>
                </c:pt>
                <c:pt idx="5">
                  <c:v>9605.2828300509227</c:v>
                </c:pt>
                <c:pt idx="6">
                  <c:v>8993.1697347153386</c:v>
                </c:pt>
              </c:numCache>
            </c:numRef>
          </c:val>
          <c:extLst>
            <c:ext xmlns:c16="http://schemas.microsoft.com/office/drawing/2014/chart" uri="{C3380CC4-5D6E-409C-BE32-E72D297353CC}">
              <c16:uniqueId val="{00000009-2752-4AAF-A23C-0D86086CE154}"/>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Model'!$B$73</c:f>
              <c:strCache>
                <c:ptCount val="1"/>
                <c:pt idx="0">
                  <c:v>Express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2752-4AAF-A23C-0D86086CE154}"/>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2752-4AAF-A23C-0D86086CE154}"/>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2752-4AAF-A23C-0D86086CE154}"/>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752-4AAF-A23C-0D86086CE154}"/>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Model'!$Q$73,'FedEx Earnings Model'!$S$73,'FedEx Earnings Model'!$T$73,'FedEx Earnings Model'!$U$73,'FedEx Earnings Model'!$V$73,'FedEx Earnings Model'!$X$73,'FedEx Earnings Model'!$Y$73,'FedEx Earnings Model'!$Z$73)</c:f>
              <c:numCache>
                <c:formatCode>0.0%</c:formatCode>
                <c:ptCount val="7"/>
                <c:pt idx="0">
                  <c:v>3.9777227171528651E-2</c:v>
                </c:pt>
                <c:pt idx="1">
                  <c:v>6.4517572251750449E-2</c:v>
                </c:pt>
                <c:pt idx="2">
                  <c:v>4.1124192050539271E-2</c:v>
                </c:pt>
                <c:pt idx="3">
                  <c:v>6.3927324783747921E-2</c:v>
                </c:pt>
                <c:pt idx="4">
                  <c:v>3.5336096542726625E-2</c:v>
                </c:pt>
                <c:pt idx="5">
                  <c:v>6.7652732933462023E-2</c:v>
                </c:pt>
                <c:pt idx="6">
                  <c:v>4.4191264645248224E-2</c:v>
                </c:pt>
              </c:numCache>
            </c:numRef>
          </c:val>
          <c:smooth val="0"/>
          <c:extLst>
            <c:ext xmlns:c16="http://schemas.microsoft.com/office/drawing/2014/chart" uri="{C3380CC4-5D6E-409C-BE32-E72D297353CC}">
              <c16:uniqueId val="{00000012-2752-4AAF-A23C-0D86086CE154}"/>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40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Ground</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Model'!$B$141:$C$141</c:f>
              <c:strCache>
                <c:ptCount val="2"/>
                <c:pt idx="0">
                  <c:v>Ground Average Daily Freight LB (in thousands LBS)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2832-41C1-BD10-54F7E649F542}"/>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2832-41C1-BD10-54F7E649F542}"/>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2832-41C1-BD10-54F7E649F542}"/>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2832-41C1-BD10-54F7E649F542}"/>
              </c:ext>
            </c:extLst>
          </c:dPt>
          <c:dPt>
            <c:idx val="9"/>
            <c:invertIfNegative val="0"/>
            <c:bubble3D val="0"/>
            <c:extLst>
              <c:ext xmlns:c16="http://schemas.microsoft.com/office/drawing/2014/chart" uri="{C3380CC4-5D6E-409C-BE32-E72D297353CC}">
                <c16:uniqueId val="{00000008-2832-41C1-BD10-54F7E649F542}"/>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Model'!$Q$141,'FedEx Earnings Model'!$S$141,'FedEx Earnings Model'!$T$141,'FedEx Earnings Model'!$U$141,'FedEx Earnings Model'!$V$141,'FedEx Earnings Model'!$X$141,'FedEx Earnings Model'!$Y$141,'FedEx Earnings Model'!$Z$141)</c:f>
              <c:numCache>
                <c:formatCode>_(* #,##0_);_(* \(#,##0\);_(* "-"_);_(@_)</c:formatCode>
                <c:ptCount val="7"/>
                <c:pt idx="0">
                  <c:v>8221</c:v>
                </c:pt>
                <c:pt idx="1">
                  <c:v>9237</c:v>
                </c:pt>
                <c:pt idx="2">
                  <c:v>9550</c:v>
                </c:pt>
                <c:pt idx="3">
                  <c:v>8660.4175409056425</c:v>
                </c:pt>
                <c:pt idx="4">
                  <c:v>8619.7871813900329</c:v>
                </c:pt>
                <c:pt idx="5">
                  <c:v>9637.1204709942613</c:v>
                </c:pt>
                <c:pt idx="6">
                  <c:v>9978.7004576546697</c:v>
                </c:pt>
              </c:numCache>
            </c:numRef>
          </c:val>
          <c:extLst>
            <c:ext xmlns:c16="http://schemas.microsoft.com/office/drawing/2014/chart" uri="{C3380CC4-5D6E-409C-BE32-E72D297353CC}">
              <c16:uniqueId val="{00000009-2832-41C1-BD10-54F7E649F542}"/>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Model'!$B$143</c:f>
              <c:strCache>
                <c:ptCount val="1"/>
                <c:pt idx="0">
                  <c:v>Ground Yield (Revenue per Freight LB,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2832-41C1-BD10-54F7E649F542}"/>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2832-41C1-BD10-54F7E649F542}"/>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2832-41C1-BD10-54F7E649F542}"/>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832-41C1-BD10-54F7E649F542}"/>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Model'!$Q$143,'FedEx Earnings Model'!$S$143,'FedEx Earnings Model'!$T$143,'FedEx Earnings Model'!$U$143,'FedEx Earnings Model'!$V$143,'FedEx Earnings Model'!$X$143,'FedEx Earnings Model'!$Y$143,'FedEx Earnings Model'!$Z$143)</c:f>
              <c:numCache>
                <c:formatCode>"$"#,##0.00_);\("$"#,##0.00\)</c:formatCode>
                <c:ptCount val="7"/>
                <c:pt idx="0">
                  <c:v>8.9600000000000009</c:v>
                </c:pt>
                <c:pt idx="1">
                  <c:v>8.81</c:v>
                </c:pt>
                <c:pt idx="2">
                  <c:v>8.8699999999999992</c:v>
                </c:pt>
                <c:pt idx="3">
                  <c:v>9.4871802549780551</c:v>
                </c:pt>
                <c:pt idx="4">
                  <c:v>9.1974833980830706</c:v>
                </c:pt>
                <c:pt idx="5">
                  <c:v>8.9758418165519949</c:v>
                </c:pt>
                <c:pt idx="6">
                  <c:v>9.0466525708458434</c:v>
                </c:pt>
              </c:numCache>
            </c:numRef>
          </c:val>
          <c:smooth val="0"/>
          <c:extLst>
            <c:ext xmlns:c16="http://schemas.microsoft.com/office/drawing/2014/chart" uri="{C3380CC4-5D6E-409C-BE32-E72D297353CC}">
              <c16:uniqueId val="{00000012-2832-41C1-BD10-54F7E649F542}"/>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jpg"/></Relationships>
</file>

<file path=xl/drawings/_rels/drawing1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236802</xdr:colOff>
      <xdr:row>255</xdr:row>
      <xdr:rowOff>0</xdr:rowOff>
    </xdr:from>
    <xdr:to>
      <xdr:col>6</xdr:col>
      <xdr:colOff>718343</xdr:colOff>
      <xdr:row>255</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236802</xdr:colOff>
      <xdr:row>317</xdr:row>
      <xdr:rowOff>0</xdr:rowOff>
    </xdr:from>
    <xdr:to>
      <xdr:col>6</xdr:col>
      <xdr:colOff>718343</xdr:colOff>
      <xdr:row>317</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236802</xdr:colOff>
      <xdr:row>362</xdr:row>
      <xdr:rowOff>0</xdr:rowOff>
    </xdr:from>
    <xdr:to>
      <xdr:col>6</xdr:col>
      <xdr:colOff>718343</xdr:colOff>
      <xdr:row>362</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236802</xdr:colOff>
      <xdr:row>49</xdr:row>
      <xdr:rowOff>0</xdr:rowOff>
    </xdr:from>
    <xdr:to>
      <xdr:col>6</xdr:col>
      <xdr:colOff>718343</xdr:colOff>
      <xdr:row>49</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236802</xdr:colOff>
      <xdr:row>300</xdr:row>
      <xdr:rowOff>0</xdr:rowOff>
    </xdr:from>
    <xdr:to>
      <xdr:col>6</xdr:col>
      <xdr:colOff>718343</xdr:colOff>
      <xdr:row>300</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2.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3.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twoCellAnchor>
    <xdr:from>
      <xdr:col>5</xdr:col>
      <xdr:colOff>245745</xdr:colOff>
      <xdr:row>15</xdr:row>
      <xdr:rowOff>171450</xdr:rowOff>
    </xdr:from>
    <xdr:to>
      <xdr:col>10</xdr:col>
      <xdr:colOff>481965</xdr:colOff>
      <xdr:row>27</xdr:row>
      <xdr:rowOff>93345</xdr:rowOff>
    </xdr:to>
    <xdr:graphicFrame macro="">
      <xdr:nvGraphicFramePr>
        <xdr:cNvPr id="2" name="Chart 1">
          <a:extLst>
            <a:ext uri="{FF2B5EF4-FFF2-40B4-BE49-F238E27FC236}">
              <a16:creationId xmlns:a16="http://schemas.microsoft.com/office/drawing/2014/main" id="{FA7010D3-3059-44AA-8CAF-004655119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twoCellAnchor>
    <xdr:from>
      <xdr:col>5</xdr:col>
      <xdr:colOff>245745</xdr:colOff>
      <xdr:row>16</xdr:row>
      <xdr:rowOff>20955</xdr:rowOff>
    </xdr:from>
    <xdr:to>
      <xdr:col>10</xdr:col>
      <xdr:colOff>729615</xdr:colOff>
      <xdr:row>25</xdr:row>
      <xdr:rowOff>247650</xdr:rowOff>
    </xdr:to>
    <xdr:graphicFrame macro="">
      <xdr:nvGraphicFramePr>
        <xdr:cNvPr id="4" name="Chart 3">
          <a:extLst>
            <a:ext uri="{FF2B5EF4-FFF2-40B4-BE49-F238E27FC236}">
              <a16:creationId xmlns:a16="http://schemas.microsoft.com/office/drawing/2014/main" id="{EC22233B-26C4-4673-B47F-AD01A6B56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xdr:from>
      <xdr:col>1</xdr:col>
      <xdr:colOff>59055</xdr:colOff>
      <xdr:row>3</xdr:row>
      <xdr:rowOff>127635</xdr:rowOff>
    </xdr:from>
    <xdr:to>
      <xdr:col>5</xdr:col>
      <xdr:colOff>160020</xdr:colOff>
      <xdr:row>12</xdr:row>
      <xdr:rowOff>30480</xdr:rowOff>
    </xdr:to>
    <xdr:graphicFrame macro="">
      <xdr:nvGraphicFramePr>
        <xdr:cNvPr id="2" name="Chart 1">
          <a:extLst>
            <a:ext uri="{FF2B5EF4-FFF2-40B4-BE49-F238E27FC236}">
              <a16:creationId xmlns:a16="http://schemas.microsoft.com/office/drawing/2014/main" id="{822A172C-7B75-4C02-A74C-56608478D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320040</xdr:colOff>
      <xdr:row>3</xdr:row>
      <xdr:rowOff>144780</xdr:rowOff>
    </xdr:from>
    <xdr:to>
      <xdr:col>11</xdr:col>
      <xdr:colOff>207645</xdr:colOff>
      <xdr:row>12</xdr:row>
      <xdr:rowOff>47625</xdr:rowOff>
    </xdr:to>
    <xdr:graphicFrame macro="">
      <xdr:nvGraphicFramePr>
        <xdr:cNvPr id="9" name="Chart 8">
          <a:extLst>
            <a:ext uri="{FF2B5EF4-FFF2-40B4-BE49-F238E27FC236}">
              <a16:creationId xmlns:a16="http://schemas.microsoft.com/office/drawing/2014/main" id="{85BA668F-E677-4692-80D9-486D07A95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350520</xdr:colOff>
      <xdr:row>3</xdr:row>
      <xdr:rowOff>137160</xdr:rowOff>
    </xdr:from>
    <xdr:to>
      <xdr:col>15</xdr:col>
      <xdr:colOff>451485</xdr:colOff>
      <xdr:row>12</xdr:row>
      <xdr:rowOff>40005</xdr:rowOff>
    </xdr:to>
    <xdr:graphicFrame macro="">
      <xdr:nvGraphicFramePr>
        <xdr:cNvPr id="10" name="Chart 9">
          <a:extLst>
            <a:ext uri="{FF2B5EF4-FFF2-40B4-BE49-F238E27FC236}">
              <a16:creationId xmlns:a16="http://schemas.microsoft.com/office/drawing/2014/main" id="{571F820B-8C79-45BB-8C87-EFAF93396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38100</xdr:colOff>
      <xdr:row>14</xdr:row>
      <xdr:rowOff>45720</xdr:rowOff>
    </xdr:from>
    <xdr:to>
      <xdr:col>5</xdr:col>
      <xdr:colOff>139065</xdr:colOff>
      <xdr:row>24</xdr:row>
      <xdr:rowOff>161925</xdr:rowOff>
    </xdr:to>
    <xdr:graphicFrame macro="">
      <xdr:nvGraphicFramePr>
        <xdr:cNvPr id="11" name="Chart 10">
          <a:extLst>
            <a:ext uri="{FF2B5EF4-FFF2-40B4-BE49-F238E27FC236}">
              <a16:creationId xmlns:a16="http://schemas.microsoft.com/office/drawing/2014/main" id="{DDC05A7B-34F3-475A-AB09-B6BE27051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320040</xdr:colOff>
      <xdr:row>14</xdr:row>
      <xdr:rowOff>45720</xdr:rowOff>
    </xdr:from>
    <xdr:to>
      <xdr:col>11</xdr:col>
      <xdr:colOff>207645</xdr:colOff>
      <xdr:row>24</xdr:row>
      <xdr:rowOff>161925</xdr:rowOff>
    </xdr:to>
    <xdr:graphicFrame macro="">
      <xdr:nvGraphicFramePr>
        <xdr:cNvPr id="12" name="Chart 11">
          <a:extLst>
            <a:ext uri="{FF2B5EF4-FFF2-40B4-BE49-F238E27FC236}">
              <a16:creationId xmlns:a16="http://schemas.microsoft.com/office/drawing/2014/main" id="{C815B346-C5C4-43B2-BDE7-BE29A1573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60960</xdr:colOff>
      <xdr:row>27</xdr:row>
      <xdr:rowOff>60960</xdr:rowOff>
    </xdr:from>
    <xdr:to>
      <xdr:col>5</xdr:col>
      <xdr:colOff>161925</xdr:colOff>
      <xdr:row>38</xdr:row>
      <xdr:rowOff>161925</xdr:rowOff>
    </xdr:to>
    <xdr:graphicFrame macro="">
      <xdr:nvGraphicFramePr>
        <xdr:cNvPr id="13" name="Chart 12">
          <a:extLst>
            <a:ext uri="{FF2B5EF4-FFF2-40B4-BE49-F238E27FC236}">
              <a16:creationId xmlns:a16="http://schemas.microsoft.com/office/drawing/2014/main" id="{5DDEF399-0C93-4589-8A57-1A8106A7D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342900</xdr:colOff>
      <xdr:row>27</xdr:row>
      <xdr:rowOff>60960</xdr:rowOff>
    </xdr:from>
    <xdr:to>
      <xdr:col>11</xdr:col>
      <xdr:colOff>230505</xdr:colOff>
      <xdr:row>38</xdr:row>
      <xdr:rowOff>161925</xdr:rowOff>
    </xdr:to>
    <xdr:graphicFrame macro="">
      <xdr:nvGraphicFramePr>
        <xdr:cNvPr id="14" name="Chart 13">
          <a:extLst>
            <a:ext uri="{FF2B5EF4-FFF2-40B4-BE49-F238E27FC236}">
              <a16:creationId xmlns:a16="http://schemas.microsoft.com/office/drawing/2014/main" id="{F2E23934-9C31-43DE-81A8-E8674DDF4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41</xdr:row>
      <xdr:rowOff>0</xdr:rowOff>
    </xdr:from>
    <xdr:to>
      <xdr:col>5</xdr:col>
      <xdr:colOff>100965</xdr:colOff>
      <xdr:row>52</xdr:row>
      <xdr:rowOff>100965</xdr:rowOff>
    </xdr:to>
    <xdr:graphicFrame macro="">
      <xdr:nvGraphicFramePr>
        <xdr:cNvPr id="15" name="Chart 14">
          <a:extLst>
            <a:ext uri="{FF2B5EF4-FFF2-40B4-BE49-F238E27FC236}">
              <a16:creationId xmlns:a16="http://schemas.microsoft.com/office/drawing/2014/main" id="{71CF30AC-62E0-4E64-A938-CCECAAEB4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274320</xdr:colOff>
      <xdr:row>41</xdr:row>
      <xdr:rowOff>0</xdr:rowOff>
    </xdr:from>
    <xdr:to>
      <xdr:col>11</xdr:col>
      <xdr:colOff>161925</xdr:colOff>
      <xdr:row>52</xdr:row>
      <xdr:rowOff>100965</xdr:rowOff>
    </xdr:to>
    <xdr:graphicFrame macro="">
      <xdr:nvGraphicFramePr>
        <xdr:cNvPr id="17" name="Chart 16">
          <a:extLst>
            <a:ext uri="{FF2B5EF4-FFF2-40B4-BE49-F238E27FC236}">
              <a16:creationId xmlns:a16="http://schemas.microsoft.com/office/drawing/2014/main" id="{E91E359A-B9F4-4C26-99B7-6066C375A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7620</xdr:colOff>
      <xdr:row>53</xdr:row>
      <xdr:rowOff>129540</xdr:rowOff>
    </xdr:from>
    <xdr:to>
      <xdr:col>5</xdr:col>
      <xdr:colOff>108585</xdr:colOff>
      <xdr:row>65</xdr:row>
      <xdr:rowOff>47625</xdr:rowOff>
    </xdr:to>
    <xdr:graphicFrame macro="">
      <xdr:nvGraphicFramePr>
        <xdr:cNvPr id="18" name="Chart 17">
          <a:extLst>
            <a:ext uri="{FF2B5EF4-FFF2-40B4-BE49-F238E27FC236}">
              <a16:creationId xmlns:a16="http://schemas.microsoft.com/office/drawing/2014/main" id="{A106D42E-971B-4F41-9081-21D4CAB8A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525780</xdr:colOff>
      <xdr:row>3</xdr:row>
      <xdr:rowOff>144780</xdr:rowOff>
    </xdr:from>
    <xdr:to>
      <xdr:col>20</xdr:col>
      <xdr:colOff>489585</xdr:colOff>
      <xdr:row>12</xdr:row>
      <xdr:rowOff>47625</xdr:rowOff>
    </xdr:to>
    <xdr:graphicFrame macro="">
      <xdr:nvGraphicFramePr>
        <xdr:cNvPr id="19" name="Chart 18">
          <a:extLst>
            <a:ext uri="{FF2B5EF4-FFF2-40B4-BE49-F238E27FC236}">
              <a16:creationId xmlns:a16="http://schemas.microsoft.com/office/drawing/2014/main" id="{41FBF684-A623-42BF-B78F-07DB57503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0.89172</cdr:x>
      <cdr:y>0.91674</cdr:y>
    </cdr:from>
    <cdr:to>
      <cdr:x>0.99394</cdr:x>
      <cdr:y>0.99113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38880" y="1936750"/>
          <a:ext cx="428625" cy="157146"/>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BS434"/>
  <sheetViews>
    <sheetView showGridLines="0" tabSelected="1" zoomScaleNormal="100" workbookViewId="0">
      <selection activeCell="B2" sqref="B2:C2"/>
    </sheetView>
  </sheetViews>
  <sheetFormatPr defaultColWidth="8.85546875" defaultRowHeight="15" outlineLevelRow="2" outlineLevelCol="1" x14ac:dyDescent="0.25"/>
  <cols>
    <col min="1" max="1" width="3.7109375" style="4" customWidth="1"/>
    <col min="2" max="2" width="32.85546875" style="4" customWidth="1"/>
    <col min="3" max="3" width="21.140625" style="4" customWidth="1"/>
    <col min="4" max="5" width="11.5703125" style="3" hidden="1" customWidth="1" outlineLevel="1"/>
    <col min="6" max="7" width="11.5703125" style="28" hidden="1" customWidth="1" outlineLevel="1"/>
    <col min="8" max="8" width="11.5703125" style="28" customWidth="1" collapsed="1"/>
    <col min="9" max="10" width="11.5703125" style="3" hidden="1" customWidth="1" outlineLevel="1"/>
    <col min="11" max="12" width="11.5703125" style="28" hidden="1" customWidth="1" outlineLevel="1"/>
    <col min="13" max="13" width="11.5703125" style="28" customWidth="1" collapsed="1"/>
    <col min="14" max="15" width="11.5703125" style="3" hidden="1" customWidth="1" outlineLevel="1"/>
    <col min="16" max="17" width="11.5703125" style="28" hidden="1" customWidth="1" outlineLevel="1"/>
    <col min="18" max="18" width="11.5703125" style="28" customWidth="1" collapsed="1"/>
    <col min="19" max="20" width="11.5703125" style="3" customWidth="1" outlineLevel="1"/>
    <col min="21" max="22" width="11.5703125" style="28" customWidth="1" outlineLevel="1"/>
    <col min="23" max="23" width="11.5703125" style="28" customWidth="1"/>
    <col min="24" max="25" width="11.5703125" style="3" customWidth="1" outlineLevel="1"/>
    <col min="26" max="27" width="11.5703125" style="28" customWidth="1" outlineLevel="1"/>
    <col min="28" max="28" width="11.5703125" style="28" customWidth="1"/>
    <col min="29" max="30" width="11.5703125" style="3" customWidth="1" outlineLevel="1"/>
    <col min="31" max="32" width="11.5703125" style="28" customWidth="1" outlineLevel="1"/>
    <col min="33" max="33" width="11.5703125" style="28" customWidth="1"/>
    <col min="34" max="35" width="11.5703125" style="3" customWidth="1" outlineLevel="1"/>
    <col min="36" max="37" width="11.5703125" style="28" customWidth="1" outlineLevel="1"/>
    <col min="38" max="38" width="11.5703125" style="28" customWidth="1"/>
    <col min="39" max="40" width="11.5703125" style="3" customWidth="1" outlineLevel="1"/>
    <col min="41" max="42" width="11.5703125" style="28" customWidth="1" outlineLevel="1"/>
    <col min="43" max="43" width="11.5703125" style="28" customWidth="1"/>
    <col min="44" max="46" width="8.85546875" style="4"/>
    <col min="47" max="47" width="10.42578125" style="4" bestFit="1" customWidth="1"/>
    <col min="48" max="16384" width="8.85546875" style="4"/>
  </cols>
  <sheetData>
    <row r="1" spans="1:71" ht="9" customHeight="1" x14ac:dyDescent="0.25">
      <c r="T1" s="64"/>
    </row>
    <row r="2" spans="1:71" ht="45" customHeight="1" x14ac:dyDescent="0.25">
      <c r="B2" s="769" t="s">
        <v>72</v>
      </c>
      <c r="C2" s="770"/>
      <c r="K2" s="29"/>
      <c r="T2" s="64"/>
    </row>
    <row r="3" spans="1:71" x14ac:dyDescent="0.25">
      <c r="B3" s="749" t="s">
        <v>790</v>
      </c>
      <c r="C3" s="750"/>
      <c r="D3" s="30"/>
      <c r="G3" s="31"/>
      <c r="H3" s="31"/>
      <c r="T3" s="64"/>
    </row>
    <row r="4" spans="1:71" x14ac:dyDescent="0.25">
      <c r="B4" s="751" t="s">
        <v>787</v>
      </c>
      <c r="C4" s="752"/>
      <c r="D4" s="30"/>
      <c r="G4" s="31"/>
      <c r="H4" s="31"/>
      <c r="T4" s="64"/>
      <c r="BS4" s="4" t="s">
        <v>73</v>
      </c>
    </row>
    <row r="5" spans="1:71" x14ac:dyDescent="0.25">
      <c r="B5" s="753" t="s">
        <v>788</v>
      </c>
      <c r="C5" s="754"/>
      <c r="D5" s="32"/>
      <c r="E5" s="30"/>
      <c r="F5" s="30"/>
      <c r="G5" s="31"/>
      <c r="H5" s="31"/>
      <c r="I5" s="31"/>
      <c r="J5" s="31"/>
      <c r="K5" s="31"/>
      <c r="L5" s="31"/>
      <c r="M5" s="30"/>
      <c r="N5" s="30"/>
      <c r="O5" s="30"/>
      <c r="P5" s="30"/>
      <c r="Q5" s="30"/>
      <c r="R5" s="30"/>
      <c r="S5" s="30"/>
      <c r="T5" s="34"/>
      <c r="U5" s="30"/>
      <c r="V5" s="30"/>
      <c r="W5" s="30"/>
      <c r="X5" s="30"/>
      <c r="Y5" s="30"/>
      <c r="Z5" s="30"/>
      <c r="AA5" s="30"/>
      <c r="AB5" s="30"/>
      <c r="AC5" s="30"/>
      <c r="AD5" s="30"/>
      <c r="AE5" s="30"/>
      <c r="AF5" s="30"/>
      <c r="AG5" s="30"/>
      <c r="AH5" s="30"/>
      <c r="AI5" s="30"/>
      <c r="AJ5" s="30"/>
      <c r="AK5" s="30"/>
      <c r="AL5" s="30"/>
      <c r="AM5" s="30"/>
      <c r="AN5" s="30"/>
      <c r="AO5" s="30"/>
      <c r="AP5" s="30"/>
      <c r="AQ5" s="30"/>
    </row>
    <row r="6" spans="1:71" ht="14.45" customHeight="1" x14ac:dyDescent="0.25">
      <c r="B6" s="511" t="s">
        <v>65</v>
      </c>
      <c r="C6" s="512">
        <f>C378</f>
        <v>159.97952898361615</v>
      </c>
      <c r="D6" s="30"/>
      <c r="E6" s="30"/>
      <c r="F6" s="30"/>
      <c r="G6" s="33"/>
      <c r="H6" s="33"/>
      <c r="I6" s="30"/>
      <c r="J6" s="30"/>
      <c r="K6" s="30"/>
      <c r="L6" s="34"/>
      <c r="M6" s="35"/>
      <c r="N6" s="30"/>
      <c r="O6" s="30"/>
      <c r="P6" s="30"/>
      <c r="Q6" s="30"/>
      <c r="R6" s="30"/>
      <c r="S6" s="30"/>
      <c r="T6" s="577"/>
      <c r="U6" s="576"/>
      <c r="V6" s="34"/>
      <c r="W6" s="577"/>
      <c r="X6" s="34"/>
      <c r="Y6" s="34"/>
      <c r="Z6" s="30"/>
      <c r="AA6" s="30"/>
      <c r="AB6" s="30"/>
      <c r="AC6" s="30"/>
      <c r="AD6" s="30"/>
      <c r="AE6" s="30"/>
      <c r="AF6" s="30"/>
      <c r="AG6" s="30"/>
      <c r="AH6" s="30"/>
      <c r="AI6" s="30"/>
      <c r="AJ6" s="30"/>
      <c r="AK6" s="30"/>
      <c r="AL6" s="30"/>
      <c r="AM6" s="30"/>
      <c r="AN6" s="30"/>
      <c r="AO6" s="30"/>
      <c r="AP6" s="30"/>
      <c r="AQ6" s="30"/>
    </row>
    <row r="7" spans="1:71" ht="14.45" customHeight="1" x14ac:dyDescent="0.25">
      <c r="B7" s="299" t="s">
        <v>66</v>
      </c>
      <c r="C7" s="488">
        <f>C407</f>
        <v>147.4521480124003</v>
      </c>
      <c r="D7" s="30"/>
      <c r="E7" s="30"/>
      <c r="F7" s="30"/>
      <c r="G7" s="34"/>
      <c r="H7" s="498"/>
      <c r="I7" s="498"/>
      <c r="J7" s="498"/>
      <c r="K7" s="498"/>
      <c r="L7" s="498"/>
      <c r="M7" s="498"/>
      <c r="N7" s="498"/>
      <c r="O7" s="498"/>
      <c r="P7" s="498"/>
      <c r="Q7" s="498"/>
      <c r="R7" s="498"/>
      <c r="S7" s="498"/>
      <c r="T7" s="577"/>
      <c r="U7" s="576"/>
      <c r="V7" s="498"/>
      <c r="W7" s="577"/>
      <c r="X7" s="498"/>
      <c r="Y7" s="498"/>
      <c r="Z7" s="498"/>
      <c r="AA7" s="498"/>
      <c r="AB7" s="498"/>
      <c r="AC7" s="498"/>
      <c r="AD7" s="498"/>
      <c r="AE7" s="498"/>
      <c r="AF7" s="498"/>
      <c r="AG7" s="498"/>
      <c r="AH7" s="498"/>
      <c r="AI7" s="498"/>
      <c r="AJ7" s="498"/>
      <c r="AK7" s="498"/>
      <c r="AL7" s="498"/>
      <c r="AM7" s="498"/>
      <c r="AN7" s="498"/>
      <c r="AO7" s="498"/>
      <c r="AP7" s="498"/>
      <c r="AQ7" s="500"/>
    </row>
    <row r="8" spans="1:71" ht="14.45" customHeight="1" x14ac:dyDescent="0.25">
      <c r="B8" s="299" t="s">
        <v>105</v>
      </c>
      <c r="C8" s="508">
        <f>(0.5*C6)+(0.5*C7)</f>
        <v>153.71583849800822</v>
      </c>
      <c r="D8" s="30"/>
      <c r="E8" s="30"/>
      <c r="F8" s="36"/>
      <c r="G8" s="34"/>
      <c r="H8" s="498"/>
      <c r="I8" s="498"/>
      <c r="J8" s="498"/>
      <c r="K8" s="498"/>
      <c r="L8" s="498"/>
      <c r="M8" s="498"/>
      <c r="N8" s="498"/>
      <c r="O8" s="502"/>
      <c r="P8" s="498"/>
      <c r="Q8" s="498"/>
      <c r="R8" s="498"/>
      <c r="S8" s="499"/>
      <c r="T8" s="577"/>
      <c r="U8" s="674"/>
      <c r="V8" s="674"/>
      <c r="W8" s="499"/>
      <c r="X8" s="674"/>
      <c r="Y8" s="674"/>
      <c r="Z8" s="500"/>
      <c r="AA8" s="499"/>
      <c r="AB8" s="499"/>
      <c r="AC8" s="499"/>
      <c r="AD8" s="499"/>
      <c r="AE8" s="499"/>
      <c r="AF8" s="500"/>
      <c r="AG8" s="499"/>
      <c r="AH8" s="499"/>
      <c r="AI8" s="499"/>
      <c r="AJ8" s="499"/>
      <c r="AK8" s="499"/>
      <c r="AL8" s="499"/>
      <c r="AM8" s="499"/>
      <c r="AN8" s="499"/>
      <c r="AO8" s="499"/>
      <c r="AP8" s="499"/>
      <c r="AQ8" s="503"/>
    </row>
    <row r="9" spans="1:71" ht="14.45" customHeight="1" x14ac:dyDescent="0.25">
      <c r="B9" s="509" t="s">
        <v>107</v>
      </c>
      <c r="C9" s="510" t="str">
        <f>TEXT(C419,"$0")&amp;" to "&amp;TEXT(C418,"$0")</f>
        <v>$125 to $187</v>
      </c>
      <c r="D9" s="30"/>
      <c r="E9" s="30"/>
      <c r="F9" s="36"/>
      <c r="G9" s="34"/>
      <c r="H9" s="500"/>
      <c r="I9" s="500"/>
      <c r="J9" s="500"/>
      <c r="K9" s="500"/>
      <c r="L9" s="500"/>
      <c r="M9" s="500"/>
      <c r="N9" s="500"/>
      <c r="O9" s="500"/>
      <c r="P9" s="500"/>
      <c r="Q9" s="500"/>
      <c r="R9" s="500"/>
      <c r="S9" s="542"/>
      <c r="T9" s="499"/>
      <c r="U9" s="676"/>
      <c r="V9" s="677"/>
      <c r="W9" s="501"/>
      <c r="X9" s="578"/>
      <c r="Y9" s="501"/>
      <c r="Z9" s="501"/>
      <c r="AA9" s="501"/>
      <c r="AB9" s="500"/>
      <c r="AC9" s="500"/>
      <c r="AD9" s="500"/>
      <c r="AE9" s="500"/>
      <c r="AF9" s="500"/>
      <c r="AG9" s="500"/>
      <c r="AH9" s="500"/>
      <c r="AI9" s="500"/>
      <c r="AJ9" s="500"/>
      <c r="AK9" s="500"/>
      <c r="AL9" s="500"/>
      <c r="AM9" s="500"/>
      <c r="AN9" s="500"/>
      <c r="AO9" s="500"/>
      <c r="AP9" s="500"/>
      <c r="AQ9" s="500"/>
    </row>
    <row r="10" spans="1:71" ht="5.25" customHeight="1" x14ac:dyDescent="0.25">
      <c r="D10" s="38"/>
      <c r="E10" s="38"/>
      <c r="F10" s="38"/>
      <c r="G10" s="38"/>
      <c r="H10" s="39"/>
      <c r="I10" s="38"/>
      <c r="J10" s="38"/>
      <c r="K10" s="38"/>
      <c r="L10" s="34"/>
      <c r="M10" s="34"/>
      <c r="N10" s="38"/>
      <c r="O10" s="40"/>
      <c r="P10" s="38"/>
      <c r="Q10" s="34"/>
      <c r="R10" s="34"/>
      <c r="S10" s="38"/>
      <c r="T10" s="38"/>
      <c r="U10" s="38"/>
      <c r="V10" s="34"/>
      <c r="W10" s="486"/>
      <c r="X10" s="71"/>
      <c r="Y10" s="71"/>
      <c r="Z10" s="71"/>
      <c r="AA10" s="30"/>
      <c r="AB10" s="30"/>
      <c r="AC10" s="71"/>
      <c r="AD10" s="71"/>
      <c r="AE10" s="71"/>
      <c r="AF10" s="30"/>
      <c r="AG10" s="30"/>
      <c r="AH10" s="71"/>
      <c r="AI10" s="71"/>
      <c r="AJ10" s="71"/>
      <c r="AK10" s="30"/>
      <c r="AL10" s="30"/>
      <c r="AM10" s="71"/>
      <c r="AN10" s="71"/>
      <c r="AO10" s="71"/>
      <c r="AP10" s="30"/>
      <c r="AQ10" s="30"/>
    </row>
    <row r="11" spans="1:71" ht="15.75" x14ac:dyDescent="0.25">
      <c r="A11" s="789"/>
      <c r="B11" s="713" t="s">
        <v>110</v>
      </c>
      <c r="C11" s="714"/>
      <c r="D11" s="90" t="s">
        <v>120</v>
      </c>
      <c r="E11" s="90" t="s">
        <v>121</v>
      </c>
      <c r="F11" s="90" t="s">
        <v>122</v>
      </c>
      <c r="G11" s="90" t="s">
        <v>123</v>
      </c>
      <c r="H11" s="400" t="s">
        <v>123</v>
      </c>
      <c r="I11" s="90" t="s">
        <v>124</v>
      </c>
      <c r="J11" s="90" t="s">
        <v>125</v>
      </c>
      <c r="K11" s="90" t="s">
        <v>126</v>
      </c>
      <c r="L11" s="90" t="s">
        <v>127</v>
      </c>
      <c r="M11" s="400" t="s">
        <v>127</v>
      </c>
      <c r="N11" s="90" t="s">
        <v>128</v>
      </c>
      <c r="O11" s="90" t="s">
        <v>129</v>
      </c>
      <c r="P11" s="90" t="s">
        <v>130</v>
      </c>
      <c r="Q11" s="90" t="s">
        <v>131</v>
      </c>
      <c r="R11" s="400" t="s">
        <v>131</v>
      </c>
      <c r="S11" s="90" t="s">
        <v>132</v>
      </c>
      <c r="T11" s="90" t="s">
        <v>133</v>
      </c>
      <c r="U11" s="90" t="s">
        <v>134</v>
      </c>
      <c r="V11" s="92" t="s">
        <v>135</v>
      </c>
      <c r="W11" s="404" t="s">
        <v>135</v>
      </c>
      <c r="X11" s="92" t="s">
        <v>136</v>
      </c>
      <c r="Y11" s="92" t="s">
        <v>137</v>
      </c>
      <c r="Z11" s="92" t="s">
        <v>138</v>
      </c>
      <c r="AA11" s="92" t="s">
        <v>139</v>
      </c>
      <c r="AB11" s="404" t="s">
        <v>139</v>
      </c>
      <c r="AC11" s="92" t="s">
        <v>140</v>
      </c>
      <c r="AD11" s="92" t="s">
        <v>141</v>
      </c>
      <c r="AE11" s="92" t="s">
        <v>142</v>
      </c>
      <c r="AF11" s="92" t="s">
        <v>143</v>
      </c>
      <c r="AG11" s="404" t="s">
        <v>143</v>
      </c>
      <c r="AH11" s="92" t="s">
        <v>144</v>
      </c>
      <c r="AI11" s="92" t="s">
        <v>145</v>
      </c>
      <c r="AJ11" s="92" t="s">
        <v>146</v>
      </c>
      <c r="AK11" s="92" t="s">
        <v>147</v>
      </c>
      <c r="AL11" s="404" t="s">
        <v>147</v>
      </c>
      <c r="AM11" s="92" t="s">
        <v>148</v>
      </c>
      <c r="AN11" s="92" t="s">
        <v>149</v>
      </c>
      <c r="AO11" s="92" t="s">
        <v>150</v>
      </c>
      <c r="AP11" s="92" t="s">
        <v>151</v>
      </c>
      <c r="AQ11" s="404" t="s">
        <v>151</v>
      </c>
    </row>
    <row r="12" spans="1:71" ht="17.45" customHeight="1" x14ac:dyDescent="0.4">
      <c r="A12" s="790"/>
      <c r="B12" s="731" t="s">
        <v>3</v>
      </c>
      <c r="C12" s="732"/>
      <c r="D12" s="91" t="s">
        <v>71</v>
      </c>
      <c r="E12" s="91" t="s">
        <v>74</v>
      </c>
      <c r="F12" s="91" t="s">
        <v>75</v>
      </c>
      <c r="G12" s="91" t="s">
        <v>78</v>
      </c>
      <c r="H12" s="401" t="s">
        <v>79</v>
      </c>
      <c r="I12" s="91" t="s">
        <v>80</v>
      </c>
      <c r="J12" s="91" t="s">
        <v>91</v>
      </c>
      <c r="K12" s="91" t="s">
        <v>109</v>
      </c>
      <c r="L12" s="91" t="s">
        <v>113</v>
      </c>
      <c r="M12" s="401" t="s">
        <v>114</v>
      </c>
      <c r="N12" s="91" t="s">
        <v>115</v>
      </c>
      <c r="O12" s="91" t="s">
        <v>116</v>
      </c>
      <c r="P12" s="91" t="s">
        <v>117</v>
      </c>
      <c r="Q12" s="91" t="s">
        <v>118</v>
      </c>
      <c r="R12" s="401" t="s">
        <v>119</v>
      </c>
      <c r="S12" s="91" t="s">
        <v>507</v>
      </c>
      <c r="T12" s="91" t="s">
        <v>749</v>
      </c>
      <c r="U12" s="91" t="s">
        <v>769</v>
      </c>
      <c r="V12" s="89" t="s">
        <v>378</v>
      </c>
      <c r="W12" s="405" t="s">
        <v>379</v>
      </c>
      <c r="X12" s="89" t="s">
        <v>380</v>
      </c>
      <c r="Y12" s="89" t="s">
        <v>381</v>
      </c>
      <c r="Z12" s="89" t="s">
        <v>382</v>
      </c>
      <c r="AA12" s="89" t="s">
        <v>383</v>
      </c>
      <c r="AB12" s="405" t="s">
        <v>384</v>
      </c>
      <c r="AC12" s="89" t="s">
        <v>385</v>
      </c>
      <c r="AD12" s="89" t="s">
        <v>386</v>
      </c>
      <c r="AE12" s="89" t="s">
        <v>387</v>
      </c>
      <c r="AF12" s="89" t="s">
        <v>388</v>
      </c>
      <c r="AG12" s="405" t="s">
        <v>389</v>
      </c>
      <c r="AH12" s="89" t="s">
        <v>390</v>
      </c>
      <c r="AI12" s="89" t="s">
        <v>391</v>
      </c>
      <c r="AJ12" s="89" t="s">
        <v>392</v>
      </c>
      <c r="AK12" s="89" t="s">
        <v>393</v>
      </c>
      <c r="AL12" s="405" t="s">
        <v>394</v>
      </c>
      <c r="AM12" s="89" t="s">
        <v>395</v>
      </c>
      <c r="AN12" s="89" t="s">
        <v>396</v>
      </c>
      <c r="AO12" s="89" t="s">
        <v>397</v>
      </c>
      <c r="AP12" s="89" t="s">
        <v>398</v>
      </c>
      <c r="AQ12" s="405" t="s">
        <v>399</v>
      </c>
    </row>
    <row r="13" spans="1:71" x14ac:dyDescent="0.25">
      <c r="B13" s="723" t="s">
        <v>152</v>
      </c>
      <c r="C13" s="724"/>
      <c r="D13" s="100">
        <v>12279</v>
      </c>
      <c r="E13" s="100">
        <v>12453</v>
      </c>
      <c r="F13" s="100">
        <v>12654</v>
      </c>
      <c r="G13" s="100">
        <v>12979</v>
      </c>
      <c r="H13" s="112">
        <f>SUM(D13:G13)</f>
        <v>50365</v>
      </c>
      <c r="I13" s="100">
        <v>14663</v>
      </c>
      <c r="J13" s="100">
        <v>14931</v>
      </c>
      <c r="K13" s="100">
        <v>14997</v>
      </c>
      <c r="L13" s="100">
        <v>15728</v>
      </c>
      <c r="M13" s="112">
        <f>SUM(I13:L13)</f>
        <v>60319</v>
      </c>
      <c r="N13" s="100">
        <v>15297</v>
      </c>
      <c r="O13" s="100">
        <v>16313</v>
      </c>
      <c r="P13" s="100">
        <v>16526</v>
      </c>
      <c r="Q13" s="100">
        <f>Q54+Q57+Q58+Q148+Q165+Q174+Q177</f>
        <v>17314.125785999997</v>
      </c>
      <c r="R13" s="112">
        <f>SUM(N13:Q13)</f>
        <v>65450.125785999997</v>
      </c>
      <c r="S13" s="100">
        <v>17052</v>
      </c>
      <c r="T13" s="100">
        <v>17824</v>
      </c>
      <c r="U13" s="100">
        <v>17010</v>
      </c>
      <c r="V13" s="100">
        <f>V54+V57+V58+V148+V165+V174+V177</f>
        <v>18006.0819659023</v>
      </c>
      <c r="W13" s="112">
        <f>SUM(S13:V13)</f>
        <v>69892.081965902296</v>
      </c>
      <c r="X13" s="100">
        <f>X54+X57+X58+X148+X165+X174+X177</f>
        <v>17434.828131639068</v>
      </c>
      <c r="Y13" s="100">
        <f>Y54+Y57+Y58+Y148+Y165+Y174+Y177</f>
        <v>18211.57351620838</v>
      </c>
      <c r="Z13" s="100">
        <f>Z54+Z57+Z58+Z148+Z165+Z174+Z177</f>
        <v>17545.560122398219</v>
      </c>
      <c r="AA13" s="100">
        <f>AA54+AA57+AA58+AA148+AA165+AA174+AA177</f>
        <v>18605.560457621315</v>
      </c>
      <c r="AB13" s="112">
        <f>SUM(X13:AA13)</f>
        <v>71797.522227866983</v>
      </c>
      <c r="AC13" s="100">
        <f>AC54+AC57+AC58+AC148+AC165+AC174+AC177</f>
        <v>17815.928909265083</v>
      </c>
      <c r="AD13" s="100">
        <f>AD54+AD57+AD58+AD148+AD165+AD174+AD177</f>
        <v>18564.298193549621</v>
      </c>
      <c r="AE13" s="100">
        <f>AE54+AE57+AE58+AE148+AE165+AE174+AE177</f>
        <v>17905.465086587465</v>
      </c>
      <c r="AF13" s="100">
        <f>AF54+AF57+AF58+AF148+AF165+AF174+AF177</f>
        <v>18944.145616637885</v>
      </c>
      <c r="AG13" s="112">
        <f>SUM(AC13:AF13)</f>
        <v>73229.837806040057</v>
      </c>
      <c r="AH13" s="100">
        <f>AH54+AH57+AH58+AH148+AH165+AH174+AH177</f>
        <v>18157.069657385429</v>
      </c>
      <c r="AI13" s="100">
        <f>AI54+AI57+AI58+AI148+AI165+AI174+AI177</f>
        <v>18867.370880527324</v>
      </c>
      <c r="AJ13" s="100">
        <f>AJ54+AJ57+AJ58+AJ148+AJ165+AJ174+AJ177</f>
        <v>18212.749550762939</v>
      </c>
      <c r="AK13" s="100">
        <f>AK54+AK57+AK58+AK148+AK165+AK174+AK177</f>
        <v>19234.9024117964</v>
      </c>
      <c r="AL13" s="94">
        <f>SUM(AH13:AK13)</f>
        <v>74472.092500472092</v>
      </c>
      <c r="AM13" s="100">
        <f>AM54+AM57+AM58+AM148+AM165+AM174+AM177</f>
        <v>18446.282260812739</v>
      </c>
      <c r="AN13" s="100">
        <f>AN54+AN57+AN58+AN148+AN165+AN174+AN177</f>
        <v>19114.103966367355</v>
      </c>
      <c r="AO13" s="100">
        <f>AO54+AO57+AO58+AO148+AO165+AO174+AO177</f>
        <v>18462.66980256985</v>
      </c>
      <c r="AP13" s="100">
        <f>AP54+AP57+AP58+AP148+AP165+AP174+AP177</f>
        <v>19464.598003988027</v>
      </c>
      <c r="AQ13" s="94">
        <f>SUM(AM13:AP13)</f>
        <v>75487.65403373797</v>
      </c>
    </row>
    <row r="14" spans="1:71" x14ac:dyDescent="0.25">
      <c r="B14" s="95" t="s">
        <v>153</v>
      </c>
      <c r="C14" s="285"/>
      <c r="D14" s="41"/>
      <c r="E14" s="41"/>
      <c r="F14" s="41"/>
      <c r="G14" s="41"/>
      <c r="H14" s="112"/>
      <c r="I14" s="41"/>
      <c r="J14" s="41"/>
      <c r="K14" s="41"/>
      <c r="L14" s="41"/>
      <c r="M14" s="112"/>
      <c r="N14" s="41"/>
      <c r="O14" s="41"/>
      <c r="P14" s="41"/>
      <c r="Q14" s="58"/>
      <c r="R14" s="54"/>
      <c r="S14" s="139"/>
      <c r="T14" s="139"/>
      <c r="U14" s="139"/>
      <c r="V14" s="139"/>
      <c r="W14" s="419"/>
      <c r="X14" s="139"/>
      <c r="Y14" s="139"/>
      <c r="Z14" s="139"/>
      <c r="AA14" s="139"/>
      <c r="AB14" s="112"/>
      <c r="AC14" s="139"/>
      <c r="AD14" s="139"/>
      <c r="AE14" s="139"/>
      <c r="AF14" s="139"/>
      <c r="AG14" s="94"/>
      <c r="AH14" s="139"/>
      <c r="AI14" s="139"/>
      <c r="AJ14" s="139"/>
      <c r="AK14" s="139"/>
      <c r="AL14" s="94"/>
      <c r="AM14" s="139"/>
      <c r="AN14" s="139"/>
      <c r="AO14" s="139"/>
      <c r="AP14" s="139"/>
      <c r="AQ14" s="94"/>
    </row>
    <row r="15" spans="1:71" outlineLevel="1" x14ac:dyDescent="0.25">
      <c r="A15" s="229"/>
      <c r="B15" s="301" t="s">
        <v>154</v>
      </c>
      <c r="C15" s="285"/>
      <c r="D15" s="100">
        <v>4525</v>
      </c>
      <c r="E15" s="100">
        <v>4570</v>
      </c>
      <c r="F15" s="100">
        <v>4712</v>
      </c>
      <c r="G15" s="100">
        <v>4774</v>
      </c>
      <c r="H15" s="112">
        <f t="shared" ref="H15:H23" si="0">SUM(D15:G15)</f>
        <v>18581</v>
      </c>
      <c r="I15" s="100">
        <v>5311</v>
      </c>
      <c r="J15" s="100">
        <v>5353</v>
      </c>
      <c r="K15" s="100">
        <v>5395</v>
      </c>
      <c r="L15" s="100">
        <v>5483</v>
      </c>
      <c r="M15" s="112">
        <f t="shared" ref="M15:M23" si="1">SUM(I15:L15)</f>
        <v>21542</v>
      </c>
      <c r="N15" s="100">
        <v>5518</v>
      </c>
      <c r="O15" s="100">
        <v>5742</v>
      </c>
      <c r="P15" s="100">
        <v>5981</v>
      </c>
      <c r="Q15" s="139">
        <v>5966</v>
      </c>
      <c r="R15" s="112">
        <f t="shared" ref="R15:R23" si="2">SUM(N15:Q15)</f>
        <v>23207</v>
      </c>
      <c r="S15" s="139">
        <v>6260</v>
      </c>
      <c r="T15" s="139">
        <v>6260</v>
      </c>
      <c r="U15" s="139">
        <v>6069</v>
      </c>
      <c r="V15" s="139">
        <f>(V70+V152+V169+V179+V183)*(Q15/(Q15+Q16+Q17+Q20+Q23))</f>
        <v>6355.6388039313297</v>
      </c>
      <c r="W15" s="94">
        <f t="shared" ref="W15:W23" si="3">SUM(S15:V15)</f>
        <v>24944.638803931331</v>
      </c>
      <c r="X15" s="139">
        <f>(X70+X152+X169+X179+X183)*(S15/(S15+S16+S17+S20+S23))</f>
        <v>6369.17063954882</v>
      </c>
      <c r="Y15" s="139">
        <f>(Y70+Y152+Y169+Y179+Y183)*(T15/(T15+T16+T17+T20+T23))</f>
        <v>6413.3203454299082</v>
      </c>
      <c r="Z15" s="139">
        <f>(Z70+Z152+Z169+Z179+Z183)*(U15/(U15+U16+U17+U20+U23))</f>
        <v>6266.2209777721237</v>
      </c>
      <c r="AA15" s="139">
        <f>(AA70+AA152+AA169+AA179+AA183)*(V15/(V15+V16+V17+V20+V23))</f>
        <v>6555.8956361629789</v>
      </c>
      <c r="AB15" s="112">
        <f t="shared" ref="AB15:AB23" si="4">SUM(X15:AA15)</f>
        <v>25604.60759891383</v>
      </c>
      <c r="AC15" s="139">
        <f>(AC70+AC152+AC169+AC179+AC183)*(X15/(X15+X16+X17+X20+X23))</f>
        <v>6425.8122838739091</v>
      </c>
      <c r="AD15" s="139">
        <f>(AD70+AD152+AD169+AD179+AD183)*(Y15/(Y15+Y16+Y17+Y20+Y23))</f>
        <v>6464.0006889200577</v>
      </c>
      <c r="AE15" s="139">
        <f>(AE70+AE152+AE169+AE179+AE183)*(Z15/(Z15+Z16+Z17+Z20+Z23))</f>
        <v>6326.3020222673977</v>
      </c>
      <c r="AF15" s="139">
        <f>(AF70+AF152+AF169+AF179+AF183)*(AA15/(AA15+AA16+AA17+AA20+AA23))</f>
        <v>6598.0449014371843</v>
      </c>
      <c r="AG15" s="94">
        <f t="shared" ref="AG15:AG23" si="5">SUM(AC15:AF15)</f>
        <v>25814.15989649855</v>
      </c>
      <c r="AH15" s="139">
        <f>(AH70+AH152+AH169+AH179+AH183)*(AC15/(AC15+AC16+AC17+AC20+AC23))</f>
        <v>6558.6817116029715</v>
      </c>
      <c r="AI15" s="139">
        <f>(AI70+AI152+AI169+AI179+AI183)*(AD15/(AD15+AD16+AD17+AD20+AD23))</f>
        <v>6591.2514010646246</v>
      </c>
      <c r="AJ15" s="139">
        <f>(AJ70+AJ152+AJ169+AJ179+AJ183)*(AE15/(AE15+AE16+AE17+AE20+AE23))</f>
        <v>6454.3504430217217</v>
      </c>
      <c r="AK15" s="139">
        <f>(AK70+AK152+AK169+AK179+AK183)*(AF15/(AF15+AF16+AF17+AF20+AF23))</f>
        <v>6718.3453199643382</v>
      </c>
      <c r="AL15" s="94">
        <f t="shared" ref="AL15:AL23" si="6">SUM(AH15:AK15)</f>
        <v>26322.628875653656</v>
      </c>
      <c r="AM15" s="139">
        <f>(AM70+AM152+AM169+AM179+AM183)*(AH15/(AH15+AH16+AH17+AH20+AH23))</f>
        <v>6673.5202570589672</v>
      </c>
      <c r="AN15" s="139">
        <f>(AN70+AN152+AN169+AN179+AN183)*(AI15/(AI15+AI16+AI17+AI20+AI23))</f>
        <v>6699.3903121174253</v>
      </c>
      <c r="AO15" s="139">
        <f>(AO70+AO152+AO169+AO179+AO183)*(AJ15/(AJ15+AJ16+AJ17+AJ20+AJ23))</f>
        <v>6562.1366998386939</v>
      </c>
      <c r="AP15" s="139">
        <f>(AP70+AP152+AP169+AP179+AP183)*(AK15/(AK15+AK16+AK17+AK20+AK23))</f>
        <v>6818.2462648546798</v>
      </c>
      <c r="AQ15" s="94">
        <f t="shared" ref="AQ15:AQ23" si="7">SUM(AM15:AP15)</f>
        <v>26753.293533869764</v>
      </c>
    </row>
    <row r="16" spans="1:71" outlineLevel="1" x14ac:dyDescent="0.25">
      <c r="B16" s="301" t="s">
        <v>155</v>
      </c>
      <c r="C16" s="285"/>
      <c r="D16" s="100">
        <v>2344</v>
      </c>
      <c r="E16" s="100">
        <v>2538</v>
      </c>
      <c r="F16" s="100">
        <v>2623</v>
      </c>
      <c r="G16" s="100">
        <v>2461</v>
      </c>
      <c r="H16" s="112">
        <f t="shared" si="0"/>
        <v>9966</v>
      </c>
      <c r="I16" s="100">
        <v>3240</v>
      </c>
      <c r="J16" s="100">
        <v>3431</v>
      </c>
      <c r="K16" s="100">
        <v>3498</v>
      </c>
      <c r="L16" s="100">
        <v>3461</v>
      </c>
      <c r="M16" s="112">
        <f t="shared" si="1"/>
        <v>13630</v>
      </c>
      <c r="N16" s="100">
        <v>3445</v>
      </c>
      <c r="O16" s="100">
        <v>3840</v>
      </c>
      <c r="P16" s="100">
        <v>3935</v>
      </c>
      <c r="Q16" s="100">
        <v>3881</v>
      </c>
      <c r="R16" s="112">
        <f t="shared" si="2"/>
        <v>15101</v>
      </c>
      <c r="S16" s="100">
        <v>3967</v>
      </c>
      <c r="T16" s="100">
        <v>4346</v>
      </c>
      <c r="U16" s="100">
        <v>4253</v>
      </c>
      <c r="V16" s="100">
        <f>(V70+V152+V169+V179+V183)*(Q16/(Q15+Q16+Q17+Q20+Q23))</f>
        <v>4134.4676832144632</v>
      </c>
      <c r="W16" s="94">
        <f t="shared" si="3"/>
        <v>16700.467683214461</v>
      </c>
      <c r="X16" s="100">
        <f>(X70+X152+X169+X179+X183)*(S16/(S15+S16+S17+S20+S23))</f>
        <v>4036.1820969792607</v>
      </c>
      <c r="Y16" s="100">
        <f>(Y70+Y152+Y169+Y179+Y183)*(T16/(T15+T16+T17+T20+T23))</f>
        <v>4452.4425273543739</v>
      </c>
      <c r="Z16" s="100">
        <f>(Z70+Z152+Z169+Z179+Z183)*(U16/(U15+U16+U17+U20+U23))</f>
        <v>4391.2074177730829</v>
      </c>
      <c r="AA16" s="100">
        <f>(AA70+AA152+AA169+AA179+AA183)*(V16/(V15+V16+V17+V20+V23))</f>
        <v>4264.7386798438683</v>
      </c>
      <c r="AB16" s="112">
        <f t="shared" si="4"/>
        <v>17144.570721950586</v>
      </c>
      <c r="AC16" s="100">
        <f>(AC70+AC152+AC169+AC179+AC183)*(X16/(X15+X16+X17+X20+X23))</f>
        <v>4072.0762508191374</v>
      </c>
      <c r="AD16" s="100">
        <f>(AD70+AD152+AD169+AD179+AD183)*(Y16/(Y15+Y16+Y17+Y20+Y23))</f>
        <v>4487.6273153429029</v>
      </c>
      <c r="AE16" s="100">
        <f>(AE70+AE152+AE169+AE179+AE183)*(Z16/(Z15+Z16+Z17+Z20+Z23))</f>
        <v>4433.3106773279351</v>
      </c>
      <c r="AF16" s="100">
        <f>(AF70+AF152+AF169+AF179+AF183)*(AA16/(AA15+AA16+AA17+AA20+AA23))</f>
        <v>4292.1576034994487</v>
      </c>
      <c r="AG16" s="94">
        <f t="shared" si="5"/>
        <v>17285.171846989426</v>
      </c>
      <c r="AH16" s="100">
        <f>(AH70+AH152+AH169+AH179+AH183)*(AC16/(AC15+AC16+AC17+AC20+AC23))</f>
        <v>4156.2764137266759</v>
      </c>
      <c r="AI16" s="100">
        <f>(AI70+AI152+AI169+AI179+AI183)*(AD16/(AD15+AD16+AD17+AD20+AD23))</f>
        <v>4575.9710206113186</v>
      </c>
      <c r="AJ16" s="100">
        <f>(AJ70+AJ152+AJ169+AJ179+AJ183)*(AE16/(AE15+AE16+AE17+AE20+AE23))</f>
        <v>4523.0437360638289</v>
      </c>
      <c r="AK16" s="100">
        <f>(AK70+AK152+AK169+AK179+AK183)*(AF16/(AF15+AF16+AF17+AF20+AF23))</f>
        <v>4370.4153849784771</v>
      </c>
      <c r="AL16" s="94">
        <f t="shared" si="6"/>
        <v>17625.7065553803</v>
      </c>
      <c r="AM16" s="100">
        <f>(AM70+AM152+AM169+AM179+AM183)*(AH16/(AH15+AH16+AH17+AH20+AH23))</f>
        <v>4229.0502970851312</v>
      </c>
      <c r="AN16" s="100">
        <f>(AN70+AN152+AN169+AN179+AN183)*(AI16/(AI15+AI16+AI17+AI20+AI23))</f>
        <v>4651.0463732367934</v>
      </c>
      <c r="AO16" s="100">
        <f>(AO70+AO152+AO169+AO179+AO183)*(AJ16/(AJ15+AJ16+AJ17+AJ20+AJ23))</f>
        <v>4598.5775884682753</v>
      </c>
      <c r="AP16" s="100">
        <f>(AP70+AP152+AP169+AP179+AP183)*(AK16/(AK15+AK16+AK17+AK20+AK23))</f>
        <v>4435.4029088000352</v>
      </c>
      <c r="AQ16" s="94">
        <f t="shared" si="7"/>
        <v>17914.077167590236</v>
      </c>
    </row>
    <row r="17" spans="2:47" outlineLevel="1" x14ac:dyDescent="0.25">
      <c r="B17" s="301" t="s">
        <v>156</v>
      </c>
      <c r="C17" s="285"/>
      <c r="D17" s="100">
        <v>695</v>
      </c>
      <c r="E17" s="100">
        <v>682</v>
      </c>
      <c r="F17" s="100">
        <v>744</v>
      </c>
      <c r="G17" s="100">
        <v>733</v>
      </c>
      <c r="H17" s="112">
        <f t="shared" si="0"/>
        <v>2854</v>
      </c>
      <c r="I17" s="100">
        <v>790</v>
      </c>
      <c r="J17" s="100">
        <v>802</v>
      </c>
      <c r="K17" s="100">
        <v>834</v>
      </c>
      <c r="L17" s="100">
        <v>814</v>
      </c>
      <c r="M17" s="112">
        <f t="shared" si="1"/>
        <v>3240</v>
      </c>
      <c r="N17" s="100">
        <v>818</v>
      </c>
      <c r="O17" s="100">
        <v>835</v>
      </c>
      <c r="P17" s="100">
        <v>873</v>
      </c>
      <c r="Q17" s="100">
        <v>835</v>
      </c>
      <c r="R17" s="112">
        <f t="shared" si="2"/>
        <v>3361</v>
      </c>
      <c r="S17" s="100">
        <v>823</v>
      </c>
      <c r="T17" s="100">
        <v>836</v>
      </c>
      <c r="U17" s="100">
        <v>874</v>
      </c>
      <c r="V17" s="100">
        <f>(V70+V152+V169+V179+V183)*(Q17/(Q15+Q16+Q17+Q20+Q23))</f>
        <v>889.53375817677841</v>
      </c>
      <c r="W17" s="94">
        <f t="shared" si="3"/>
        <v>3422.5337581767785</v>
      </c>
      <c r="X17" s="100">
        <f>(X70+X152+X169+X179+X183)*(S17/(S15+S16+S17+S20+S23))</f>
        <v>837.35262561480499</v>
      </c>
      <c r="Y17" s="100">
        <f>(Y70+Y152+Y169+Y179+Y183)*(T17/(T15+T16+T17+T20+T23))</f>
        <v>856.4753688146011</v>
      </c>
      <c r="Z17" s="100">
        <f>(Z70+Z152+Z169+Z179+Z183)*(U17/(U15+U16+U17+U20+U23))</f>
        <v>902.40190057222537</v>
      </c>
      <c r="AA17" s="100">
        <f>(AA70+AA152+AA169+AA179+AA183)*(V17/(V15+V16+V17+V20+V23))</f>
        <v>917.56165876568673</v>
      </c>
      <c r="AB17" s="112">
        <f t="shared" si="4"/>
        <v>3513.7915537673184</v>
      </c>
      <c r="AC17" s="100">
        <f>(AC70+AC152+AC169+AC179+AC183)*(X17/(X15+X16+X17+X20+X23))</f>
        <v>844.79928268821527</v>
      </c>
      <c r="AD17" s="100">
        <f>(AD70+AD152+AD169+AD179+AD183)*(Y17/(Y15+Y16+Y17+Y20+Y23))</f>
        <v>863.24354248197574</v>
      </c>
      <c r="AE17" s="100">
        <f>(AE70+AE152+AE169+AE179+AE183)*(Z17/(Z15+Z16+Z17+Z20+Z23))</f>
        <v>911.05420455786873</v>
      </c>
      <c r="AF17" s="100">
        <f>(AF70+AF152+AF169+AF179+AF183)*(AA17/(AA15+AA16+AA17+AA20+AA23))</f>
        <v>923.46086032518417</v>
      </c>
      <c r="AG17" s="94">
        <f t="shared" si="5"/>
        <v>3542.5578900532437</v>
      </c>
      <c r="AH17" s="100">
        <f>(AH70+AH152+AH169+AH179+AH183)*(AC17/(AC15+AC16+AC17+AC20+AC23))</f>
        <v>862.26757965642901</v>
      </c>
      <c r="AI17" s="100">
        <f>(AI70+AI152+AI169+AI179+AI183)*(AD17/(AD15+AD16+AD17+AD20+AD23))</f>
        <v>880.23740755431731</v>
      </c>
      <c r="AJ17" s="100">
        <f>(AJ70+AJ152+AJ169+AJ179+AJ183)*(AE17/(AE15+AE16+AE17+AE20+AE23))</f>
        <v>929.49452746761983</v>
      </c>
      <c r="AK17" s="100">
        <f>(AK70+AK152+AK169+AK179+AK183)*(AF17/(AF15+AF16+AF17+AF20+AF23))</f>
        <v>940.29807947874997</v>
      </c>
      <c r="AL17" s="94">
        <f t="shared" si="6"/>
        <v>3612.2975941571162</v>
      </c>
      <c r="AM17" s="100">
        <f>(AM70+AM152+AM169+AM179+AM183)*(AH17/(AH15+AH16+AH17+AH20+AH23))</f>
        <v>877.36536286893454</v>
      </c>
      <c r="AN17" s="100">
        <f>(AN70+AN152+AN169+AN179+AN183)*(AI17/(AI15+AI16+AI17+AI20+AI23))</f>
        <v>894.67896180993091</v>
      </c>
      <c r="AO17" s="100">
        <f>(AO70+AO152+AO169+AO179+AO183)*(AJ17/(AJ15+AJ16+AJ17+AJ20+AJ23))</f>
        <v>945.01688509787755</v>
      </c>
      <c r="AP17" s="100">
        <f>(AP70+AP152+AP169+AP179+AP183)*(AK17/(AK15+AK16+AK17+AK20+AK23))</f>
        <v>954.28019295233946</v>
      </c>
      <c r="AQ17" s="94">
        <f t="shared" si="7"/>
        <v>3671.3414027290823</v>
      </c>
    </row>
    <row r="18" spans="2:47" outlineLevel="1" x14ac:dyDescent="0.25">
      <c r="B18" s="301" t="s">
        <v>157</v>
      </c>
      <c r="C18" s="285"/>
      <c r="D18" s="100">
        <v>648</v>
      </c>
      <c r="E18" s="100">
        <v>653</v>
      </c>
      <c r="F18" s="100">
        <v>663</v>
      </c>
      <c r="G18" s="100">
        <v>667</v>
      </c>
      <c r="H18" s="112">
        <f t="shared" si="0"/>
        <v>2631</v>
      </c>
      <c r="I18" s="100">
        <v>739</v>
      </c>
      <c r="J18" s="100">
        <v>740</v>
      </c>
      <c r="K18" s="100">
        <v>762</v>
      </c>
      <c r="L18" s="100">
        <v>754</v>
      </c>
      <c r="M18" s="112">
        <f t="shared" si="1"/>
        <v>2995</v>
      </c>
      <c r="N18" s="100">
        <v>751</v>
      </c>
      <c r="O18" s="100">
        <v>756</v>
      </c>
      <c r="P18" s="100">
        <v>786</v>
      </c>
      <c r="Q18" s="100">
        <v>802</v>
      </c>
      <c r="R18" s="112">
        <f t="shared" si="2"/>
        <v>3095</v>
      </c>
      <c r="S18" s="100">
        <v>808</v>
      </c>
      <c r="T18" s="100">
        <v>828</v>
      </c>
      <c r="U18" s="100">
        <v>851</v>
      </c>
      <c r="V18" s="100">
        <f>+V321</f>
        <v>861.86090601574381</v>
      </c>
      <c r="W18" s="112">
        <f t="shared" si="3"/>
        <v>3348.8609060157437</v>
      </c>
      <c r="X18" s="100">
        <f>+X321</f>
        <v>887.18121954787705</v>
      </c>
      <c r="Y18" s="100">
        <f>+Y321</f>
        <v>906.9569047625514</v>
      </c>
      <c r="Z18" s="100">
        <f>+Z321</f>
        <v>916.59925920971807</v>
      </c>
      <c r="AA18" s="100">
        <f>+AA321</f>
        <v>937.31527898901686</v>
      </c>
      <c r="AB18" s="112">
        <f t="shared" si="4"/>
        <v>3648.0526625091634</v>
      </c>
      <c r="AC18" s="100">
        <f>+AC321</f>
        <v>967.38683067203795</v>
      </c>
      <c r="AD18" s="100">
        <f>+AD321</f>
        <v>987.64826801555364</v>
      </c>
      <c r="AE18" s="100">
        <f>+AE321</f>
        <v>997.62570587196285</v>
      </c>
      <c r="AF18" s="100">
        <f>+AF321</f>
        <v>1018.5722304692054</v>
      </c>
      <c r="AG18" s="94">
        <f t="shared" si="5"/>
        <v>3971.2330350287598</v>
      </c>
      <c r="AH18" s="100">
        <f>+AH321</f>
        <v>1049.265729112406</v>
      </c>
      <c r="AI18" s="100">
        <f>+AI321</f>
        <v>1069.915661705232</v>
      </c>
      <c r="AJ18" s="100">
        <f>+AJ321</f>
        <v>1080.0776609538059</v>
      </c>
      <c r="AK18" s="100">
        <f>+AK321</f>
        <v>1101.3399085676781</v>
      </c>
      <c r="AL18" s="94">
        <f t="shared" si="6"/>
        <v>4300.5989603391226</v>
      </c>
      <c r="AM18" s="100">
        <f>+AM321</f>
        <v>1132.5288064090068</v>
      </c>
      <c r="AN18" s="100">
        <f>+AN321</f>
        <v>1153.4851219808074</v>
      </c>
      <c r="AO18" s="100">
        <f>+AO321</f>
        <v>1163.7871822042441</v>
      </c>
      <c r="AP18" s="100">
        <f>+AP321</f>
        <v>1185.3137324893514</v>
      </c>
      <c r="AQ18" s="94">
        <f t="shared" si="7"/>
        <v>4635.1148430834101</v>
      </c>
    </row>
    <row r="19" spans="2:47" outlineLevel="1" x14ac:dyDescent="0.25">
      <c r="B19" s="301" t="s">
        <v>270</v>
      </c>
      <c r="C19" s="96"/>
      <c r="D19" s="100">
        <v>712</v>
      </c>
      <c r="E19" s="100">
        <v>615</v>
      </c>
      <c r="F19" s="100">
        <v>537</v>
      </c>
      <c r="G19" s="100">
        <v>535</v>
      </c>
      <c r="H19" s="112">
        <f t="shared" si="0"/>
        <v>2399</v>
      </c>
      <c r="I19" s="100">
        <v>650</v>
      </c>
      <c r="J19" s="100">
        <v>658</v>
      </c>
      <c r="K19" s="100">
        <v>735</v>
      </c>
      <c r="L19" s="100">
        <v>730</v>
      </c>
      <c r="M19" s="112">
        <f t="shared" si="1"/>
        <v>2773</v>
      </c>
      <c r="N19" s="100">
        <v>703</v>
      </c>
      <c r="O19" s="100">
        <v>818</v>
      </c>
      <c r="P19" s="100">
        <v>914</v>
      </c>
      <c r="Q19" s="100">
        <v>939</v>
      </c>
      <c r="R19" s="112">
        <f t="shared" si="2"/>
        <v>3374</v>
      </c>
      <c r="S19" s="100">
        <v>986</v>
      </c>
      <c r="T19" s="100">
        <v>1052</v>
      </c>
      <c r="U19" s="100">
        <v>907</v>
      </c>
      <c r="V19" s="100">
        <f>+V68+V150+V167+V181</f>
        <v>971.8096132812849</v>
      </c>
      <c r="W19" s="94">
        <f t="shared" si="3"/>
        <v>3916.8096132812848</v>
      </c>
      <c r="X19" s="100">
        <f>+X68+X150+X167+X181</f>
        <v>977.46461243011788</v>
      </c>
      <c r="Y19" s="100">
        <f>+Y68+Y150+Y167+Y181</f>
        <v>987.7110152166598</v>
      </c>
      <c r="Z19" s="100">
        <f>+Z68+Z150+Z167+Z181</f>
        <v>938.40698772015992</v>
      </c>
      <c r="AA19" s="100">
        <f>+AA68+AA150+AA167+AA181</f>
        <v>947.14254624411217</v>
      </c>
      <c r="AB19" s="112">
        <f t="shared" si="4"/>
        <v>3850.7251616110498</v>
      </c>
      <c r="AC19" s="100">
        <f>+AC68+AC150+AC167+AC181</f>
        <v>951.04546539177022</v>
      </c>
      <c r="AD19" s="100">
        <f>+AD68+AD150+AD167+AD181</f>
        <v>994.16889603904167</v>
      </c>
      <c r="AE19" s="100">
        <f>+AE68+AE150+AE167+AE181</f>
        <v>976.03566775211834</v>
      </c>
      <c r="AF19" s="100">
        <f>+AF68+AF150+AF167+AF181</f>
        <v>987.06514777119446</v>
      </c>
      <c r="AG19" s="94">
        <f t="shared" si="5"/>
        <v>3908.3151769541246</v>
      </c>
      <c r="AH19" s="100">
        <f>+AH68+AH150+AH167+AH181</f>
        <v>1025.1757808479272</v>
      </c>
      <c r="AI19" s="100">
        <f>+AI68+AI150+AI167+AI181</f>
        <v>1071.819498521658</v>
      </c>
      <c r="AJ19" s="100">
        <f>+AJ68+AJ150+AJ167+AJ181</f>
        <v>1051.6779191238036</v>
      </c>
      <c r="AK19" s="100">
        <f>+AK68+AK150+AK167+AK181</f>
        <v>1063.5014917086592</v>
      </c>
      <c r="AL19" s="94">
        <f t="shared" si="6"/>
        <v>4212.1746902020477</v>
      </c>
      <c r="AM19" s="100">
        <f>+AM68+AM150+AM167+AM181</f>
        <v>1069.0657805510423</v>
      </c>
      <c r="AN19" s="100">
        <f>+AN68+AN150+AN167+AN181</f>
        <v>1118.0635800241714</v>
      </c>
      <c r="AO19" s="100">
        <f>+AO68+AO150+AO167+AO181</f>
        <v>1095.7358925059357</v>
      </c>
      <c r="AP19" s="100">
        <f>+AP68+AP150+AP167+AP181</f>
        <v>1108.8474008626058</v>
      </c>
      <c r="AQ19" s="94">
        <f t="shared" si="7"/>
        <v>4391.712653943755</v>
      </c>
    </row>
    <row r="20" spans="2:47" outlineLevel="1" x14ac:dyDescent="0.25">
      <c r="B20" s="301" t="s">
        <v>159</v>
      </c>
      <c r="C20" s="96"/>
      <c r="D20" s="100">
        <v>548</v>
      </c>
      <c r="E20" s="100">
        <v>529</v>
      </c>
      <c r="F20" s="100">
        <v>504</v>
      </c>
      <c r="G20" s="100">
        <v>527</v>
      </c>
      <c r="H20" s="112">
        <f t="shared" si="0"/>
        <v>2108</v>
      </c>
      <c r="I20" s="100">
        <v>598</v>
      </c>
      <c r="J20" s="100">
        <v>579</v>
      </c>
      <c r="K20" s="100">
        <v>588</v>
      </c>
      <c r="L20" s="100">
        <v>609</v>
      </c>
      <c r="M20" s="112">
        <f t="shared" si="1"/>
        <v>2374</v>
      </c>
      <c r="N20" s="100">
        <v>675</v>
      </c>
      <c r="O20" s="100">
        <v>665</v>
      </c>
      <c r="P20" s="100">
        <v>628</v>
      </c>
      <c r="Q20" s="100">
        <v>654</v>
      </c>
      <c r="R20" s="112">
        <f t="shared" si="2"/>
        <v>2622</v>
      </c>
      <c r="S20" s="100">
        <v>735</v>
      </c>
      <c r="T20" s="100">
        <v>751</v>
      </c>
      <c r="U20" s="100">
        <v>658</v>
      </c>
      <c r="V20" s="100">
        <f>(V70+V152+V169+V179+V183)*(Q20/(Q15+Q16+Q17+Q20+Q23))</f>
        <v>696.71266808097369</v>
      </c>
      <c r="W20" s="94">
        <f t="shared" si="3"/>
        <v>2840.7126680809738</v>
      </c>
      <c r="X20" s="100">
        <f>(X70+X152+X169+X179+X183)*(S20/(S15+S16+S17+S20+S23))</f>
        <v>747.81795847737749</v>
      </c>
      <c r="Y20" s="100">
        <f>(Y70+Y152+Y169+Y179+Y183)*(T20/(T15+T16+T17+T20+T23))</f>
        <v>769.39354303799689</v>
      </c>
      <c r="Z20" s="100">
        <f>(Z70+Z152+Z169+Z179+Z183)*(U20/(U15+U16+U17+U20+U23))</f>
        <v>679.38266656352891</v>
      </c>
      <c r="AA20" s="100">
        <f>(AA70+AA152+AA169+AA179+AA183)*(V20/(V15+V16+V17+V20+V23))</f>
        <v>718.66505967995101</v>
      </c>
      <c r="AB20" s="112">
        <f t="shared" si="4"/>
        <v>2915.2592277588542</v>
      </c>
      <c r="AC20" s="100">
        <f>(AC70+AC152+AC169+AC179+AC183)*(X20/(X15+X16+X17+X20+X23))</f>
        <v>754.46837518327845</v>
      </c>
      <c r="AD20" s="100">
        <f>(AD70+AD152+AD169+AD179+AD183)*(Y20/(Y15+Y16+Y17+Y20+Y23))</f>
        <v>775.4735650765117</v>
      </c>
      <c r="AE20" s="100">
        <f>(AE70+AE152+AE169+AE179+AE183)*(Z20/(Z15+Z16+Z17+Z20+Z23))</f>
        <v>685.89664370603839</v>
      </c>
      <c r="AF20" s="100">
        <f>(AF70+AF152+AF169+AF179+AF183)*(AA20/(AA15+AA16+AA17+AA20+AA23))</f>
        <v>723.28551215888672</v>
      </c>
      <c r="AG20" s="94">
        <f t="shared" si="5"/>
        <v>2939.1240961247154</v>
      </c>
      <c r="AH20" s="100">
        <f>(AH70+AH152+AH169+AH179+AH183)*(AC20/(AC15+AC16+AC17+AC20+AC23))</f>
        <v>770.06885910993356</v>
      </c>
      <c r="AI20" s="100">
        <f>(AI70+AI152+AI169+AI179+AI183)*(AD20/(AD15+AD16+AD17+AD20+AD23))</f>
        <v>790.73958501589982</v>
      </c>
      <c r="AJ20" s="100">
        <f>(AJ70+AJ152+AJ169+AJ179+AJ183)*(AE20/(AE15+AE16+AE17+AE20+AE23))</f>
        <v>699.77963280742995</v>
      </c>
      <c r="AK20" s="100">
        <f>(AK70+AK152+AK169+AK179+AK183)*(AF20/(AF15+AF16+AF17+AF20+AF23))</f>
        <v>736.4729868013203</v>
      </c>
      <c r="AL20" s="94">
        <f t="shared" si="6"/>
        <v>2997.0610637345835</v>
      </c>
      <c r="AM20" s="100">
        <f>(AM70+AM152+AM169+AM179+AM183)*(AH20/(AH15+AH16+AH17+AH20+AH23))</f>
        <v>783.55229855245057</v>
      </c>
      <c r="AN20" s="100">
        <f>(AN70+AN152+AN169+AN179+AN183)*(AI20/(AI15+AI16+AI17+AI20+AI23))</f>
        <v>803.71279942494982</v>
      </c>
      <c r="AO20" s="100">
        <f>(AO70+AO152+AO169+AO179+AO183)*(AJ20/(AJ15+AJ16+AJ17+AJ20+AJ23))</f>
        <v>711.46580136659429</v>
      </c>
      <c r="AP20" s="100">
        <f>(AP70+AP152+AP169+AP179+AP183)*(AK20/(AK15+AK16+AK17+AK20+AK23))</f>
        <v>747.42424693512578</v>
      </c>
      <c r="AQ20" s="94">
        <f t="shared" si="7"/>
        <v>3046.1551462791203</v>
      </c>
    </row>
    <row r="21" spans="2:47" outlineLevel="1" x14ac:dyDescent="0.25">
      <c r="B21" s="301" t="s">
        <v>160</v>
      </c>
      <c r="C21" s="96"/>
      <c r="D21" s="100"/>
      <c r="E21" s="100"/>
      <c r="F21" s="100"/>
      <c r="G21" s="100"/>
      <c r="H21" s="112">
        <f t="shared" si="0"/>
        <v>0</v>
      </c>
      <c r="I21" s="100"/>
      <c r="J21" s="100"/>
      <c r="K21" s="100">
        <v>0</v>
      </c>
      <c r="L21" s="100">
        <v>0</v>
      </c>
      <c r="M21" s="112">
        <f t="shared" si="1"/>
        <v>0</v>
      </c>
      <c r="N21" s="100">
        <v>0</v>
      </c>
      <c r="O21" s="100">
        <v>0</v>
      </c>
      <c r="P21" s="100">
        <v>0</v>
      </c>
      <c r="Q21" s="100">
        <v>380</v>
      </c>
      <c r="R21" s="112">
        <f t="shared" si="2"/>
        <v>380</v>
      </c>
      <c r="S21" s="100">
        <v>0</v>
      </c>
      <c r="T21" s="100">
        <v>0</v>
      </c>
      <c r="U21" s="242">
        <v>0</v>
      </c>
      <c r="V21" s="242">
        <v>0</v>
      </c>
      <c r="W21" s="94">
        <f t="shared" si="3"/>
        <v>0</v>
      </c>
      <c r="X21" s="242">
        <v>0</v>
      </c>
      <c r="Y21" s="242">
        <v>0</v>
      </c>
      <c r="Z21" s="242">
        <v>0</v>
      </c>
      <c r="AA21" s="242">
        <v>0</v>
      </c>
      <c r="AB21" s="112">
        <f t="shared" si="4"/>
        <v>0</v>
      </c>
      <c r="AC21" s="242">
        <v>0</v>
      </c>
      <c r="AD21" s="242">
        <v>0</v>
      </c>
      <c r="AE21" s="242">
        <v>0</v>
      </c>
      <c r="AF21" s="242">
        <v>0</v>
      </c>
      <c r="AG21" s="94">
        <f t="shared" si="5"/>
        <v>0</v>
      </c>
      <c r="AH21" s="242">
        <v>0</v>
      </c>
      <c r="AI21" s="242">
        <v>0</v>
      </c>
      <c r="AJ21" s="242">
        <v>0</v>
      </c>
      <c r="AK21" s="242">
        <v>0</v>
      </c>
      <c r="AL21" s="94">
        <f t="shared" si="6"/>
        <v>0</v>
      </c>
      <c r="AM21" s="242">
        <v>0</v>
      </c>
      <c r="AN21" s="242">
        <v>0</v>
      </c>
      <c r="AO21" s="242">
        <v>0</v>
      </c>
      <c r="AP21" s="242">
        <v>0</v>
      </c>
      <c r="AQ21" s="94">
        <f t="shared" si="7"/>
        <v>0</v>
      </c>
    </row>
    <row r="22" spans="2:47" outlineLevel="1" x14ac:dyDescent="0.25">
      <c r="B22" s="301" t="s">
        <v>161</v>
      </c>
      <c r="C22" s="96"/>
      <c r="D22" s="100">
        <v>0</v>
      </c>
      <c r="E22" s="100">
        <v>0</v>
      </c>
      <c r="F22" s="100">
        <v>0</v>
      </c>
      <c r="G22" s="100">
        <v>1498</v>
      </c>
      <c r="H22" s="112">
        <f t="shared" si="0"/>
        <v>1498</v>
      </c>
      <c r="I22" s="100">
        <v>0</v>
      </c>
      <c r="J22" s="100">
        <v>0</v>
      </c>
      <c r="K22" s="100">
        <v>0</v>
      </c>
      <c r="L22" s="100">
        <v>-24</v>
      </c>
      <c r="M22" s="112">
        <f t="shared" si="1"/>
        <v>-24</v>
      </c>
      <c r="N22" s="100">
        <v>0</v>
      </c>
      <c r="O22" s="100">
        <v>0</v>
      </c>
      <c r="P22" s="100">
        <v>0</v>
      </c>
      <c r="Q22" s="100">
        <v>-10</v>
      </c>
      <c r="R22" s="112">
        <f t="shared" si="2"/>
        <v>-10</v>
      </c>
      <c r="S22" s="100">
        <v>0</v>
      </c>
      <c r="T22" s="100">
        <f>+T211</f>
        <v>0</v>
      </c>
      <c r="U22" s="100">
        <f>+U211</f>
        <v>0</v>
      </c>
      <c r="V22" s="100">
        <f>+V211</f>
        <v>-3.9999999999997158</v>
      </c>
      <c r="W22" s="94">
        <f t="shared" si="3"/>
        <v>-3.9999999999997158</v>
      </c>
      <c r="X22" s="100">
        <f>+X211</f>
        <v>0</v>
      </c>
      <c r="Y22" s="100">
        <f>+Y211</f>
        <v>0</v>
      </c>
      <c r="Z22" s="100">
        <f>+Z211</f>
        <v>0</v>
      </c>
      <c r="AA22" s="100">
        <f>+AA211</f>
        <v>-99.999999999999943</v>
      </c>
      <c r="AB22" s="112">
        <f t="shared" si="4"/>
        <v>-99.999999999999943</v>
      </c>
      <c r="AC22" s="100">
        <f>+AC211</f>
        <v>0</v>
      </c>
      <c r="AD22" s="100">
        <f>+AD211</f>
        <v>0</v>
      </c>
      <c r="AE22" s="100">
        <f>+AE211</f>
        <v>0</v>
      </c>
      <c r="AF22" s="100">
        <f>+AF211</f>
        <v>-55.00000000000005</v>
      </c>
      <c r="AG22" s="94">
        <f t="shared" si="5"/>
        <v>-55.00000000000005</v>
      </c>
      <c r="AH22" s="100">
        <f>+AH211</f>
        <v>0</v>
      </c>
      <c r="AI22" s="100">
        <f>+AI211</f>
        <v>0</v>
      </c>
      <c r="AJ22" s="100">
        <f>+AJ211</f>
        <v>0</v>
      </c>
      <c r="AK22" s="100">
        <f>+AK211</f>
        <v>-55.00000000000005</v>
      </c>
      <c r="AL22" s="94">
        <f t="shared" si="6"/>
        <v>-55.00000000000005</v>
      </c>
      <c r="AM22" s="100">
        <f>+AM211</f>
        <v>0</v>
      </c>
      <c r="AN22" s="100">
        <f>+AN211</f>
        <v>0</v>
      </c>
      <c r="AO22" s="100">
        <f>+AO211</f>
        <v>0</v>
      </c>
      <c r="AP22" s="100">
        <f>+AP211</f>
        <v>-55.00000000000005</v>
      </c>
      <c r="AQ22" s="94">
        <f t="shared" si="7"/>
        <v>-55.00000000000005</v>
      </c>
    </row>
    <row r="23" spans="2:47" ht="17.25" customHeight="1" outlineLevel="1" x14ac:dyDescent="0.4">
      <c r="B23" s="301" t="s">
        <v>162</v>
      </c>
      <c r="C23" s="96"/>
      <c r="D23" s="101">
        <v>1663</v>
      </c>
      <c r="E23" s="101">
        <v>1729</v>
      </c>
      <c r="F23" s="101">
        <v>2007</v>
      </c>
      <c r="G23" s="101">
        <v>1852</v>
      </c>
      <c r="H23" s="153">
        <f t="shared" si="0"/>
        <v>7251</v>
      </c>
      <c r="I23" s="101">
        <f>2071+112</f>
        <v>2183</v>
      </c>
      <c r="J23" s="101">
        <f>2201+112</f>
        <v>2313</v>
      </c>
      <c r="K23" s="101">
        <f>2160+113</f>
        <v>2273</v>
      </c>
      <c r="L23" s="101">
        <f>2320+134</f>
        <v>2454</v>
      </c>
      <c r="M23" s="153">
        <f t="shared" si="1"/>
        <v>9223</v>
      </c>
      <c r="N23" s="101">
        <f>2270+146</f>
        <v>2416</v>
      </c>
      <c r="O23" s="101">
        <f>2395+147</f>
        <v>2542</v>
      </c>
      <c r="P23" s="101">
        <f>2408+143</f>
        <v>2551</v>
      </c>
      <c r="Q23" s="101">
        <f>2377+162</f>
        <v>2539</v>
      </c>
      <c r="R23" s="153">
        <f t="shared" si="2"/>
        <v>10048</v>
      </c>
      <c r="S23" s="101">
        <v>2402</v>
      </c>
      <c r="T23" s="101">
        <v>2583</v>
      </c>
      <c r="U23" s="101">
        <f>2483+4</f>
        <v>2487</v>
      </c>
      <c r="V23" s="101">
        <f>(V70+V152+V169+V179+V183)*(Q23/(Q15+Q16+Q17+Q20+Q23))</f>
        <v>2704.8218107914258</v>
      </c>
      <c r="W23" s="99">
        <f t="shared" si="3"/>
        <v>10176.821810791425</v>
      </c>
      <c r="X23" s="101">
        <f>(X70+X152+X169+X179+X183)*(S23/(S15+S16+S17+S20+S23))</f>
        <v>2443.8894370920552</v>
      </c>
      <c r="Y23" s="101">
        <f>(Y70+Y152+Y169+Y179+Y183)*(T23/(T15+T16+T17+T20+T23))</f>
        <v>2646.2630115408074</v>
      </c>
      <c r="Z23" s="101">
        <f>(Z70+Z152+Z169+Z179+Z183)*(U23/(U15+U16+U17+U20+U23))</f>
        <v>2567.8186804612405</v>
      </c>
      <c r="AA23" s="101">
        <f>(AA70+AA152+AA169+AA179+AA183)*(V23/(V15+V16+V17+V20+V23))</f>
        <v>2790.0467683905135</v>
      </c>
      <c r="AB23" s="153">
        <f t="shared" si="4"/>
        <v>10448.017897484617</v>
      </c>
      <c r="AC23" s="101">
        <f>(AC70+AC152+AC169+AC179+AC183)*(X23/(X15+X16+X17+X20+X23))</f>
        <v>2465.6231798506597</v>
      </c>
      <c r="AD23" s="101">
        <f>(AD70+AD152+AD169+AD179+AD183)*(Y23/(Y15+Y16+Y17+Y20+Y23))</f>
        <v>2667.1747251566312</v>
      </c>
      <c r="AE23" s="101">
        <f>(AE70+AE152+AE169+AE179+AE183)*(Z23/(Z15+Z16+Z17+Z20+Z23))</f>
        <v>2592.439138141212</v>
      </c>
      <c r="AF23" s="101">
        <f>(AF70+AF152+AF169+AF179+AF183)*(AA23/(AA15+AA16+AA17+AA20+AA23))</f>
        <v>2807.9845800786138</v>
      </c>
      <c r="AG23" s="99">
        <f t="shared" si="5"/>
        <v>10533.221623227117</v>
      </c>
      <c r="AH23" s="101">
        <f>(AH70+AH152+AH169+AH179+AH183)*(AC23/(AC15+AC16+AC17+AC20+AC23))</f>
        <v>2516.6059858259323</v>
      </c>
      <c r="AI23" s="101">
        <f>(AI70+AI152+AI169+AI179+AI183)*(AD23/(AD15+AD16+AD17+AD20+AD23))</f>
        <v>2719.680889608615</v>
      </c>
      <c r="AJ23" s="101">
        <f>(AJ70+AJ152+AJ169+AJ179+AJ183)*(AE23/(AE15+AE16+AE17+AE20+AE23))</f>
        <v>2644.911773240241</v>
      </c>
      <c r="AK23" s="101">
        <f>(AK70+AK152+AK169+AK179+AK183)*(AF23/(AF15+AF16+AF17+AF20+AF23))</f>
        <v>2859.1818249060434</v>
      </c>
      <c r="AL23" s="99">
        <f t="shared" si="6"/>
        <v>10740.380473580832</v>
      </c>
      <c r="AM23" s="101">
        <f>(AM70+AM152+AM169+AM179+AM183)*(AH23/(AH15+AH16+AH17+AH20+AH23))</f>
        <v>2560.6702328203892</v>
      </c>
      <c r="AN23" s="101">
        <f>(AN70+AN152+AN169+AN179+AN183)*(AI23/(AI15+AI16+AI17+AI20+AI23))</f>
        <v>2764.3011463577182</v>
      </c>
      <c r="AO23" s="101">
        <f>(AO70+AO152+AO169+AO179+AO183)*(AJ23/(AJ15+AJ16+AJ17+AJ20+AJ23))</f>
        <v>2689.0812279615807</v>
      </c>
      <c r="AP23" s="101">
        <f>(AP70+AP152+AP169+AP179+AP183)*(AK23/(AK15+AK16+AK17+AK20+AK23))</f>
        <v>2901.6974968934014</v>
      </c>
      <c r="AQ23" s="99">
        <f t="shared" si="7"/>
        <v>10915.750104033088</v>
      </c>
    </row>
    <row r="24" spans="2:47" s="106" customFormat="1" ht="17.25" customHeight="1" x14ac:dyDescent="0.4">
      <c r="B24" s="293" t="s">
        <v>67</v>
      </c>
      <c r="C24" s="102"/>
      <c r="D24" s="104">
        <f t="shared" ref="D24:AQ24" si="8">SUM(D15:D23)</f>
        <v>11135</v>
      </c>
      <c r="E24" s="104">
        <f t="shared" si="8"/>
        <v>11316</v>
      </c>
      <c r="F24" s="104">
        <f t="shared" si="8"/>
        <v>11790</v>
      </c>
      <c r="G24" s="104">
        <f t="shared" si="8"/>
        <v>13047</v>
      </c>
      <c r="H24" s="105">
        <f t="shared" si="8"/>
        <v>47288</v>
      </c>
      <c r="I24" s="104">
        <f t="shared" si="8"/>
        <v>13511</v>
      </c>
      <c r="J24" s="104">
        <f t="shared" si="8"/>
        <v>13876</v>
      </c>
      <c r="K24" s="104">
        <f t="shared" si="8"/>
        <v>14085</v>
      </c>
      <c r="L24" s="104">
        <f t="shared" si="8"/>
        <v>14281</v>
      </c>
      <c r="M24" s="105">
        <f t="shared" si="8"/>
        <v>55753</v>
      </c>
      <c r="N24" s="104">
        <f t="shared" si="8"/>
        <v>14326</v>
      </c>
      <c r="O24" s="104">
        <f t="shared" si="8"/>
        <v>15198</v>
      </c>
      <c r="P24" s="104">
        <f t="shared" si="8"/>
        <v>15668</v>
      </c>
      <c r="Q24" s="104">
        <f t="shared" si="8"/>
        <v>15986</v>
      </c>
      <c r="R24" s="105">
        <f t="shared" si="8"/>
        <v>61178</v>
      </c>
      <c r="S24" s="104">
        <f>SUM(S15:S23)</f>
        <v>15981</v>
      </c>
      <c r="T24" s="104">
        <f t="shared" si="8"/>
        <v>16656</v>
      </c>
      <c r="U24" s="104">
        <f t="shared" si="8"/>
        <v>16099</v>
      </c>
      <c r="V24" s="104">
        <f t="shared" si="8"/>
        <v>16610.845243492</v>
      </c>
      <c r="W24" s="103">
        <f t="shared" si="8"/>
        <v>65346.845243492004</v>
      </c>
      <c r="X24" s="104">
        <f t="shared" si="8"/>
        <v>16299.058589690314</v>
      </c>
      <c r="Y24" s="104">
        <f t="shared" si="8"/>
        <v>17032.562716156899</v>
      </c>
      <c r="Z24" s="104">
        <f t="shared" si="8"/>
        <v>16662.037890072079</v>
      </c>
      <c r="AA24" s="104">
        <f t="shared" si="8"/>
        <v>17031.365628076128</v>
      </c>
      <c r="AB24" s="105">
        <f t="shared" si="8"/>
        <v>67025.024823995424</v>
      </c>
      <c r="AC24" s="104">
        <f t="shared" si="8"/>
        <v>16481.211668479009</v>
      </c>
      <c r="AD24" s="104">
        <f t="shared" si="8"/>
        <v>17239.337001032676</v>
      </c>
      <c r="AE24" s="104">
        <f t="shared" si="8"/>
        <v>16922.664059624534</v>
      </c>
      <c r="AF24" s="104">
        <f t="shared" si="8"/>
        <v>17295.570835739716</v>
      </c>
      <c r="AG24" s="103">
        <f t="shared" si="8"/>
        <v>67938.783564875921</v>
      </c>
      <c r="AH24" s="104">
        <f t="shared" si="8"/>
        <v>16938.342059882278</v>
      </c>
      <c r="AI24" s="104">
        <f t="shared" si="8"/>
        <v>17699.615464081664</v>
      </c>
      <c r="AJ24" s="104">
        <f t="shared" si="8"/>
        <v>17383.335692678447</v>
      </c>
      <c r="AK24" s="104">
        <f t="shared" si="8"/>
        <v>17734.554996405266</v>
      </c>
      <c r="AL24" s="103">
        <f t="shared" si="8"/>
        <v>69755.848213047648</v>
      </c>
      <c r="AM24" s="104">
        <f t="shared" si="8"/>
        <v>17325.753035345922</v>
      </c>
      <c r="AN24" s="104">
        <f t="shared" si="8"/>
        <v>18084.678294951795</v>
      </c>
      <c r="AO24" s="104">
        <f t="shared" si="8"/>
        <v>17765.801277443199</v>
      </c>
      <c r="AP24" s="104">
        <f t="shared" si="8"/>
        <v>18096.212243787541</v>
      </c>
      <c r="AQ24" s="103">
        <f t="shared" si="8"/>
        <v>71272.444851528446</v>
      </c>
    </row>
    <row r="25" spans="2:47" x14ac:dyDescent="0.25">
      <c r="B25" s="293" t="s">
        <v>163</v>
      </c>
      <c r="C25" s="97"/>
      <c r="D25" s="109">
        <f t="shared" ref="D25:AQ25" si="9">D13-D24</f>
        <v>1144</v>
      </c>
      <c r="E25" s="109">
        <f t="shared" si="9"/>
        <v>1137</v>
      </c>
      <c r="F25" s="109">
        <f t="shared" si="9"/>
        <v>864</v>
      </c>
      <c r="G25" s="109">
        <f t="shared" si="9"/>
        <v>-68</v>
      </c>
      <c r="H25" s="110">
        <f t="shared" si="9"/>
        <v>3077</v>
      </c>
      <c r="I25" s="109">
        <f>I13-I24</f>
        <v>1152</v>
      </c>
      <c r="J25" s="109">
        <f t="shared" si="9"/>
        <v>1055</v>
      </c>
      <c r="K25" s="109">
        <f t="shared" si="9"/>
        <v>912</v>
      </c>
      <c r="L25" s="109">
        <f t="shared" si="9"/>
        <v>1447</v>
      </c>
      <c r="M25" s="110">
        <f t="shared" si="9"/>
        <v>4566</v>
      </c>
      <c r="N25" s="109">
        <f t="shared" si="9"/>
        <v>971</v>
      </c>
      <c r="O25" s="109">
        <f t="shared" si="9"/>
        <v>1115</v>
      </c>
      <c r="P25" s="109">
        <f t="shared" si="9"/>
        <v>858</v>
      </c>
      <c r="Q25" s="109">
        <f t="shared" si="9"/>
        <v>1328.1257859999969</v>
      </c>
      <c r="R25" s="110">
        <f t="shared" si="9"/>
        <v>4272.1257859999969</v>
      </c>
      <c r="S25" s="109">
        <f>S13-S24</f>
        <v>1071</v>
      </c>
      <c r="T25" s="109">
        <f t="shared" si="9"/>
        <v>1168</v>
      </c>
      <c r="U25" s="109">
        <f t="shared" si="9"/>
        <v>911</v>
      </c>
      <c r="V25" s="109">
        <f t="shared" si="9"/>
        <v>1395.2367224103</v>
      </c>
      <c r="W25" s="108">
        <f t="shared" si="9"/>
        <v>4545.2367224102927</v>
      </c>
      <c r="X25" s="109">
        <f t="shared" si="9"/>
        <v>1135.7695419487536</v>
      </c>
      <c r="Y25" s="109">
        <f t="shared" si="9"/>
        <v>1179.0108000514811</v>
      </c>
      <c r="Z25" s="109">
        <f t="shared" si="9"/>
        <v>883.52223232614051</v>
      </c>
      <c r="AA25" s="109">
        <f t="shared" si="9"/>
        <v>1574.1948295451875</v>
      </c>
      <c r="AB25" s="110">
        <f t="shared" si="9"/>
        <v>4772.4974038715591</v>
      </c>
      <c r="AC25" s="109">
        <f t="shared" si="9"/>
        <v>1334.7172407860744</v>
      </c>
      <c r="AD25" s="109">
        <f t="shared" si="9"/>
        <v>1324.9611925169447</v>
      </c>
      <c r="AE25" s="109">
        <f t="shared" si="9"/>
        <v>982.80102696293034</v>
      </c>
      <c r="AF25" s="109">
        <f t="shared" si="9"/>
        <v>1648.5747808981687</v>
      </c>
      <c r="AG25" s="108">
        <f t="shared" si="9"/>
        <v>5291.0542411641363</v>
      </c>
      <c r="AH25" s="109">
        <f t="shared" si="9"/>
        <v>1218.7275975031516</v>
      </c>
      <c r="AI25" s="109">
        <f t="shared" si="9"/>
        <v>1167.7554164456596</v>
      </c>
      <c r="AJ25" s="109">
        <f t="shared" si="9"/>
        <v>829.41385808449195</v>
      </c>
      <c r="AK25" s="109">
        <f t="shared" si="9"/>
        <v>1500.3474153911338</v>
      </c>
      <c r="AL25" s="108">
        <f t="shared" si="9"/>
        <v>4716.2442874244443</v>
      </c>
      <c r="AM25" s="109">
        <f t="shared" si="9"/>
        <v>1120.5292254668166</v>
      </c>
      <c r="AN25" s="109">
        <f t="shared" si="9"/>
        <v>1029.4256714155599</v>
      </c>
      <c r="AO25" s="109">
        <f t="shared" si="9"/>
        <v>696.86852512665064</v>
      </c>
      <c r="AP25" s="109">
        <f t="shared" si="9"/>
        <v>1368.3857602004864</v>
      </c>
      <c r="AQ25" s="108">
        <f t="shared" si="9"/>
        <v>4215.2091822095244</v>
      </c>
    </row>
    <row r="26" spans="2:47" s="553" customFormat="1" ht="17.25" outlineLevel="1" x14ac:dyDescent="0.4">
      <c r="B26" s="548" t="s">
        <v>356</v>
      </c>
      <c r="C26" s="549"/>
      <c r="D26" s="550">
        <f t="shared" ref="D26:T26" si="10">+D239+D241+D245+D251</f>
        <v>0</v>
      </c>
      <c r="E26" s="550">
        <f t="shared" si="10"/>
        <v>0</v>
      </c>
      <c r="F26" s="550">
        <f t="shared" si="10"/>
        <v>0</v>
      </c>
      <c r="G26" s="550">
        <f t="shared" si="10"/>
        <v>0</v>
      </c>
      <c r="H26" s="551">
        <f t="shared" si="10"/>
        <v>0</v>
      </c>
      <c r="I26" s="550">
        <f t="shared" si="10"/>
        <v>67.5</v>
      </c>
      <c r="J26" s="550">
        <f t="shared" si="10"/>
        <v>57.5</v>
      </c>
      <c r="K26" s="550">
        <f t="shared" si="10"/>
        <v>78</v>
      </c>
      <c r="L26" s="550">
        <f t="shared" si="10"/>
        <v>185</v>
      </c>
      <c r="M26" s="551">
        <f>+M239+M241+M245+M251</f>
        <v>388</v>
      </c>
      <c r="N26" s="550">
        <f t="shared" si="10"/>
        <v>119</v>
      </c>
      <c r="O26" s="550">
        <f t="shared" si="10"/>
        <v>122</v>
      </c>
      <c r="P26" s="550">
        <f t="shared" si="10"/>
        <v>106</v>
      </c>
      <c r="Q26" s="550">
        <f t="shared" si="10"/>
        <v>507</v>
      </c>
      <c r="R26" s="551">
        <f t="shared" si="10"/>
        <v>855</v>
      </c>
      <c r="S26" s="550">
        <f t="shared" si="10"/>
        <v>121</v>
      </c>
      <c r="T26" s="550">
        <f t="shared" si="10"/>
        <v>160</v>
      </c>
      <c r="U26" s="550">
        <f>+U239+U241+U245+U251+U247</f>
        <v>73</v>
      </c>
      <c r="V26" s="550">
        <f>+V239+V241+V245+V251+V247</f>
        <v>427.00000000000028</v>
      </c>
      <c r="W26" s="552">
        <f>+W239+W241+W245+W251+W247</f>
        <v>781.00000000000023</v>
      </c>
      <c r="X26" s="550">
        <f t="shared" ref="X26:AA26" si="11">+X239+X241+X245+X251+X247</f>
        <v>193.75</v>
      </c>
      <c r="Y26" s="550">
        <f t="shared" si="11"/>
        <v>143.75</v>
      </c>
      <c r="Z26" s="550">
        <f t="shared" si="11"/>
        <v>81.25</v>
      </c>
      <c r="AA26" s="550">
        <f t="shared" si="11"/>
        <v>-31.249999999999943</v>
      </c>
      <c r="AB26" s="552">
        <f>+AB239+AB241+AB245+AB251+AB247</f>
        <v>387.50000000000006</v>
      </c>
      <c r="AC26" s="550">
        <f t="shared" ref="AC26:AF26" si="12">+AC239+AC241+AC245+AC251+AC247</f>
        <v>50</v>
      </c>
      <c r="AD26" s="550">
        <f t="shared" si="12"/>
        <v>50</v>
      </c>
      <c r="AE26" s="550">
        <f t="shared" si="12"/>
        <v>10</v>
      </c>
      <c r="AF26" s="550">
        <f t="shared" si="12"/>
        <v>-55.00000000000005</v>
      </c>
      <c r="AG26" s="552">
        <f>+AG239+AG241+AG245+AG251+AG247</f>
        <v>54.99999999999995</v>
      </c>
      <c r="AH26" s="550">
        <f t="shared" ref="AH26:AK26" si="13">+AH239+AH241+AH245+AH251+AH247</f>
        <v>0</v>
      </c>
      <c r="AI26" s="550">
        <f t="shared" si="13"/>
        <v>0</v>
      </c>
      <c r="AJ26" s="550">
        <f t="shared" si="13"/>
        <v>0</v>
      </c>
      <c r="AK26" s="550">
        <f t="shared" si="13"/>
        <v>-55.00000000000005</v>
      </c>
      <c r="AL26" s="552">
        <f>+AL239+AL241+AL245+AL251+AL247</f>
        <v>-55.00000000000005</v>
      </c>
      <c r="AM26" s="550">
        <f t="shared" ref="AM26:AP26" si="14">+AM239+AM241+AM245+AM251+AM247</f>
        <v>0</v>
      </c>
      <c r="AN26" s="550">
        <f t="shared" si="14"/>
        <v>0</v>
      </c>
      <c r="AO26" s="550">
        <f t="shared" si="14"/>
        <v>0</v>
      </c>
      <c r="AP26" s="550">
        <f t="shared" si="14"/>
        <v>-55.00000000000005</v>
      </c>
      <c r="AQ26" s="552">
        <f>+AQ239+AQ241+AQ245+AQ251+AQ247</f>
        <v>-55.00000000000005</v>
      </c>
    </row>
    <row r="27" spans="2:47" s="553" customFormat="1" outlineLevel="1" x14ac:dyDescent="0.25">
      <c r="B27" s="554" t="s">
        <v>357</v>
      </c>
      <c r="C27" s="555"/>
      <c r="D27" s="556">
        <f t="shared" ref="D27:AP27" si="15">+D25+D26</f>
        <v>1144</v>
      </c>
      <c r="E27" s="556">
        <f t="shared" si="15"/>
        <v>1137</v>
      </c>
      <c r="F27" s="556">
        <f t="shared" si="15"/>
        <v>864</v>
      </c>
      <c r="G27" s="556">
        <f t="shared" si="15"/>
        <v>-68</v>
      </c>
      <c r="H27" s="557">
        <f t="shared" si="15"/>
        <v>3077</v>
      </c>
      <c r="I27" s="556">
        <f t="shared" si="15"/>
        <v>1219.5</v>
      </c>
      <c r="J27" s="556">
        <f t="shared" si="15"/>
        <v>1112.5</v>
      </c>
      <c r="K27" s="556">
        <f t="shared" si="15"/>
        <v>990</v>
      </c>
      <c r="L27" s="556">
        <f t="shared" si="15"/>
        <v>1632</v>
      </c>
      <c r="M27" s="557">
        <f>+M25+M26</f>
        <v>4954</v>
      </c>
      <c r="N27" s="556">
        <f t="shared" si="15"/>
        <v>1090</v>
      </c>
      <c r="O27" s="556">
        <f t="shared" si="15"/>
        <v>1237</v>
      </c>
      <c r="P27" s="556">
        <f t="shared" si="15"/>
        <v>964</v>
      </c>
      <c r="Q27" s="556">
        <f t="shared" si="15"/>
        <v>1835.1257859999969</v>
      </c>
      <c r="R27" s="557">
        <f t="shared" si="15"/>
        <v>5127.1257859999969</v>
      </c>
      <c r="S27" s="556">
        <f>+S25+S26</f>
        <v>1192</v>
      </c>
      <c r="T27" s="556">
        <f t="shared" si="15"/>
        <v>1328</v>
      </c>
      <c r="U27" s="556">
        <f t="shared" si="15"/>
        <v>984</v>
      </c>
      <c r="V27" s="556">
        <f t="shared" si="15"/>
        <v>1822.2367224103002</v>
      </c>
      <c r="W27" s="558">
        <f t="shared" si="15"/>
        <v>5326.2367224102927</v>
      </c>
      <c r="X27" s="556">
        <f t="shared" si="15"/>
        <v>1329.5195419487536</v>
      </c>
      <c r="Y27" s="556">
        <f t="shared" si="15"/>
        <v>1322.7608000514811</v>
      </c>
      <c r="Z27" s="556">
        <f t="shared" si="15"/>
        <v>964.77223232614051</v>
      </c>
      <c r="AA27" s="556">
        <f t="shared" si="15"/>
        <v>1542.9448295451875</v>
      </c>
      <c r="AB27" s="558">
        <f t="shared" ref="AB27" si="16">+AB25+AB26</f>
        <v>5159.9974038715591</v>
      </c>
      <c r="AC27" s="556">
        <f t="shared" si="15"/>
        <v>1384.7172407860744</v>
      </c>
      <c r="AD27" s="556">
        <f t="shared" si="15"/>
        <v>1374.9611925169447</v>
      </c>
      <c r="AE27" s="556">
        <f t="shared" si="15"/>
        <v>992.80102696293034</v>
      </c>
      <c r="AF27" s="556">
        <f t="shared" si="15"/>
        <v>1593.5747808981687</v>
      </c>
      <c r="AG27" s="558">
        <f t="shared" ref="AG27" si="17">+AG25+AG26</f>
        <v>5346.0542411641363</v>
      </c>
      <c r="AH27" s="556">
        <f t="shared" si="15"/>
        <v>1218.7275975031516</v>
      </c>
      <c r="AI27" s="556">
        <f t="shared" si="15"/>
        <v>1167.7554164456596</v>
      </c>
      <c r="AJ27" s="556">
        <f t="shared" si="15"/>
        <v>829.41385808449195</v>
      </c>
      <c r="AK27" s="556">
        <f t="shared" si="15"/>
        <v>1445.3474153911338</v>
      </c>
      <c r="AL27" s="558">
        <f t="shared" ref="AL27" si="18">+AL25+AL26</f>
        <v>4661.2442874244443</v>
      </c>
      <c r="AM27" s="556">
        <f t="shared" si="15"/>
        <v>1120.5292254668166</v>
      </c>
      <c r="AN27" s="556">
        <f t="shared" si="15"/>
        <v>1029.4256714155599</v>
      </c>
      <c r="AO27" s="556">
        <f t="shared" si="15"/>
        <v>696.86852512665064</v>
      </c>
      <c r="AP27" s="556">
        <f t="shared" si="15"/>
        <v>1313.3857602004864</v>
      </c>
      <c r="AQ27" s="558">
        <f t="shared" ref="AQ27" si="19">+AQ25+AQ26</f>
        <v>4160.2091822095244</v>
      </c>
    </row>
    <row r="28" spans="2:47" x14ac:dyDescent="0.25">
      <c r="B28" s="95" t="s">
        <v>164</v>
      </c>
      <c r="C28" s="97"/>
      <c r="D28" s="109"/>
      <c r="E28" s="109"/>
      <c r="F28" s="109"/>
      <c r="G28" s="109"/>
      <c r="H28" s="110"/>
      <c r="I28" s="109"/>
      <c r="J28" s="109"/>
      <c r="K28" s="109"/>
      <c r="L28" s="109"/>
      <c r="M28" s="110"/>
      <c r="N28" s="109"/>
      <c r="O28" s="109"/>
      <c r="P28" s="109"/>
      <c r="Q28" s="109"/>
      <c r="R28" s="110"/>
      <c r="S28" s="519"/>
      <c r="T28" s="109"/>
      <c r="U28" s="109"/>
      <c r="V28" s="109"/>
      <c r="W28" s="108"/>
      <c r="X28" s="109"/>
      <c r="Y28" s="109"/>
      <c r="Z28" s="109"/>
      <c r="AA28" s="109"/>
      <c r="AB28" s="110"/>
      <c r="AC28" s="109"/>
      <c r="AD28" s="109"/>
      <c r="AE28" s="109"/>
      <c r="AF28" s="109"/>
      <c r="AG28" s="108"/>
      <c r="AH28" s="109"/>
      <c r="AI28" s="109"/>
      <c r="AJ28" s="109"/>
      <c r="AK28" s="109"/>
      <c r="AL28" s="108"/>
      <c r="AM28" s="109"/>
      <c r="AN28" s="109"/>
      <c r="AO28" s="109"/>
      <c r="AP28" s="109"/>
      <c r="AQ28" s="108"/>
    </row>
    <row r="29" spans="2:47" outlineLevel="1" x14ac:dyDescent="0.25">
      <c r="B29" s="759" t="s">
        <v>339</v>
      </c>
      <c r="C29" s="760"/>
      <c r="D29" s="100"/>
      <c r="E29" s="100"/>
      <c r="F29" s="100"/>
      <c r="G29" s="100"/>
      <c r="H29" s="112">
        <v>-336</v>
      </c>
      <c r="I29" s="100"/>
      <c r="J29" s="100"/>
      <c r="K29" s="100"/>
      <c r="L29" s="100"/>
      <c r="M29" s="112">
        <v>-512</v>
      </c>
      <c r="N29" s="100"/>
      <c r="O29" s="100"/>
      <c r="P29" s="100"/>
      <c r="Q29" s="100"/>
      <c r="R29" s="112">
        <v>-558</v>
      </c>
      <c r="S29" s="100">
        <v>-203</v>
      </c>
      <c r="T29" s="242">
        <v>-150</v>
      </c>
      <c r="U29" s="242">
        <v>-150</v>
      </c>
      <c r="V29" s="100">
        <f>+(U271+U272+U277)*V231</f>
        <v>-154.72596409667574</v>
      </c>
      <c r="W29" s="94">
        <f>SUM(S29:V29)</f>
        <v>-657.72596409667574</v>
      </c>
      <c r="X29" s="100">
        <f>+(V271+V272+V277)*X231</f>
        <v>-161.8825442083143</v>
      </c>
      <c r="Y29" s="100">
        <f t="shared" ref="Y29:AA29" si="20">+(X271+X272+X277)*Y231</f>
        <v>-164.36861009876048</v>
      </c>
      <c r="Z29" s="100">
        <f t="shared" si="20"/>
        <v>-167.63419798402228</v>
      </c>
      <c r="AA29" s="100">
        <f t="shared" si="20"/>
        <v>-169.9095669695792</v>
      </c>
      <c r="AB29" s="112">
        <f>SUM(X29:AA29)</f>
        <v>-663.79491926067635</v>
      </c>
      <c r="AC29" s="100">
        <f>+(AA271+AA272+AA277)*AC231</f>
        <v>-176.08413480722388</v>
      </c>
      <c r="AD29" s="100">
        <f t="shared" ref="AD29:AF29" si="21">+(AC271+AC272+AC277)*AD231</f>
        <v>-180.05273667423361</v>
      </c>
      <c r="AE29" s="100">
        <f t="shared" si="21"/>
        <v>-184.14967185976522</v>
      </c>
      <c r="AF29" s="100">
        <f t="shared" si="21"/>
        <v>-186.33423527277361</v>
      </c>
      <c r="AG29" s="94">
        <f>SUM(AC29:AF29)</f>
        <v>-726.62077861399632</v>
      </c>
      <c r="AH29" s="100">
        <f>+(AF271+AF272+AF277)*AH231</f>
        <v>-192.35613417720114</v>
      </c>
      <c r="AI29" s="100">
        <f t="shared" ref="AI29:AK29" si="22">+(AH271+AH272+AH277)*AI231</f>
        <v>-194.94835031862391</v>
      </c>
      <c r="AJ29" s="100">
        <f t="shared" si="22"/>
        <v>-197.39776259705457</v>
      </c>
      <c r="AK29" s="100">
        <f t="shared" si="22"/>
        <v>-198.04707131875327</v>
      </c>
      <c r="AL29" s="94">
        <f>SUM(AH29:AK29)</f>
        <v>-782.74931841163288</v>
      </c>
      <c r="AM29" s="100">
        <f>+(AK271+AK272+AK277)*AM231</f>
        <v>-202.73238893476335</v>
      </c>
      <c r="AN29" s="100">
        <f t="shared" ref="AN29:AP29" si="23">+(AM271+AM272+AM277)*AN231</f>
        <v>-205.13080859257778</v>
      </c>
      <c r="AO29" s="100">
        <f t="shared" si="23"/>
        <v>-207.18349697469827</v>
      </c>
      <c r="AP29" s="100">
        <f t="shared" si="23"/>
        <v>-207.54562597437388</v>
      </c>
      <c r="AQ29" s="94">
        <f>SUM(AM29:AP29)</f>
        <v>-822.59232047641331</v>
      </c>
    </row>
    <row r="30" spans="2:47" ht="17.25" outlineLevel="1" x14ac:dyDescent="0.4">
      <c r="B30" s="301" t="s">
        <v>340</v>
      </c>
      <c r="C30" s="302"/>
      <c r="D30" s="100"/>
      <c r="E30" s="100"/>
      <c r="F30" s="100"/>
      <c r="G30" s="100"/>
      <c r="H30" s="153">
        <v>21</v>
      </c>
      <c r="I30" s="100"/>
      <c r="J30" s="100"/>
      <c r="K30" s="100"/>
      <c r="L30" s="100"/>
      <c r="M30" s="153">
        <v>33</v>
      </c>
      <c r="N30" s="100"/>
      <c r="O30" s="100"/>
      <c r="P30" s="100"/>
      <c r="Q30" s="100"/>
      <c r="R30" s="153">
        <v>48</v>
      </c>
      <c r="S30" s="240">
        <v>91</v>
      </c>
      <c r="T30" s="240">
        <v>21</v>
      </c>
      <c r="U30" s="240">
        <f>-135+150</f>
        <v>15</v>
      </c>
      <c r="V30" s="101">
        <f>+(U258)*V230/4</f>
        <v>4.312283993011274</v>
      </c>
      <c r="W30" s="99">
        <f>SUM(S30:V30)</f>
        <v>131.31228399301128</v>
      </c>
      <c r="X30" s="101">
        <f>+(V258)*X230/4</f>
        <v>6.1477941803379492</v>
      </c>
      <c r="Y30" s="101">
        <f>+(X258)*Y230/4</f>
        <v>5.8959866859673884</v>
      </c>
      <c r="Z30" s="101">
        <f>+(Y258)*Z230/4</f>
        <v>6.3018140477278308</v>
      </c>
      <c r="AA30" s="101">
        <f>+(Z258)*AA230/4</f>
        <v>6.5581083753598621</v>
      </c>
      <c r="AB30" s="153">
        <f>SUM(X30:AA30)</f>
        <v>24.903703289393029</v>
      </c>
      <c r="AC30" s="101">
        <f>+(AA258)*AC230/4</f>
        <v>9.4938299954488965</v>
      </c>
      <c r="AD30" s="101">
        <f>+(AC258)*AD230/4</f>
        <v>9.2143132229535762</v>
      </c>
      <c r="AE30" s="101">
        <f>+(AD258)*AE230/4</f>
        <v>10.515601943296021</v>
      </c>
      <c r="AF30" s="101">
        <f>+(AE258)*AF230/4</f>
        <v>10.150914522945582</v>
      </c>
      <c r="AG30" s="99">
        <f>SUM(AC30:AF30)</f>
        <v>39.37465968464408</v>
      </c>
      <c r="AH30" s="101">
        <f>+(AF258)*AH230/4</f>
        <v>13.681958933121781</v>
      </c>
      <c r="AI30" s="101">
        <f>+(AH258)*AI230/4</f>
        <v>12.724705005010794</v>
      </c>
      <c r="AJ30" s="101">
        <f>+(AI258)*AJ230/4</f>
        <v>14.261121419396856</v>
      </c>
      <c r="AK30" s="101">
        <f>+(AJ258)*AK230/4</f>
        <v>13.144558649992616</v>
      </c>
      <c r="AL30" s="99">
        <f>SUM(AH30:AK30)</f>
        <v>53.81234400752205</v>
      </c>
      <c r="AM30" s="101">
        <f>+(AK258)*AM230/4</f>
        <v>17.115725988382078</v>
      </c>
      <c r="AN30" s="101">
        <f>+(AM258)*AN230/4</f>
        <v>15.629798226718648</v>
      </c>
      <c r="AO30" s="101">
        <f>+(AN258)*AO230/4</f>
        <v>17.816468285791636</v>
      </c>
      <c r="AP30" s="101">
        <f>+(AO258)*AP230/4</f>
        <v>16.114525045784955</v>
      </c>
      <c r="AQ30" s="99">
        <f>SUM(AM30:AP30)</f>
        <v>66.676517546677317</v>
      </c>
      <c r="AU30" s="527"/>
    </row>
    <row r="31" spans="2:47" s="55" customFormat="1" outlineLevel="1" x14ac:dyDescent="0.25">
      <c r="B31" s="268" t="s">
        <v>341</v>
      </c>
      <c r="C31" s="294"/>
      <c r="D31" s="109">
        <v>-63</v>
      </c>
      <c r="E31" s="109">
        <v>-74</v>
      </c>
      <c r="F31" s="109">
        <v>-81</v>
      </c>
      <c r="G31" s="109">
        <v>-97</v>
      </c>
      <c r="H31" s="110">
        <f>SUM(H29:H30)</f>
        <v>-315</v>
      </c>
      <c r="I31" s="109">
        <v>-113</v>
      </c>
      <c r="J31" s="109">
        <v>-119</v>
      </c>
      <c r="K31" s="109">
        <v>-122</v>
      </c>
      <c r="L31" s="109">
        <v>-125</v>
      </c>
      <c r="M31" s="110">
        <f>SUM(M29:M30)</f>
        <v>-479</v>
      </c>
      <c r="N31" s="109">
        <v>-114</v>
      </c>
      <c r="O31" s="109">
        <v>-124</v>
      </c>
      <c r="P31" s="109">
        <v>-125</v>
      </c>
      <c r="Q31" s="109">
        <v>-147</v>
      </c>
      <c r="R31" s="110">
        <f>SUM(R29:R30)</f>
        <v>-510</v>
      </c>
      <c r="S31" s="109">
        <f>SUM(S29:S30)</f>
        <v>-112</v>
      </c>
      <c r="T31" s="109">
        <f t="shared" ref="T31:AQ31" si="24">SUM(T29:T30)</f>
        <v>-129</v>
      </c>
      <c r="U31" s="109">
        <f t="shared" si="24"/>
        <v>-135</v>
      </c>
      <c r="V31" s="109">
        <f t="shared" si="24"/>
        <v>-150.41368010366446</v>
      </c>
      <c r="W31" s="108">
        <f t="shared" si="24"/>
        <v>-526.41368010366443</v>
      </c>
      <c r="X31" s="109">
        <f t="shared" si="24"/>
        <v>-155.73475002797636</v>
      </c>
      <c r="Y31" s="109">
        <f t="shared" si="24"/>
        <v>-158.4726234127931</v>
      </c>
      <c r="Z31" s="109">
        <f t="shared" si="24"/>
        <v>-161.33238393629443</v>
      </c>
      <c r="AA31" s="109">
        <f t="shared" si="24"/>
        <v>-163.35145859421934</v>
      </c>
      <c r="AB31" s="110">
        <f t="shared" si="24"/>
        <v>-638.89121597128337</v>
      </c>
      <c r="AC31" s="109">
        <f t="shared" si="24"/>
        <v>-166.59030481177498</v>
      </c>
      <c r="AD31" s="109">
        <f t="shared" si="24"/>
        <v>-170.83842345128005</v>
      </c>
      <c r="AE31" s="109">
        <f t="shared" si="24"/>
        <v>-173.6340699164692</v>
      </c>
      <c r="AF31" s="109">
        <f t="shared" si="24"/>
        <v>-176.18332074982803</v>
      </c>
      <c r="AG31" s="108">
        <f t="shared" si="24"/>
        <v>-687.24611892935229</v>
      </c>
      <c r="AH31" s="109">
        <f t="shared" si="24"/>
        <v>-178.67417524407935</v>
      </c>
      <c r="AI31" s="109">
        <f t="shared" si="24"/>
        <v>-182.2236453136131</v>
      </c>
      <c r="AJ31" s="109">
        <f t="shared" si="24"/>
        <v>-183.13664117765771</v>
      </c>
      <c r="AK31" s="109">
        <f t="shared" si="24"/>
        <v>-184.90251266876066</v>
      </c>
      <c r="AL31" s="108">
        <f t="shared" si="24"/>
        <v>-728.93697440411086</v>
      </c>
      <c r="AM31" s="109">
        <f t="shared" si="24"/>
        <v>-185.61666294638127</v>
      </c>
      <c r="AN31" s="109">
        <f t="shared" si="24"/>
        <v>-189.50101036585914</v>
      </c>
      <c r="AO31" s="109">
        <f t="shared" si="24"/>
        <v>-189.36702868890663</v>
      </c>
      <c r="AP31" s="109">
        <f t="shared" si="24"/>
        <v>-191.43110092858893</v>
      </c>
      <c r="AQ31" s="108">
        <f t="shared" si="24"/>
        <v>-755.91580292973595</v>
      </c>
      <c r="AU31" s="528"/>
    </row>
    <row r="32" spans="2:47" outlineLevel="1" x14ac:dyDescent="0.25">
      <c r="B32" s="759" t="s">
        <v>508</v>
      </c>
      <c r="C32" s="760"/>
      <c r="D32" s="100"/>
      <c r="E32" s="100"/>
      <c r="F32" s="100"/>
      <c r="G32" s="100"/>
      <c r="H32" s="112">
        <f>SUM(D32:G32)</f>
        <v>0</v>
      </c>
      <c r="I32" s="100">
        <v>112</v>
      </c>
      <c r="J32" s="100">
        <v>112</v>
      </c>
      <c r="K32" s="100">
        <v>113</v>
      </c>
      <c r="L32" s="100">
        <v>134</v>
      </c>
      <c r="M32" s="112">
        <f>SUM(I32:L32)</f>
        <v>471</v>
      </c>
      <c r="N32" s="100">
        <v>146</v>
      </c>
      <c r="O32" s="100">
        <v>147</v>
      </c>
      <c r="P32" s="100">
        <v>143</v>
      </c>
      <c r="Q32" s="100">
        <v>162</v>
      </c>
      <c r="R32" s="112">
        <f>SUM(N32:Q32)</f>
        <v>598</v>
      </c>
      <c r="S32" s="100">
        <v>158</v>
      </c>
      <c r="T32" s="100">
        <v>158</v>
      </c>
      <c r="U32" s="100">
        <v>158</v>
      </c>
      <c r="V32" s="242">
        <f>AVERAGE(U32,T32,S32,Q32)</f>
        <v>159</v>
      </c>
      <c r="W32" s="112">
        <f>SUM(S32:V32)</f>
        <v>633</v>
      </c>
      <c r="X32" s="242">
        <f>AVERAGE(V32,U32,T32,S32)</f>
        <v>158.25</v>
      </c>
      <c r="Y32" s="242">
        <f>AVERAGE(X32,V32,U32,T32)</f>
        <v>158.3125</v>
      </c>
      <c r="Z32" s="242">
        <f>AVERAGE(Y32,X32,V32,U32)</f>
        <v>158.390625</v>
      </c>
      <c r="AA32" s="242">
        <f>AVERAGE(Z32,Y32,X32,V32)</f>
        <v>158.48828125</v>
      </c>
      <c r="AB32" s="112">
        <f>SUM(X32:AA32)</f>
        <v>633.44140625</v>
      </c>
      <c r="AC32" s="242">
        <f>AVERAGE(AA32,Z32,Y32,X32)</f>
        <v>158.3603515625</v>
      </c>
      <c r="AD32" s="242">
        <f>AVERAGE(AC32,AA32,Z32,Y32)</f>
        <v>158.387939453125</v>
      </c>
      <c r="AE32" s="242">
        <f>AVERAGE(AD32,AC32,AA32,Z32)</f>
        <v>158.40679931640625</v>
      </c>
      <c r="AF32" s="242">
        <f>AVERAGE(AE32,AD32,AC32,AA32)</f>
        <v>158.41084289550781</v>
      </c>
      <c r="AG32" s="112">
        <f>SUM(AC32:AF32)</f>
        <v>633.56593322753906</v>
      </c>
      <c r="AH32" s="242">
        <f>AVERAGE(AF32,AE32,AD32,AC32)</f>
        <v>158.39148330688477</v>
      </c>
      <c r="AI32" s="242">
        <f>AVERAGE(AH32,AF32,AE32,AD32)</f>
        <v>158.39926624298096</v>
      </c>
      <c r="AJ32" s="242">
        <f>AVERAGE(AI32,AH32,AF32,AE32)</f>
        <v>158.40209794044495</v>
      </c>
      <c r="AK32" s="242">
        <f>AVERAGE(AJ32,AI32,AH32,AF32)</f>
        <v>158.40092259645462</v>
      </c>
      <c r="AL32" s="112">
        <f>SUM(AH32:AK32)</f>
        <v>633.59377008676529</v>
      </c>
      <c r="AM32" s="242">
        <f>AVERAGE(AK32,AJ32,AI32,AH32)</f>
        <v>158.39844252169132</v>
      </c>
      <c r="AN32" s="242">
        <f>AVERAGE(AM32,AK32,AJ32,AI32)</f>
        <v>158.40018232539296</v>
      </c>
      <c r="AO32" s="242">
        <f>AVERAGE(AN32,AM32,AK32,AJ32)</f>
        <v>158.40041134599596</v>
      </c>
      <c r="AP32" s="242">
        <f>AVERAGE(AO32,AN32,AM32,AK32)</f>
        <v>158.39998969738372</v>
      </c>
      <c r="AQ32" s="112">
        <f>SUM(AM32:AP32)</f>
        <v>633.59902589046396</v>
      </c>
    </row>
    <row r="33" spans="1:43" ht="17.25" outlineLevel="1" x14ac:dyDescent="0.4">
      <c r="B33" s="759" t="s">
        <v>165</v>
      </c>
      <c r="C33" s="760"/>
      <c r="D33" s="101">
        <v>3</v>
      </c>
      <c r="E33" s="101">
        <v>-8</v>
      </c>
      <c r="F33" s="101">
        <v>-1</v>
      </c>
      <c r="G33" s="101">
        <v>-16</v>
      </c>
      <c r="H33" s="153">
        <f>SUM(D33:G33)</f>
        <v>-22</v>
      </c>
      <c r="I33" s="101">
        <v>-9</v>
      </c>
      <c r="J33" s="101">
        <v>30</v>
      </c>
      <c r="K33" s="101">
        <v>-4</v>
      </c>
      <c r="L33" s="101">
        <v>4</v>
      </c>
      <c r="M33" s="153">
        <f>SUM(I33:L33)</f>
        <v>21</v>
      </c>
      <c r="N33" s="101">
        <v>-21</v>
      </c>
      <c r="O33" s="101">
        <v>1</v>
      </c>
      <c r="P33" s="101">
        <v>-2</v>
      </c>
      <c r="Q33" s="198">
        <v>15</v>
      </c>
      <c r="R33" s="153">
        <f>SUM(N33:Q33)</f>
        <v>-7</v>
      </c>
      <c r="S33" s="198">
        <v>-16</v>
      </c>
      <c r="T33" s="198">
        <v>-20</v>
      </c>
      <c r="U33" s="198">
        <v>-3</v>
      </c>
      <c r="V33" s="218">
        <v>-1</v>
      </c>
      <c r="W33" s="99">
        <f>SUM(S33:V33)</f>
        <v>-40</v>
      </c>
      <c r="X33" s="218">
        <f>AVERAGE(V33,U33,T33,S33)</f>
        <v>-10</v>
      </c>
      <c r="Y33" s="218">
        <f>AVERAGE(X33,V33,U33,T33)</f>
        <v>-8.5</v>
      </c>
      <c r="Z33" s="218">
        <f>AVERAGE(Y33,X33,V33,U33)</f>
        <v>-5.625</v>
      </c>
      <c r="AA33" s="218">
        <f>AVERAGE(Z33,Y33,X33,V33)</f>
        <v>-6.28125</v>
      </c>
      <c r="AB33" s="153">
        <f>SUM(X33:AA33)</f>
        <v>-30.40625</v>
      </c>
      <c r="AC33" s="218">
        <f>AVERAGE(AA33,Z33,Y33,X33)</f>
        <v>-7.6015625</v>
      </c>
      <c r="AD33" s="218">
        <f>AVERAGE(AC33,AA33,Z33,Y33)</f>
        <v>-7.001953125</v>
      </c>
      <c r="AE33" s="218">
        <f>AVERAGE(AD33,AC33,AA33,Z33)</f>
        <v>-6.62744140625</v>
      </c>
      <c r="AF33" s="218">
        <f>AVERAGE(AE33,AD33,AC33,AA33)</f>
        <v>-6.8780517578125</v>
      </c>
      <c r="AG33" s="99">
        <f>SUM(AC33:AF33)</f>
        <v>-28.1090087890625</v>
      </c>
      <c r="AH33" s="218">
        <f>AVERAGE(AF33,AE33,AD33,AC33)</f>
        <v>-7.027252197265625</v>
      </c>
      <c r="AI33" s="218">
        <f>AVERAGE(AH33,AF33,AE33,AD33)</f>
        <v>-6.8836746215820313</v>
      </c>
      <c r="AJ33" s="218">
        <f>AVERAGE(AI33,AH33,AF33,AE33)</f>
        <v>-6.8541049957275391</v>
      </c>
      <c r="AK33" s="218">
        <f>AVERAGE(AJ33,AI33,AH33,AF33)</f>
        <v>-6.9107708930969238</v>
      </c>
      <c r="AL33" s="99">
        <f>SUM(AH33:AK33)</f>
        <v>-27.675802707672119</v>
      </c>
      <c r="AM33" s="218">
        <f>AVERAGE(AK33,AJ33,AI33,AH33)</f>
        <v>-6.9189506769180298</v>
      </c>
      <c r="AN33" s="218">
        <f>AVERAGE(AM33,AK33,AJ33,AI33)</f>
        <v>-6.891875296831131</v>
      </c>
      <c r="AO33" s="218">
        <f>AVERAGE(AN33,AM33,AK33,AJ33)</f>
        <v>-6.8939254656434059</v>
      </c>
      <c r="AP33" s="218">
        <f>AVERAGE(AO33,AN33,AM33,AK33)</f>
        <v>-6.9038805831223726</v>
      </c>
      <c r="AQ33" s="99">
        <f>SUM(AM33:AP33)</f>
        <v>-27.608632022514939</v>
      </c>
    </row>
    <row r="34" spans="1:43" ht="17.25" x14ac:dyDescent="0.4">
      <c r="B34" s="284" t="s">
        <v>87</v>
      </c>
      <c r="C34" s="283"/>
      <c r="D34" s="101">
        <f t="shared" ref="D34:G34" si="25">SUM(D31:D33)</f>
        <v>-60</v>
      </c>
      <c r="E34" s="101">
        <f t="shared" si="25"/>
        <v>-82</v>
      </c>
      <c r="F34" s="101">
        <f t="shared" si="25"/>
        <v>-82</v>
      </c>
      <c r="G34" s="101">
        <f t="shared" si="25"/>
        <v>-113</v>
      </c>
      <c r="H34" s="153">
        <f t="shared" ref="H34:AQ34" si="26">SUM(H31:H33)</f>
        <v>-337</v>
      </c>
      <c r="I34" s="101">
        <f t="shared" si="26"/>
        <v>-10</v>
      </c>
      <c r="J34" s="101">
        <f t="shared" si="26"/>
        <v>23</v>
      </c>
      <c r="K34" s="101">
        <f t="shared" si="26"/>
        <v>-13</v>
      </c>
      <c r="L34" s="101">
        <f t="shared" si="26"/>
        <v>13</v>
      </c>
      <c r="M34" s="153">
        <f t="shared" si="26"/>
        <v>13</v>
      </c>
      <c r="N34" s="101">
        <f t="shared" si="26"/>
        <v>11</v>
      </c>
      <c r="O34" s="101">
        <f t="shared" si="26"/>
        <v>24</v>
      </c>
      <c r="P34" s="101">
        <f t="shared" si="26"/>
        <v>16</v>
      </c>
      <c r="Q34" s="101">
        <f t="shared" si="26"/>
        <v>30</v>
      </c>
      <c r="R34" s="153">
        <f t="shared" si="26"/>
        <v>81</v>
      </c>
      <c r="S34" s="101">
        <f>SUM(S31:S33)</f>
        <v>30</v>
      </c>
      <c r="T34" s="101">
        <f>SUM(T31:T33)</f>
        <v>9</v>
      </c>
      <c r="U34" s="98">
        <f t="shared" si="26"/>
        <v>20</v>
      </c>
      <c r="V34" s="98">
        <f t="shared" si="26"/>
        <v>7.5863198963355387</v>
      </c>
      <c r="W34" s="99">
        <f t="shared" si="26"/>
        <v>66.586319896335567</v>
      </c>
      <c r="X34" s="98">
        <f t="shared" si="26"/>
        <v>-7.4847500279763608</v>
      </c>
      <c r="Y34" s="98">
        <f t="shared" si="26"/>
        <v>-8.6601234127930979</v>
      </c>
      <c r="Z34" s="98">
        <f t="shared" si="26"/>
        <v>-8.5667589362944341</v>
      </c>
      <c r="AA34" s="98">
        <f t="shared" si="26"/>
        <v>-11.144427344219338</v>
      </c>
      <c r="AB34" s="153">
        <f t="shared" si="26"/>
        <v>-35.856059721283373</v>
      </c>
      <c r="AC34" s="98">
        <f t="shared" si="26"/>
        <v>-15.831515749274985</v>
      </c>
      <c r="AD34" s="98">
        <f t="shared" si="26"/>
        <v>-19.45243712315505</v>
      </c>
      <c r="AE34" s="98">
        <f t="shared" si="26"/>
        <v>-21.854712006312951</v>
      </c>
      <c r="AF34" s="98">
        <f t="shared" si="26"/>
        <v>-24.650529612132715</v>
      </c>
      <c r="AG34" s="99">
        <f t="shared" si="26"/>
        <v>-81.78919449087573</v>
      </c>
      <c r="AH34" s="98">
        <f t="shared" si="26"/>
        <v>-27.30994413446021</v>
      </c>
      <c r="AI34" s="98">
        <f t="shared" si="26"/>
        <v>-30.708053692214179</v>
      </c>
      <c r="AJ34" s="98">
        <f t="shared" si="26"/>
        <v>-31.588648232940301</v>
      </c>
      <c r="AK34" s="98">
        <f t="shared" si="26"/>
        <v>-33.412360965402968</v>
      </c>
      <c r="AL34" s="99">
        <f t="shared" si="26"/>
        <v>-123.01900702501769</v>
      </c>
      <c r="AM34" s="98">
        <f t="shared" si="26"/>
        <v>-34.137171101607976</v>
      </c>
      <c r="AN34" s="98">
        <f t="shared" si="26"/>
        <v>-37.992703337297314</v>
      </c>
      <c r="AO34" s="98">
        <f t="shared" si="26"/>
        <v>-37.860542808554072</v>
      </c>
      <c r="AP34" s="98">
        <f t="shared" si="26"/>
        <v>-39.934991814327589</v>
      </c>
      <c r="AQ34" s="99">
        <f t="shared" si="26"/>
        <v>-149.92540906178692</v>
      </c>
    </row>
    <row r="35" spans="1:43" x14ac:dyDescent="0.25">
      <c r="B35" s="757" t="s">
        <v>166</v>
      </c>
      <c r="C35" s="758"/>
      <c r="D35" s="109">
        <f t="shared" ref="D35:AQ35" si="27">D25+D34</f>
        <v>1084</v>
      </c>
      <c r="E35" s="109">
        <f t="shared" si="27"/>
        <v>1055</v>
      </c>
      <c r="F35" s="109">
        <f t="shared" si="27"/>
        <v>782</v>
      </c>
      <c r="G35" s="109">
        <f t="shared" si="27"/>
        <v>-181</v>
      </c>
      <c r="H35" s="110">
        <f t="shared" si="27"/>
        <v>2740</v>
      </c>
      <c r="I35" s="109">
        <f t="shared" si="27"/>
        <v>1142</v>
      </c>
      <c r="J35" s="109">
        <f t="shared" si="27"/>
        <v>1078</v>
      </c>
      <c r="K35" s="109">
        <f t="shared" si="27"/>
        <v>899</v>
      </c>
      <c r="L35" s="109">
        <f t="shared" si="27"/>
        <v>1460</v>
      </c>
      <c r="M35" s="110">
        <f t="shared" si="27"/>
        <v>4579</v>
      </c>
      <c r="N35" s="109">
        <f t="shared" si="27"/>
        <v>982</v>
      </c>
      <c r="O35" s="109">
        <f t="shared" si="27"/>
        <v>1139</v>
      </c>
      <c r="P35" s="109">
        <f t="shared" si="27"/>
        <v>874</v>
      </c>
      <c r="Q35" s="109">
        <f t="shared" si="27"/>
        <v>1358.1257859999969</v>
      </c>
      <c r="R35" s="110">
        <f t="shared" si="27"/>
        <v>4353.1257859999969</v>
      </c>
      <c r="S35" s="109">
        <f>S25+S34</f>
        <v>1101</v>
      </c>
      <c r="T35" s="107">
        <f t="shared" si="27"/>
        <v>1177</v>
      </c>
      <c r="U35" s="107">
        <f t="shared" si="27"/>
        <v>931</v>
      </c>
      <c r="V35" s="107">
        <f t="shared" si="27"/>
        <v>1402.8230423066354</v>
      </c>
      <c r="W35" s="108">
        <f t="shared" si="27"/>
        <v>4611.8230423066279</v>
      </c>
      <c r="X35" s="107">
        <f t="shared" si="27"/>
        <v>1128.2847919207773</v>
      </c>
      <c r="Y35" s="107">
        <f t="shared" si="27"/>
        <v>1170.3506766386879</v>
      </c>
      <c r="Z35" s="107">
        <f t="shared" si="27"/>
        <v>874.95547338984602</v>
      </c>
      <c r="AA35" s="107">
        <f t="shared" si="27"/>
        <v>1563.0504022009682</v>
      </c>
      <c r="AB35" s="110">
        <f t="shared" si="27"/>
        <v>4736.6413441502755</v>
      </c>
      <c r="AC35" s="107">
        <f t="shared" si="27"/>
        <v>1318.8857250367994</v>
      </c>
      <c r="AD35" s="107">
        <f t="shared" si="27"/>
        <v>1305.5087553937897</v>
      </c>
      <c r="AE35" s="107">
        <f t="shared" si="27"/>
        <v>960.94631495661736</v>
      </c>
      <c r="AF35" s="107">
        <f t="shared" si="27"/>
        <v>1623.924251286036</v>
      </c>
      <c r="AG35" s="108">
        <f t="shared" si="27"/>
        <v>5209.2650466732603</v>
      </c>
      <c r="AH35" s="107">
        <f t="shared" si="27"/>
        <v>1191.4176533686914</v>
      </c>
      <c r="AI35" s="107">
        <f t="shared" si="27"/>
        <v>1137.0473627534454</v>
      </c>
      <c r="AJ35" s="107">
        <f t="shared" si="27"/>
        <v>797.82520985155168</v>
      </c>
      <c r="AK35" s="107">
        <f t="shared" si="27"/>
        <v>1466.9350544257309</v>
      </c>
      <c r="AL35" s="108">
        <f t="shared" si="27"/>
        <v>4593.225280399427</v>
      </c>
      <c r="AM35" s="107">
        <f t="shared" si="27"/>
        <v>1086.3920543652087</v>
      </c>
      <c r="AN35" s="107">
        <f t="shared" si="27"/>
        <v>991.43296807826255</v>
      </c>
      <c r="AO35" s="107">
        <f t="shared" si="27"/>
        <v>659.00798231809654</v>
      </c>
      <c r="AP35" s="107">
        <f t="shared" si="27"/>
        <v>1328.4507683861589</v>
      </c>
      <c r="AQ35" s="108">
        <f t="shared" si="27"/>
        <v>4065.2837731477375</v>
      </c>
    </row>
    <row r="36" spans="1:43" s="543" customFormat="1" outlineLevel="1" x14ac:dyDescent="0.25">
      <c r="B36" s="544" t="s">
        <v>99</v>
      </c>
      <c r="C36" s="545"/>
      <c r="D36" s="546">
        <f t="shared" ref="D36:AQ36" si="28">+D35+D321</f>
        <v>1732</v>
      </c>
      <c r="E36" s="546">
        <f t="shared" si="28"/>
        <v>1708</v>
      </c>
      <c r="F36" s="546">
        <f t="shared" si="28"/>
        <v>1445</v>
      </c>
      <c r="G36" s="546">
        <f t="shared" si="28"/>
        <v>486</v>
      </c>
      <c r="H36" s="547">
        <f t="shared" si="28"/>
        <v>5371</v>
      </c>
      <c r="I36" s="546">
        <f t="shared" si="28"/>
        <v>1881</v>
      </c>
      <c r="J36" s="546">
        <f t="shared" si="28"/>
        <v>1818</v>
      </c>
      <c r="K36" s="546">
        <f t="shared" si="28"/>
        <v>1661</v>
      </c>
      <c r="L36" s="546">
        <f t="shared" si="28"/>
        <v>2214</v>
      </c>
      <c r="M36" s="547">
        <f t="shared" si="28"/>
        <v>7574</v>
      </c>
      <c r="N36" s="546">
        <f t="shared" si="28"/>
        <v>1733</v>
      </c>
      <c r="O36" s="546">
        <f t="shared" si="28"/>
        <v>1895</v>
      </c>
      <c r="P36" s="546">
        <f t="shared" si="28"/>
        <v>1660</v>
      </c>
      <c r="Q36" s="546">
        <f t="shared" si="28"/>
        <v>2160.1257859999969</v>
      </c>
      <c r="R36" s="547">
        <f t="shared" si="28"/>
        <v>7448.1257859999969</v>
      </c>
      <c r="S36" s="546">
        <f t="shared" si="28"/>
        <v>1909</v>
      </c>
      <c r="T36" s="546">
        <f t="shared" si="28"/>
        <v>2005</v>
      </c>
      <c r="U36" s="546">
        <f t="shared" si="28"/>
        <v>1782</v>
      </c>
      <c r="V36" s="546">
        <f t="shared" si="28"/>
        <v>2264.6839483223794</v>
      </c>
      <c r="W36" s="547">
        <f t="shared" si="28"/>
        <v>7960.6839483223721</v>
      </c>
      <c r="X36" s="546">
        <f t="shared" si="28"/>
        <v>2015.4660114686544</v>
      </c>
      <c r="Y36" s="546">
        <f t="shared" si="28"/>
        <v>2077.3075814012391</v>
      </c>
      <c r="Z36" s="546">
        <f t="shared" si="28"/>
        <v>1791.554732599564</v>
      </c>
      <c r="AA36" s="546">
        <f t="shared" si="28"/>
        <v>2500.365681189985</v>
      </c>
      <c r="AB36" s="547">
        <f t="shared" si="28"/>
        <v>8384.6940066594398</v>
      </c>
      <c r="AC36" s="546">
        <f t="shared" si="28"/>
        <v>2286.2725557088374</v>
      </c>
      <c r="AD36" s="546">
        <f t="shared" si="28"/>
        <v>2293.1570234093433</v>
      </c>
      <c r="AE36" s="546">
        <f t="shared" si="28"/>
        <v>1958.5720208285802</v>
      </c>
      <c r="AF36" s="546">
        <f t="shared" si="28"/>
        <v>2642.4964817552413</v>
      </c>
      <c r="AG36" s="547">
        <f t="shared" si="28"/>
        <v>9180.4980817020205</v>
      </c>
      <c r="AH36" s="546">
        <f t="shared" si="28"/>
        <v>2240.6833824810974</v>
      </c>
      <c r="AI36" s="546">
        <f t="shared" si="28"/>
        <v>2206.9630244586774</v>
      </c>
      <c r="AJ36" s="546">
        <f t="shared" si="28"/>
        <v>1877.9028708053575</v>
      </c>
      <c r="AK36" s="546">
        <f t="shared" si="28"/>
        <v>2568.2749629934087</v>
      </c>
      <c r="AL36" s="547">
        <f t="shared" si="28"/>
        <v>8893.8242407385496</v>
      </c>
      <c r="AM36" s="546">
        <f t="shared" si="28"/>
        <v>2218.9208607742157</v>
      </c>
      <c r="AN36" s="546">
        <f t="shared" si="28"/>
        <v>2144.91809005907</v>
      </c>
      <c r="AO36" s="546">
        <f t="shared" si="28"/>
        <v>1822.7951645223407</v>
      </c>
      <c r="AP36" s="546">
        <f t="shared" si="28"/>
        <v>2513.7645008755103</v>
      </c>
      <c r="AQ36" s="547">
        <f t="shared" si="28"/>
        <v>8700.3986162311485</v>
      </c>
    </row>
    <row r="37" spans="1:43" ht="17.25" x14ac:dyDescent="0.4">
      <c r="B37" s="723" t="s">
        <v>41</v>
      </c>
      <c r="C37" s="724"/>
      <c r="D37" s="101">
        <v>392</v>
      </c>
      <c r="E37" s="101">
        <v>364</v>
      </c>
      <c r="F37" s="101">
        <v>275</v>
      </c>
      <c r="G37" s="101">
        <v>-111</v>
      </c>
      <c r="H37" s="153">
        <f>SUM(D37:G37)</f>
        <v>920</v>
      </c>
      <c r="I37" s="101">
        <v>427</v>
      </c>
      <c r="J37" s="101">
        <v>378</v>
      </c>
      <c r="K37" s="101">
        <v>337</v>
      </c>
      <c r="L37" s="101">
        <v>440</v>
      </c>
      <c r="M37" s="153">
        <f>SUM(I37:L37)</f>
        <v>1582</v>
      </c>
      <c r="N37" s="101">
        <v>386</v>
      </c>
      <c r="O37" s="101">
        <v>364</v>
      </c>
      <c r="P37" s="101">
        <v>-1200</v>
      </c>
      <c r="Q37" s="101">
        <v>231</v>
      </c>
      <c r="R37" s="153">
        <f>SUM(N37:Q37)</f>
        <v>-219</v>
      </c>
      <c r="S37" s="101">
        <v>266</v>
      </c>
      <c r="T37" s="101">
        <v>242</v>
      </c>
      <c r="U37" s="101">
        <v>192</v>
      </c>
      <c r="V37" s="101">
        <f>V35*V229</f>
        <v>336.6775301535925</v>
      </c>
      <c r="W37" s="99">
        <f>SUM(S37:V37)</f>
        <v>1036.6775301535924</v>
      </c>
      <c r="X37" s="101">
        <f>X35*X229</f>
        <v>282.07119798019431</v>
      </c>
      <c r="Y37" s="101">
        <f>Y35*Y229</f>
        <v>292.58766915967198</v>
      </c>
      <c r="Z37" s="101">
        <f>Z35*Z229</f>
        <v>218.7388683474615</v>
      </c>
      <c r="AA37" s="101">
        <f>AA35*AA229</f>
        <v>390.76260055024204</v>
      </c>
      <c r="AB37" s="153">
        <f>SUM(X37:AA37)</f>
        <v>1184.1603360375698</v>
      </c>
      <c r="AC37" s="101">
        <f>AC35*AC229</f>
        <v>329.72143125919985</v>
      </c>
      <c r="AD37" s="101">
        <f>AD35*AD229</f>
        <v>326.37718884844742</v>
      </c>
      <c r="AE37" s="101">
        <f>AE35*AE229</f>
        <v>240.23657873915434</v>
      </c>
      <c r="AF37" s="101">
        <f>AF35*AF229</f>
        <v>405.981062821509</v>
      </c>
      <c r="AG37" s="99">
        <f>SUM(AC37:AF37)</f>
        <v>1302.3162616683107</v>
      </c>
      <c r="AH37" s="101">
        <f>AH35*AH229</f>
        <v>297.85441334217285</v>
      </c>
      <c r="AI37" s="101">
        <f>AI35*AI229</f>
        <v>284.26184068836136</v>
      </c>
      <c r="AJ37" s="101">
        <f>AJ35*AJ229</f>
        <v>199.45630246288792</v>
      </c>
      <c r="AK37" s="101">
        <f>AK35*AK229</f>
        <v>366.73376360643272</v>
      </c>
      <c r="AL37" s="99">
        <f>SUM(AH37:AK37)</f>
        <v>1148.3063200998549</v>
      </c>
      <c r="AM37" s="101">
        <f>AM35*AM229</f>
        <v>271.59801359130216</v>
      </c>
      <c r="AN37" s="101">
        <f>AN35*AN229</f>
        <v>247.85824201956564</v>
      </c>
      <c r="AO37" s="101">
        <f>AO35*AO229</f>
        <v>164.75199557952413</v>
      </c>
      <c r="AP37" s="101">
        <f>AP35*AP229</f>
        <v>332.11269209653972</v>
      </c>
      <c r="AQ37" s="99">
        <f>SUM(AM37:AP37)</f>
        <v>1016.3209432869318</v>
      </c>
    </row>
    <row r="38" spans="1:43" x14ac:dyDescent="0.25">
      <c r="A38" s="111"/>
      <c r="B38" s="757" t="s">
        <v>56</v>
      </c>
      <c r="C38" s="758"/>
      <c r="D38" s="109">
        <f t="shared" ref="D38:AQ38" si="29">+D35-D37</f>
        <v>692</v>
      </c>
      <c r="E38" s="109">
        <f t="shared" si="29"/>
        <v>691</v>
      </c>
      <c r="F38" s="109">
        <f t="shared" si="29"/>
        <v>507</v>
      </c>
      <c r="G38" s="109">
        <f t="shared" si="29"/>
        <v>-70</v>
      </c>
      <c r="H38" s="110">
        <f t="shared" si="29"/>
        <v>1820</v>
      </c>
      <c r="I38" s="109">
        <f t="shared" si="29"/>
        <v>715</v>
      </c>
      <c r="J38" s="109">
        <f t="shared" si="29"/>
        <v>700</v>
      </c>
      <c r="K38" s="109">
        <f t="shared" si="29"/>
        <v>562</v>
      </c>
      <c r="L38" s="109">
        <f t="shared" si="29"/>
        <v>1020</v>
      </c>
      <c r="M38" s="110">
        <f t="shared" si="29"/>
        <v>2997</v>
      </c>
      <c r="N38" s="109">
        <f t="shared" si="29"/>
        <v>596</v>
      </c>
      <c r="O38" s="109">
        <f t="shared" si="29"/>
        <v>775</v>
      </c>
      <c r="P38" s="109">
        <f t="shared" si="29"/>
        <v>2074</v>
      </c>
      <c r="Q38" s="109">
        <f t="shared" si="29"/>
        <v>1127.1257859999969</v>
      </c>
      <c r="R38" s="110">
        <f t="shared" si="29"/>
        <v>4572.1257859999969</v>
      </c>
      <c r="S38" s="109">
        <f t="shared" si="29"/>
        <v>835</v>
      </c>
      <c r="T38" s="107">
        <f t="shared" si="29"/>
        <v>935</v>
      </c>
      <c r="U38" s="107">
        <f t="shared" si="29"/>
        <v>739</v>
      </c>
      <c r="V38" s="107">
        <f t="shared" si="29"/>
        <v>1066.145512153043</v>
      </c>
      <c r="W38" s="108">
        <f t="shared" si="29"/>
        <v>3575.1455121530353</v>
      </c>
      <c r="X38" s="107">
        <f t="shared" si="29"/>
        <v>846.213593940583</v>
      </c>
      <c r="Y38" s="107">
        <f t="shared" si="29"/>
        <v>877.76300747901587</v>
      </c>
      <c r="Z38" s="107">
        <f t="shared" si="29"/>
        <v>656.21660504238457</v>
      </c>
      <c r="AA38" s="107">
        <f t="shared" si="29"/>
        <v>1172.2878016507261</v>
      </c>
      <c r="AB38" s="110">
        <f t="shared" si="29"/>
        <v>3552.4810081127057</v>
      </c>
      <c r="AC38" s="107">
        <f t="shared" si="29"/>
        <v>989.1642937775996</v>
      </c>
      <c r="AD38" s="107">
        <f t="shared" si="29"/>
        <v>979.13156654534225</v>
      </c>
      <c r="AE38" s="107">
        <f t="shared" si="29"/>
        <v>720.70973621746305</v>
      </c>
      <c r="AF38" s="107">
        <f t="shared" si="29"/>
        <v>1217.9431884645269</v>
      </c>
      <c r="AG38" s="108">
        <f t="shared" si="29"/>
        <v>3906.9487850049495</v>
      </c>
      <c r="AH38" s="107">
        <f t="shared" si="29"/>
        <v>893.56324002651854</v>
      </c>
      <c r="AI38" s="107">
        <f t="shared" si="29"/>
        <v>852.78552206508402</v>
      </c>
      <c r="AJ38" s="107">
        <f t="shared" si="29"/>
        <v>598.36890738866373</v>
      </c>
      <c r="AK38" s="107">
        <f t="shared" si="29"/>
        <v>1100.2012908192983</v>
      </c>
      <c r="AL38" s="108">
        <f t="shared" si="29"/>
        <v>3444.9189602995721</v>
      </c>
      <c r="AM38" s="107">
        <f t="shared" si="29"/>
        <v>814.79404077390654</v>
      </c>
      <c r="AN38" s="107">
        <f t="shared" si="29"/>
        <v>743.57472605869691</v>
      </c>
      <c r="AO38" s="107">
        <f t="shared" si="29"/>
        <v>494.2559867385724</v>
      </c>
      <c r="AP38" s="107">
        <f t="shared" si="29"/>
        <v>996.33807628961915</v>
      </c>
      <c r="AQ38" s="108">
        <f t="shared" si="29"/>
        <v>3048.9628298608059</v>
      </c>
    </row>
    <row r="39" spans="1:43" s="553" customFormat="1" ht="17.25" outlineLevel="1" x14ac:dyDescent="0.4">
      <c r="B39" s="548" t="s">
        <v>358</v>
      </c>
      <c r="C39" s="559"/>
      <c r="D39" s="560">
        <f t="shared" ref="D39:T39" si="30">+D240+D244+D246+D252+D253</f>
        <v>0</v>
      </c>
      <c r="E39" s="560">
        <f t="shared" si="30"/>
        <v>0</v>
      </c>
      <c r="F39" s="560">
        <f t="shared" si="30"/>
        <v>0</v>
      </c>
      <c r="G39" s="560">
        <f t="shared" si="30"/>
        <v>0</v>
      </c>
      <c r="H39" s="561">
        <f t="shared" si="30"/>
        <v>0</v>
      </c>
      <c r="I39" s="560">
        <f t="shared" si="30"/>
        <v>22.5</v>
      </c>
      <c r="J39" s="560">
        <f t="shared" si="30"/>
        <v>7.5</v>
      </c>
      <c r="K39" s="560">
        <f t="shared" si="30"/>
        <v>15</v>
      </c>
      <c r="L39" s="560">
        <f t="shared" si="30"/>
        <v>67</v>
      </c>
      <c r="M39" s="561">
        <f t="shared" si="30"/>
        <v>112</v>
      </c>
      <c r="N39" s="560">
        <f t="shared" si="30"/>
        <v>32</v>
      </c>
      <c r="O39" s="560">
        <f t="shared" si="30"/>
        <v>31</v>
      </c>
      <c r="P39" s="560">
        <f t="shared" si="30"/>
        <v>1164</v>
      </c>
      <c r="Q39" s="560">
        <f t="shared" si="30"/>
        <v>30</v>
      </c>
      <c r="R39" s="561">
        <f t="shared" si="30"/>
        <v>1257</v>
      </c>
      <c r="S39" s="560">
        <f t="shared" si="30"/>
        <v>23.4</v>
      </c>
      <c r="T39" s="562">
        <f t="shared" si="30"/>
        <v>20.5</v>
      </c>
      <c r="U39" s="562">
        <f>+U240+U244+U246+U252+U253+U249</f>
        <v>15</v>
      </c>
      <c r="V39" s="562">
        <f>+V240+V244+V246+V252+V253+V249</f>
        <v>95.740000000000066</v>
      </c>
      <c r="W39" s="563">
        <f>+W240+W244+W246+W252+W253+W249</f>
        <v>154.64000000000007</v>
      </c>
      <c r="X39" s="562">
        <f t="shared" ref="X39:AA39" si="31">+X240+X244+X246+X252+X253+X249</f>
        <v>47.6875</v>
      </c>
      <c r="Y39" s="562">
        <f t="shared" si="31"/>
        <v>35.487499999999997</v>
      </c>
      <c r="Z39" s="562">
        <f t="shared" si="31"/>
        <v>20.237500000000001</v>
      </c>
      <c r="AA39" s="562">
        <f t="shared" si="31"/>
        <v>-7.8124999999999858</v>
      </c>
      <c r="AB39" s="563">
        <f>+AB240+AB244+AB246+AB252+AB253+AB249</f>
        <v>95.600000000000009</v>
      </c>
      <c r="AC39" s="562">
        <f t="shared" ref="AC39:AF39" si="32">+AC240+AC244+AC246+AC252+AC253+AC249</f>
        <v>12.5</v>
      </c>
      <c r="AD39" s="562">
        <f t="shared" si="32"/>
        <v>12.5</v>
      </c>
      <c r="AE39" s="562">
        <f t="shared" si="32"/>
        <v>2.5</v>
      </c>
      <c r="AF39" s="562">
        <f t="shared" si="32"/>
        <v>-13.750000000000012</v>
      </c>
      <c r="AG39" s="563">
        <f>+AG240+AG244+AG246+AG252+AG253+AG249</f>
        <v>13.749999999999988</v>
      </c>
      <c r="AH39" s="562">
        <f t="shared" ref="AH39:AK39" si="33">+AH240+AH244+AH246+AH252+AH253+AH249</f>
        <v>0</v>
      </c>
      <c r="AI39" s="562">
        <f t="shared" si="33"/>
        <v>0</v>
      </c>
      <c r="AJ39" s="562">
        <f t="shared" si="33"/>
        <v>0</v>
      </c>
      <c r="AK39" s="562">
        <f t="shared" si="33"/>
        <v>-13.750000000000012</v>
      </c>
      <c r="AL39" s="563">
        <f>+AL240+AL244+AL246+AL252+AL253+AL249</f>
        <v>-13.750000000000012</v>
      </c>
      <c r="AM39" s="562">
        <f t="shared" ref="AM39:AP39" si="34">+AM240+AM244+AM246+AM252+AM253+AM249</f>
        <v>0</v>
      </c>
      <c r="AN39" s="562">
        <f t="shared" si="34"/>
        <v>0</v>
      </c>
      <c r="AO39" s="562">
        <f t="shared" si="34"/>
        <v>0</v>
      </c>
      <c r="AP39" s="562">
        <f t="shared" si="34"/>
        <v>-13.750000000000012</v>
      </c>
      <c r="AQ39" s="563">
        <f>+AQ240+AQ244+AQ246+AQ252+AQ253+AQ249</f>
        <v>-13.750000000000012</v>
      </c>
    </row>
    <row r="40" spans="1:43" s="553" customFormat="1" outlineLevel="1" x14ac:dyDescent="0.25">
      <c r="B40" s="554" t="s">
        <v>359</v>
      </c>
      <c r="C40" s="559"/>
      <c r="D40" s="556">
        <f t="shared" ref="D40:AP40" si="35">+D27+D34-D37-D39</f>
        <v>692</v>
      </c>
      <c r="E40" s="556">
        <f t="shared" si="35"/>
        <v>691</v>
      </c>
      <c r="F40" s="556">
        <f t="shared" si="35"/>
        <v>507</v>
      </c>
      <c r="G40" s="556">
        <f t="shared" si="35"/>
        <v>-70</v>
      </c>
      <c r="H40" s="557">
        <f t="shared" si="35"/>
        <v>1820</v>
      </c>
      <c r="I40" s="556">
        <f t="shared" si="35"/>
        <v>760</v>
      </c>
      <c r="J40" s="556">
        <f t="shared" si="35"/>
        <v>750</v>
      </c>
      <c r="K40" s="556">
        <f t="shared" si="35"/>
        <v>625</v>
      </c>
      <c r="L40" s="556">
        <f t="shared" si="35"/>
        <v>1138</v>
      </c>
      <c r="M40" s="557">
        <f>+M27+M34-M37-M39</f>
        <v>3273</v>
      </c>
      <c r="N40" s="556">
        <f t="shared" si="35"/>
        <v>683</v>
      </c>
      <c r="O40" s="556">
        <f t="shared" si="35"/>
        <v>866</v>
      </c>
      <c r="P40" s="556">
        <f t="shared" si="35"/>
        <v>1016</v>
      </c>
      <c r="Q40" s="556">
        <f t="shared" si="35"/>
        <v>1604.1257859999969</v>
      </c>
      <c r="R40" s="557">
        <f t="shared" si="35"/>
        <v>4170.1257859999969</v>
      </c>
      <c r="S40" s="556">
        <f>+S27+S34-S37-S39</f>
        <v>932.6</v>
      </c>
      <c r="T40" s="564">
        <f t="shared" si="35"/>
        <v>1074.5</v>
      </c>
      <c r="U40" s="564">
        <f t="shared" si="35"/>
        <v>797</v>
      </c>
      <c r="V40" s="564">
        <f>+V27+V34-V37-V39</f>
        <v>1397.4055121530432</v>
      </c>
      <c r="W40" s="558">
        <f>+W27+W34-W37-W39</f>
        <v>4201.5055121530349</v>
      </c>
      <c r="X40" s="564">
        <f t="shared" si="35"/>
        <v>992.276093940583</v>
      </c>
      <c r="Y40" s="564">
        <f t="shared" si="35"/>
        <v>986.02550747901591</v>
      </c>
      <c r="Z40" s="564">
        <f t="shared" si="35"/>
        <v>717.22910504238462</v>
      </c>
      <c r="AA40" s="564">
        <f t="shared" si="35"/>
        <v>1148.8503016507261</v>
      </c>
      <c r="AB40" s="558">
        <f>+AB27+AB34-AB37-AB39</f>
        <v>3844.3810081127058</v>
      </c>
      <c r="AC40" s="564">
        <f t="shared" si="35"/>
        <v>1026.6642937775996</v>
      </c>
      <c r="AD40" s="564">
        <f t="shared" si="35"/>
        <v>1016.6315665453421</v>
      </c>
      <c r="AE40" s="564">
        <f t="shared" si="35"/>
        <v>728.20973621746305</v>
      </c>
      <c r="AF40" s="564">
        <f t="shared" si="35"/>
        <v>1176.6931884645269</v>
      </c>
      <c r="AG40" s="558">
        <f>+AG27+AG34-AG37-AG39</f>
        <v>3948.1987850049495</v>
      </c>
      <c r="AH40" s="564">
        <f t="shared" si="35"/>
        <v>893.56324002651854</v>
      </c>
      <c r="AI40" s="564">
        <f t="shared" si="35"/>
        <v>852.78552206508402</v>
      </c>
      <c r="AJ40" s="564">
        <f t="shared" si="35"/>
        <v>598.36890738866373</v>
      </c>
      <c r="AK40" s="564">
        <f t="shared" si="35"/>
        <v>1058.9512908192983</v>
      </c>
      <c r="AL40" s="558">
        <f>+AL27+AL34-AL37-AL39</f>
        <v>3403.6689602995721</v>
      </c>
      <c r="AM40" s="564">
        <f t="shared" si="35"/>
        <v>814.79404077390654</v>
      </c>
      <c r="AN40" s="564">
        <f t="shared" si="35"/>
        <v>743.57472605869691</v>
      </c>
      <c r="AO40" s="564">
        <f t="shared" si="35"/>
        <v>494.2559867385724</v>
      </c>
      <c r="AP40" s="564">
        <f t="shared" si="35"/>
        <v>955.08807628961915</v>
      </c>
      <c r="AQ40" s="558">
        <f>+AQ27+AQ34-AQ37-AQ39</f>
        <v>3007.7128298608059</v>
      </c>
    </row>
    <row r="41" spans="1:43" x14ac:dyDescent="0.25">
      <c r="B41" s="709" t="s">
        <v>0</v>
      </c>
      <c r="C41" s="710"/>
      <c r="D41" s="100">
        <v>282</v>
      </c>
      <c r="E41" s="100">
        <v>279.76258654124456</v>
      </c>
      <c r="F41" s="100">
        <v>272</v>
      </c>
      <c r="G41" s="100">
        <v>269</v>
      </c>
      <c r="H41" s="112">
        <v>276</v>
      </c>
      <c r="I41" s="100">
        <v>265.39999999999998</v>
      </c>
      <c r="J41" s="100">
        <v>266</v>
      </c>
      <c r="K41" s="100">
        <v>266</v>
      </c>
      <c r="L41" s="100">
        <v>267.39999999999998</v>
      </c>
      <c r="M41" s="112">
        <v>266.64184371037703</v>
      </c>
      <c r="N41" s="100">
        <v>268</v>
      </c>
      <c r="O41" s="100">
        <v>268</v>
      </c>
      <c r="P41" s="100">
        <v>268</v>
      </c>
      <c r="Q41" s="100">
        <v>266.39999999999998</v>
      </c>
      <c r="R41" s="261">
        <v>267.7</v>
      </c>
      <c r="S41" s="100">
        <v>265</v>
      </c>
      <c r="T41" s="100">
        <v>262.39999999999998</v>
      </c>
      <c r="U41" s="100">
        <v>261</v>
      </c>
      <c r="V41" s="100">
        <f>U41*(1+V233)-V237</f>
        <v>259.75281572163755</v>
      </c>
      <c r="W41" s="112">
        <f>(S41*S38/W38)+(T41*T38/W38)+(U41*U38/W38)+(V41*V38/W38)</f>
        <v>261.9284433507712</v>
      </c>
      <c r="X41" s="100">
        <f>V41*(1+X233)-X237</f>
        <v>257.56071253909079</v>
      </c>
      <c r="Y41" s="100">
        <f>X41*(1+Y233)-Y237</f>
        <v>255.45603365758308</v>
      </c>
      <c r="Z41" s="100">
        <f>Y41*(1+Z233)-Z237</f>
        <v>253.73397086108463</v>
      </c>
      <c r="AA41" s="100">
        <f>Z41*(1+AA233)-AA237</f>
        <v>251.93011344678186</v>
      </c>
      <c r="AB41" s="112">
        <f>(X41*X38/AB38)+(Y41*Y38/AB38)+(Z41*Z38/AB38)+(AA41*AA38/AB38)</f>
        <v>254.47575211171733</v>
      </c>
      <c r="AC41" s="100">
        <f>AA41*(1+AC233)-AC237</f>
        <v>249.98189796699896</v>
      </c>
      <c r="AD41" s="100">
        <f>AC41*(1+AD233)-AD237</f>
        <v>248.09779244481766</v>
      </c>
      <c r="AE41" s="100">
        <f>AD41*(1+AE233)-AE237</f>
        <v>246.2695463965369</v>
      </c>
      <c r="AF41" s="100">
        <f>AE41*(1+AF233)-AF237</f>
        <v>244.41401342833242</v>
      </c>
      <c r="AG41" s="112">
        <f>(AC41*AC38/AG38)+(AD41*AD38/AG38)+(AE41*AE38/AG38)+(AF41*AF38/AG38)</f>
        <v>247.08918480833893</v>
      </c>
      <c r="AH41" s="100">
        <f>AF41*(1+AH233)-AH237</f>
        <v>242.99025415634804</v>
      </c>
      <c r="AI41" s="100">
        <f>AH41*(1+AI233)-AI237</f>
        <v>241.69719364778527</v>
      </c>
      <c r="AJ41" s="100">
        <f>AI41*(1+AJ233)-AJ237</f>
        <v>240.55087464506593</v>
      </c>
      <c r="AK41" s="100">
        <f>AJ41*(1+AK233)-AK237</f>
        <v>239.57387317372584</v>
      </c>
      <c r="AL41" s="112">
        <f>(AH41*AH38/AL38)+(AI41*AI38/AL38)+(AJ41*AJ38/AL38)+(AK41*AK38/AL38)</f>
        <v>241.15536080367764</v>
      </c>
      <c r="AM41" s="100">
        <f>AK41*(1+AM233)-AM237</f>
        <v>238.81546648165349</v>
      </c>
      <c r="AN41" s="100">
        <f>AM41*(1+AN233)-AN237</f>
        <v>238.22244861643125</v>
      </c>
      <c r="AO41" s="100">
        <f>AN41*(1+AO233)-AO237</f>
        <v>237.68629619597587</v>
      </c>
      <c r="AP41" s="100">
        <f>AO41*(1+AP233)-AP237</f>
        <v>237.15209029951168</v>
      </c>
      <c r="AQ41" s="112">
        <f>(AM41*AM38/AQ38)+(AN41*AN38/AQ38)+(AO41*AO38/AQ38)+(AP41*AP38/AQ38)</f>
        <v>237.94423995508774</v>
      </c>
    </row>
    <row r="42" spans="1:43" ht="15.75" customHeight="1" x14ac:dyDescent="0.25">
      <c r="B42" s="709" t="s">
        <v>1</v>
      </c>
      <c r="C42" s="710"/>
      <c r="D42" s="100">
        <v>286</v>
      </c>
      <c r="E42" s="100">
        <v>283</v>
      </c>
      <c r="F42" s="100">
        <v>275</v>
      </c>
      <c r="G42" s="100">
        <v>269</v>
      </c>
      <c r="H42" s="112">
        <v>279.57441807692305</v>
      </c>
      <c r="I42" s="100">
        <v>269.39999999999998</v>
      </c>
      <c r="J42" s="100">
        <v>270</v>
      </c>
      <c r="K42" s="100">
        <v>271</v>
      </c>
      <c r="L42" s="100">
        <v>271.7</v>
      </c>
      <c r="M42" s="112">
        <v>270.73702702702701</v>
      </c>
      <c r="N42" s="100">
        <v>272</v>
      </c>
      <c r="O42" s="100">
        <v>272.89328309677421</v>
      </c>
      <c r="P42" s="100">
        <v>273</v>
      </c>
      <c r="Q42" s="100">
        <v>271.39999999999998</v>
      </c>
      <c r="R42" s="261">
        <v>272.3</v>
      </c>
      <c r="S42" s="100">
        <v>269.2</v>
      </c>
      <c r="T42" s="100">
        <v>266.39999999999998</v>
      </c>
      <c r="U42" s="100">
        <v>263.47000000000003</v>
      </c>
      <c r="V42" s="100">
        <f>U42*(1+V234)-V237</f>
        <v>261.58504438813401</v>
      </c>
      <c r="W42" s="422">
        <f>(S42*S38/W38)+(T42*T38/W38)+(U42*U38/W38)+(V42*V38/W38)</f>
        <v>265.01244436067236</v>
      </c>
      <c r="X42" s="100">
        <f>V42*(1+X234)-X237</f>
        <v>258.61623866665775</v>
      </c>
      <c r="Y42" s="100">
        <f>X42*(1+Y234)-Y237</f>
        <v>255.74711415331399</v>
      </c>
      <c r="Z42" s="100">
        <f>Y42*(1+Z234)-Z237</f>
        <v>253.1302256804934</v>
      </c>
      <c r="AA42" s="100">
        <f>Z42*(1+AA234)-AA237</f>
        <v>250.5821334247897</v>
      </c>
      <c r="AB42" s="112">
        <f>(X42*X38/AB38)+(Y42*Y38/AB38)+(Z42*Z38/AB38)+(AA42*AA38/AB38)</f>
        <v>254.24275779078482</v>
      </c>
      <c r="AC42" s="100">
        <f>AA42*(1+AC234)-AC237</f>
        <v>247.86256403329423</v>
      </c>
      <c r="AD42" s="100">
        <f>AC42*(1+AD234)-AD237</f>
        <v>245.20999982652086</v>
      </c>
      <c r="AE42" s="100">
        <f>AD42*(1+AE234)-AE237</f>
        <v>242.61300673151652</v>
      </c>
      <c r="AF42" s="100">
        <f>AE42*(1+AF234)-AF237</f>
        <v>240.01866630618696</v>
      </c>
      <c r="AG42" s="112">
        <f>(AC42*AC38/AG38)+(AD42*AD38/AG38)+(AE42*AE38/AG38)+(AF42*AF38/AG38)</f>
        <v>243.78417982865213</v>
      </c>
      <c r="AH42" s="100">
        <f>AF42*(1+AH234)-AH237</f>
        <v>237.85749725167477</v>
      </c>
      <c r="AI42" s="100">
        <f>AH42*(1+AI234)-AI237</f>
        <v>235.83428974339083</v>
      </c>
      <c r="AJ42" s="100">
        <f>AI42*(1+AJ234)-AJ237</f>
        <v>233.96585899873492</v>
      </c>
      <c r="AK42" s="100">
        <f>AJ42*(1+AK234)-AK237</f>
        <v>232.27668099174329</v>
      </c>
      <c r="AL42" s="112">
        <f>(AH42*AH38/AL38)+(AI42*AI38/AL38)+(AJ42*AJ38/AL38)+(AK42*AK38/AL38)</f>
        <v>234.89835110889328</v>
      </c>
      <c r="AM42" s="100">
        <f>AK42*(1+AM234)-AM237</f>
        <v>230.81130240147124</v>
      </c>
      <c r="AN42" s="100">
        <f>AM42*(1+AN234)-AN237</f>
        <v>229.51746092049353</v>
      </c>
      <c r="AO42" s="100">
        <f>AN42*(1+AO234)-AO237</f>
        <v>228.28630421735602</v>
      </c>
      <c r="AP42" s="100">
        <f>AO42*(1+AP234)-AP237</f>
        <v>227.06273239050671</v>
      </c>
      <c r="AQ42" s="112">
        <f>(AM42*AM38/AQ38)+(AN42*AN38/AQ38)+(AO42*AO38/AQ38)+(AP42*AP38/AQ38)</f>
        <v>228.86148974087558</v>
      </c>
    </row>
    <row r="43" spans="1:43" ht="15.75" customHeight="1" x14ac:dyDescent="0.25">
      <c r="B43" s="755" t="s">
        <v>57</v>
      </c>
      <c r="C43" s="756"/>
      <c r="D43" s="113">
        <f t="shared" ref="D43:AQ43" si="36">D38/D41</f>
        <v>2.4539007092198584</v>
      </c>
      <c r="E43" s="113">
        <f t="shared" si="36"/>
        <v>2.4699514275406083</v>
      </c>
      <c r="F43" s="113">
        <f t="shared" si="36"/>
        <v>1.8639705882352942</v>
      </c>
      <c r="G43" s="113">
        <f t="shared" si="36"/>
        <v>-0.26022304832713755</v>
      </c>
      <c r="H43" s="114">
        <f t="shared" si="36"/>
        <v>6.5942028985507246</v>
      </c>
      <c r="I43" s="113">
        <f t="shared" si="36"/>
        <v>2.6940467219291637</v>
      </c>
      <c r="J43" s="113">
        <f t="shared" si="36"/>
        <v>2.6315789473684212</v>
      </c>
      <c r="K43" s="113">
        <f t="shared" si="36"/>
        <v>2.1127819548872182</v>
      </c>
      <c r="L43" s="113">
        <f t="shared" si="36"/>
        <v>3.8145100972326107</v>
      </c>
      <c r="M43" s="114">
        <f t="shared" si="36"/>
        <v>11.239796268643053</v>
      </c>
      <c r="N43" s="113">
        <f t="shared" si="36"/>
        <v>2.2238805970149254</v>
      </c>
      <c r="O43" s="113">
        <f t="shared" si="36"/>
        <v>2.8917910447761193</v>
      </c>
      <c r="P43" s="113">
        <f t="shared" si="36"/>
        <v>7.7388059701492535</v>
      </c>
      <c r="Q43" s="113">
        <f t="shared" si="36"/>
        <v>4.2309526501501384</v>
      </c>
      <c r="R43" s="114">
        <f t="shared" si="36"/>
        <v>17.079289450877837</v>
      </c>
      <c r="S43" s="113">
        <f t="shared" si="36"/>
        <v>3.1509433962264151</v>
      </c>
      <c r="T43" s="113">
        <f t="shared" si="36"/>
        <v>3.5632621951219514</v>
      </c>
      <c r="U43" s="113">
        <f t="shared" si="36"/>
        <v>2.8314176245210727</v>
      </c>
      <c r="V43" s="113">
        <f t="shared" si="36"/>
        <v>4.1044618099369172</v>
      </c>
      <c r="W43" s="114">
        <f t="shared" si="36"/>
        <v>13.649321419305526</v>
      </c>
      <c r="X43" s="113">
        <f t="shared" si="36"/>
        <v>3.2854917413390465</v>
      </c>
      <c r="Y43" s="113">
        <f t="shared" si="36"/>
        <v>3.4360629299348706</v>
      </c>
      <c r="Z43" s="113">
        <f t="shared" si="36"/>
        <v>2.5862386609700474</v>
      </c>
      <c r="AA43" s="113">
        <f t="shared" si="36"/>
        <v>4.6532261888508302</v>
      </c>
      <c r="AB43" s="114">
        <f t="shared" si="36"/>
        <v>13.95999806910142</v>
      </c>
      <c r="AC43" s="113">
        <f t="shared" si="36"/>
        <v>3.9569436900114376</v>
      </c>
      <c r="AD43" s="113">
        <f t="shared" si="36"/>
        <v>3.9465549326204603</v>
      </c>
      <c r="AE43" s="113">
        <f t="shared" si="36"/>
        <v>2.9265077504020525</v>
      </c>
      <c r="AF43" s="113">
        <f t="shared" si="36"/>
        <v>4.9831152125066458</v>
      </c>
      <c r="AG43" s="114">
        <f t="shared" si="36"/>
        <v>15.811897182126668</v>
      </c>
      <c r="AH43" s="113">
        <f t="shared" si="36"/>
        <v>3.6773624651282111</v>
      </c>
      <c r="AI43" s="113">
        <f t="shared" si="36"/>
        <v>3.5283219850198635</v>
      </c>
      <c r="AJ43" s="113">
        <f t="shared" si="36"/>
        <v>2.4874942079157276</v>
      </c>
      <c r="AK43" s="113">
        <f t="shared" si="36"/>
        <v>4.5923258502461684</v>
      </c>
      <c r="AL43" s="114">
        <f t="shared" si="36"/>
        <v>14.285060671340617</v>
      </c>
      <c r="AM43" s="113">
        <f t="shared" si="36"/>
        <v>3.411814371899156</v>
      </c>
      <c r="AN43" s="113">
        <f t="shared" si="36"/>
        <v>3.1213461635429152</v>
      </c>
      <c r="AO43" s="113">
        <f t="shared" si="36"/>
        <v>2.0794467104281478</v>
      </c>
      <c r="AP43" s="113">
        <f t="shared" si="36"/>
        <v>4.2012620467788926</v>
      </c>
      <c r="AQ43" s="114">
        <f t="shared" si="36"/>
        <v>12.813770278432886</v>
      </c>
    </row>
    <row r="44" spans="1:43" x14ac:dyDescent="0.25">
      <c r="B44" s="755" t="s">
        <v>58</v>
      </c>
      <c r="C44" s="756"/>
      <c r="D44" s="113">
        <f t="shared" ref="D44:AQ44" si="37">D38/D42</f>
        <v>2.4195804195804196</v>
      </c>
      <c r="E44" s="113">
        <f t="shared" si="37"/>
        <v>2.441696113074205</v>
      </c>
      <c r="F44" s="113">
        <f t="shared" si="37"/>
        <v>1.8436363636363637</v>
      </c>
      <c r="G44" s="113">
        <f t="shared" si="37"/>
        <v>-0.26022304832713755</v>
      </c>
      <c r="H44" s="114">
        <f t="shared" si="37"/>
        <v>6.5098946195400433</v>
      </c>
      <c r="I44" s="113">
        <f t="shared" si="37"/>
        <v>2.6540460282108391</v>
      </c>
      <c r="J44" s="113">
        <f t="shared" si="37"/>
        <v>2.5925925925925926</v>
      </c>
      <c r="K44" s="113">
        <f t="shared" si="37"/>
        <v>2.07380073800738</v>
      </c>
      <c r="L44" s="113">
        <f t="shared" si="37"/>
        <v>3.7541405962458594</v>
      </c>
      <c r="M44" s="114">
        <f t="shared" si="37"/>
        <v>11.069782485647288</v>
      </c>
      <c r="N44" s="113">
        <f t="shared" si="37"/>
        <v>2.1911764705882355</v>
      </c>
      <c r="O44" s="113">
        <f t="shared" si="37"/>
        <v>2.8399379831022342</v>
      </c>
      <c r="P44" s="113">
        <f t="shared" si="37"/>
        <v>7.5970695970695967</v>
      </c>
      <c r="Q44" s="113">
        <f t="shared" si="37"/>
        <v>4.153005843773018</v>
      </c>
      <c r="R44" s="114">
        <f t="shared" si="37"/>
        <v>16.790766749908176</v>
      </c>
      <c r="S44" s="113">
        <f t="shared" si="37"/>
        <v>3.1017830609212482</v>
      </c>
      <c r="T44" s="113">
        <f t="shared" si="37"/>
        <v>3.5097597597597598</v>
      </c>
      <c r="U44" s="113">
        <f t="shared" si="37"/>
        <v>2.8048734201237329</v>
      </c>
      <c r="V44" s="113">
        <f t="shared" si="37"/>
        <v>4.0757127940813014</v>
      </c>
      <c r="W44" s="114">
        <f t="shared" si="37"/>
        <v>13.490481629184897</v>
      </c>
      <c r="X44" s="113">
        <f t="shared" si="37"/>
        <v>3.2720822107048981</v>
      </c>
      <c r="Y44" s="113">
        <f t="shared" si="37"/>
        <v>3.4321521491453426</v>
      </c>
      <c r="Z44" s="113">
        <f t="shared" si="37"/>
        <v>2.5924071425222674</v>
      </c>
      <c r="AA44" s="113">
        <f t="shared" si="37"/>
        <v>4.678257725834948</v>
      </c>
      <c r="AB44" s="114">
        <f t="shared" si="37"/>
        <v>13.972791354930258</v>
      </c>
      <c r="AC44" s="113">
        <f t="shared" si="37"/>
        <v>3.9907772988450558</v>
      </c>
      <c r="AD44" s="113">
        <f t="shared" si="37"/>
        <v>3.9930327769587297</v>
      </c>
      <c r="AE44" s="113">
        <f t="shared" si="37"/>
        <v>2.9706145846295207</v>
      </c>
      <c r="AF44" s="113">
        <f t="shared" si="37"/>
        <v>5.0743686197756857</v>
      </c>
      <c r="AG44" s="114">
        <f t="shared" si="37"/>
        <v>16.02626055452415</v>
      </c>
      <c r="AH44" s="113">
        <f t="shared" si="37"/>
        <v>3.7567167331330644</v>
      </c>
      <c r="AI44" s="113">
        <f t="shared" si="37"/>
        <v>3.6160370190144628</v>
      </c>
      <c r="AJ44" s="113">
        <f t="shared" si="37"/>
        <v>2.5575052272558243</v>
      </c>
      <c r="AK44" s="113">
        <f t="shared" si="37"/>
        <v>4.7365981213516948</v>
      </c>
      <c r="AL44" s="114">
        <f t="shared" si="37"/>
        <v>14.665573189581862</v>
      </c>
      <c r="AM44" s="113">
        <f t="shared" si="37"/>
        <v>3.5301305971432049</v>
      </c>
      <c r="AN44" s="113">
        <f t="shared" si="37"/>
        <v>3.2397305332524415</v>
      </c>
      <c r="AO44" s="113">
        <f t="shared" si="37"/>
        <v>2.1650706924055387</v>
      </c>
      <c r="AP44" s="113">
        <f t="shared" si="37"/>
        <v>4.3879418951767848</v>
      </c>
      <c r="AQ44" s="114">
        <f t="shared" si="37"/>
        <v>13.322306139459901</v>
      </c>
    </row>
    <row r="45" spans="1:43" s="553" customFormat="1" outlineLevel="1" x14ac:dyDescent="0.25">
      <c r="B45" s="554" t="s">
        <v>360</v>
      </c>
      <c r="C45" s="565"/>
      <c r="D45" s="566">
        <f t="shared" ref="D45:AQ45" si="38">+D40/D42</f>
        <v>2.4195804195804196</v>
      </c>
      <c r="E45" s="566">
        <f t="shared" si="38"/>
        <v>2.441696113074205</v>
      </c>
      <c r="F45" s="566">
        <f t="shared" si="38"/>
        <v>1.8436363636363637</v>
      </c>
      <c r="G45" s="566">
        <f t="shared" si="38"/>
        <v>-0.26022304832713755</v>
      </c>
      <c r="H45" s="567">
        <f t="shared" si="38"/>
        <v>6.5098946195400433</v>
      </c>
      <c r="I45" s="566">
        <f t="shared" si="38"/>
        <v>2.8210838901262068</v>
      </c>
      <c r="J45" s="566">
        <f t="shared" si="38"/>
        <v>2.7777777777777777</v>
      </c>
      <c r="K45" s="566">
        <f t="shared" si="38"/>
        <v>2.3062730627306274</v>
      </c>
      <c r="L45" s="566">
        <f t="shared" si="38"/>
        <v>4.188443135811557</v>
      </c>
      <c r="M45" s="567">
        <f t="shared" si="38"/>
        <v>12.089221913754946</v>
      </c>
      <c r="N45" s="566">
        <f t="shared" si="38"/>
        <v>2.5110294117647061</v>
      </c>
      <c r="O45" s="566">
        <f t="shared" si="38"/>
        <v>3.1734016688600448</v>
      </c>
      <c r="P45" s="566">
        <f t="shared" si="38"/>
        <v>3.7216117216117217</v>
      </c>
      <c r="Q45" s="566">
        <f t="shared" si="38"/>
        <v>5.91055927044951</v>
      </c>
      <c r="R45" s="567">
        <f>+R40/R42</f>
        <v>15.31445385971354</v>
      </c>
      <c r="S45" s="566">
        <f>+S40/S42</f>
        <v>3.4643387815750373</v>
      </c>
      <c r="T45" s="566">
        <f t="shared" si="38"/>
        <v>4.033408408408409</v>
      </c>
      <c r="U45" s="566">
        <f t="shared" si="38"/>
        <v>3.0250123353702505</v>
      </c>
      <c r="V45" s="566">
        <f t="shared" si="38"/>
        <v>5.3420695950782431</v>
      </c>
      <c r="W45" s="568">
        <f>+W40/W42</f>
        <v>15.853993280537942</v>
      </c>
      <c r="X45" s="566">
        <f t="shared" si="38"/>
        <v>3.8368669309260692</v>
      </c>
      <c r="Y45" s="566">
        <f t="shared" si="38"/>
        <v>3.8554707088030651</v>
      </c>
      <c r="Z45" s="566">
        <f t="shared" si="38"/>
        <v>2.8334392035334695</v>
      </c>
      <c r="AA45" s="566">
        <f t="shared" si="38"/>
        <v>4.5847255187311458</v>
      </c>
      <c r="AB45" s="567">
        <f t="shared" si="38"/>
        <v>15.120906654404012</v>
      </c>
      <c r="AC45" s="566">
        <f t="shared" si="38"/>
        <v>4.1420708196970502</v>
      </c>
      <c r="AD45" s="566">
        <f t="shared" si="38"/>
        <v>4.1459629185782809</v>
      </c>
      <c r="AE45" s="566">
        <f t="shared" si="38"/>
        <v>3.0015280138023424</v>
      </c>
      <c r="AF45" s="566">
        <f t="shared" si="38"/>
        <v>4.9025069865334689</v>
      </c>
      <c r="AG45" s="567">
        <f t="shared" si="38"/>
        <v>16.19546759670791</v>
      </c>
      <c r="AH45" s="566">
        <f t="shared" si="38"/>
        <v>3.7567167331330644</v>
      </c>
      <c r="AI45" s="566">
        <f t="shared" si="38"/>
        <v>3.6160370190144628</v>
      </c>
      <c r="AJ45" s="566">
        <f t="shared" si="38"/>
        <v>2.5575052272558243</v>
      </c>
      <c r="AK45" s="566">
        <f t="shared" si="38"/>
        <v>4.5590081892763941</v>
      </c>
      <c r="AL45" s="567">
        <f t="shared" si="38"/>
        <v>14.489965315770617</v>
      </c>
      <c r="AM45" s="566">
        <f t="shared" si="38"/>
        <v>3.5301305971432049</v>
      </c>
      <c r="AN45" s="566">
        <f t="shared" si="38"/>
        <v>3.2397305332524415</v>
      </c>
      <c r="AO45" s="566">
        <f t="shared" si="38"/>
        <v>2.1650706924055387</v>
      </c>
      <c r="AP45" s="566">
        <f t="shared" si="38"/>
        <v>4.2062740381677468</v>
      </c>
      <c r="AQ45" s="567">
        <f t="shared" si="38"/>
        <v>13.142066117223287</v>
      </c>
    </row>
    <row r="46" spans="1:43" x14ac:dyDescent="0.25">
      <c r="B46" s="709" t="s">
        <v>42</v>
      </c>
      <c r="C46" s="710"/>
      <c r="D46" s="115">
        <v>0.25</v>
      </c>
      <c r="E46" s="115">
        <v>0.25</v>
      </c>
      <c r="F46" s="115">
        <v>0.25</v>
      </c>
      <c r="G46" s="115">
        <v>0.25</v>
      </c>
      <c r="H46" s="116">
        <f>SUM(D46:G46)</f>
        <v>1</v>
      </c>
      <c r="I46" s="115">
        <v>0.4</v>
      </c>
      <c r="J46" s="115">
        <v>0.4</v>
      </c>
      <c r="K46" s="115">
        <v>0.4</v>
      </c>
      <c r="L46" s="115">
        <v>0.4</v>
      </c>
      <c r="M46" s="116">
        <f>SUM(I46:L46)</f>
        <v>1.6</v>
      </c>
      <c r="N46" s="115">
        <v>0.5</v>
      </c>
      <c r="O46" s="115">
        <v>0.5</v>
      </c>
      <c r="P46" s="115">
        <v>0.5</v>
      </c>
      <c r="Q46" s="115">
        <v>0.5</v>
      </c>
      <c r="R46" s="116">
        <f>SUM(N46:Q46)</f>
        <v>2</v>
      </c>
      <c r="S46" s="115">
        <v>0.65</v>
      </c>
      <c r="T46" s="115">
        <v>0.65</v>
      </c>
      <c r="U46" s="115">
        <v>0.65</v>
      </c>
      <c r="V46" s="115">
        <f>Q46*(1+V47)</f>
        <v>0.65</v>
      </c>
      <c r="W46" s="116">
        <f>SUM(S46:V46)</f>
        <v>2.6</v>
      </c>
      <c r="X46" s="115">
        <f>S46*(1+X47)</f>
        <v>0.8125</v>
      </c>
      <c r="Y46" s="115">
        <f>T46*(1+Y47)</f>
        <v>0.8125</v>
      </c>
      <c r="Z46" s="115">
        <f>U46*(1+Z47)</f>
        <v>0.8125</v>
      </c>
      <c r="AA46" s="115">
        <f>V46*(1+AA47)</f>
        <v>0.8125</v>
      </c>
      <c r="AB46" s="116">
        <f>SUM(X46:AA46)</f>
        <v>3.25</v>
      </c>
      <c r="AC46" s="115">
        <f>X46*(1+AC47)</f>
        <v>1.015625</v>
      </c>
      <c r="AD46" s="115">
        <f>Y46*(1+AD47)</f>
        <v>1.015625</v>
      </c>
      <c r="AE46" s="115">
        <f>Z46*(1+AE47)</f>
        <v>1.015625</v>
      </c>
      <c r="AF46" s="115">
        <f>AA46*(1+AF47)</f>
        <v>1.015625</v>
      </c>
      <c r="AG46" s="116">
        <f>SUM(AC46:AF46)</f>
        <v>4.0625</v>
      </c>
      <c r="AH46" s="115">
        <f>AC46*(1+AH47)</f>
        <v>1.21875</v>
      </c>
      <c r="AI46" s="115">
        <f>AD46*(1+AI47)</f>
        <v>1.21875</v>
      </c>
      <c r="AJ46" s="115">
        <f>AE46*(1+AJ47)</f>
        <v>1.21875</v>
      </c>
      <c r="AK46" s="115">
        <f>AF46*(1+AK47)</f>
        <v>1.21875</v>
      </c>
      <c r="AL46" s="116">
        <f>SUM(AH46:AK46)</f>
        <v>4.875</v>
      </c>
      <c r="AM46" s="115">
        <f>AH46*(1+AM47)</f>
        <v>1.4015624999999998</v>
      </c>
      <c r="AN46" s="115">
        <f>AI46*(1+AN47)</f>
        <v>1.4015624999999998</v>
      </c>
      <c r="AO46" s="115">
        <f>AJ46*(1+AO47)</f>
        <v>1.4015624999999998</v>
      </c>
      <c r="AP46" s="115">
        <f>AK46*(1+AP47)</f>
        <v>1.4015624999999998</v>
      </c>
      <c r="AQ46" s="116">
        <f>SUM(AM46:AP46)</f>
        <v>5.6062499999999993</v>
      </c>
    </row>
    <row r="47" spans="1:43" x14ac:dyDescent="0.25">
      <c r="B47" s="303" t="s">
        <v>83</v>
      </c>
      <c r="C47" s="304"/>
      <c r="D47" s="117">
        <f>D46/0.2-1</f>
        <v>0.25</v>
      </c>
      <c r="E47" s="117">
        <f>E46/0.2-1</f>
        <v>0.25</v>
      </c>
      <c r="F47" s="117">
        <f>F46/0.2-1</f>
        <v>0.25</v>
      </c>
      <c r="G47" s="117">
        <f>G46/0.2-1</f>
        <v>0.25</v>
      </c>
      <c r="H47" s="413">
        <f>H46/0.8-1</f>
        <v>0.25</v>
      </c>
      <c r="I47" s="117">
        <f t="shared" ref="I47:U47" si="39">I46/D46-1</f>
        <v>0.60000000000000009</v>
      </c>
      <c r="J47" s="117">
        <f t="shared" si="39"/>
        <v>0.60000000000000009</v>
      </c>
      <c r="K47" s="117">
        <f t="shared" si="39"/>
        <v>0.60000000000000009</v>
      </c>
      <c r="L47" s="117">
        <f t="shared" si="39"/>
        <v>0.60000000000000009</v>
      </c>
      <c r="M47" s="413">
        <f t="shared" si="39"/>
        <v>0.60000000000000009</v>
      </c>
      <c r="N47" s="117">
        <f t="shared" si="39"/>
        <v>0.25</v>
      </c>
      <c r="O47" s="117">
        <f t="shared" si="39"/>
        <v>0.25</v>
      </c>
      <c r="P47" s="117">
        <f t="shared" si="39"/>
        <v>0.25</v>
      </c>
      <c r="Q47" s="117">
        <f t="shared" si="39"/>
        <v>0.25</v>
      </c>
      <c r="R47" s="414">
        <f t="shared" si="39"/>
        <v>0.25</v>
      </c>
      <c r="S47" s="117">
        <f t="shared" si="39"/>
        <v>0.30000000000000004</v>
      </c>
      <c r="T47" s="117">
        <f t="shared" si="39"/>
        <v>0.30000000000000004</v>
      </c>
      <c r="U47" s="117">
        <f t="shared" si="39"/>
        <v>0.30000000000000004</v>
      </c>
      <c r="V47" s="309">
        <v>0.3</v>
      </c>
      <c r="W47" s="414">
        <f>W46/R46-1</f>
        <v>0.30000000000000004</v>
      </c>
      <c r="X47" s="309">
        <v>0.25</v>
      </c>
      <c r="Y47" s="309">
        <v>0.25</v>
      </c>
      <c r="Z47" s="309">
        <v>0.25</v>
      </c>
      <c r="AA47" s="309">
        <v>0.25</v>
      </c>
      <c r="AB47" s="414">
        <f>AB46/W46-1</f>
        <v>0.25</v>
      </c>
      <c r="AC47" s="309">
        <v>0.25</v>
      </c>
      <c r="AD47" s="309">
        <v>0.25</v>
      </c>
      <c r="AE47" s="309">
        <v>0.25</v>
      </c>
      <c r="AF47" s="309">
        <v>0.25</v>
      </c>
      <c r="AG47" s="414">
        <f>AG46/AB46-1</f>
        <v>0.25</v>
      </c>
      <c r="AH47" s="309">
        <v>0.2</v>
      </c>
      <c r="AI47" s="309">
        <v>0.2</v>
      </c>
      <c r="AJ47" s="309">
        <v>0.2</v>
      </c>
      <c r="AK47" s="309">
        <v>0.2</v>
      </c>
      <c r="AL47" s="414">
        <f>AL46/AG46-1</f>
        <v>0.19999999999999996</v>
      </c>
      <c r="AM47" s="309">
        <v>0.15</v>
      </c>
      <c r="AN47" s="309">
        <v>0.15</v>
      </c>
      <c r="AO47" s="309">
        <v>0.15</v>
      </c>
      <c r="AP47" s="309">
        <v>0.15</v>
      </c>
      <c r="AQ47" s="414">
        <f>AQ46/AL46-1</f>
        <v>0.14999999999999991</v>
      </c>
    </row>
    <row r="48" spans="1:43" s="59" customFormat="1" x14ac:dyDescent="0.25">
      <c r="B48" s="118"/>
      <c r="C48" s="188"/>
      <c r="D48" s="188"/>
      <c r="E48" s="188"/>
      <c r="F48" s="188"/>
      <c r="G48" s="188"/>
      <c r="H48" s="62"/>
      <c r="I48" s="188"/>
      <c r="J48" s="188"/>
      <c r="K48" s="188"/>
      <c r="L48" s="188"/>
      <c r="M48" s="62"/>
      <c r="N48" s="188"/>
      <c r="O48" s="188"/>
      <c r="P48" s="188"/>
      <c r="Q48" s="188"/>
      <c r="R48" s="62"/>
      <c r="S48" s="423"/>
      <c r="T48" s="188"/>
      <c r="U48" s="188"/>
      <c r="V48" s="188"/>
      <c r="W48" s="62"/>
      <c r="X48" s="188"/>
      <c r="Y48" s="188"/>
      <c r="Z48" s="188"/>
      <c r="AA48" s="188"/>
      <c r="AB48" s="62"/>
      <c r="AC48" s="188"/>
      <c r="AD48" s="188"/>
      <c r="AE48" s="188"/>
      <c r="AF48" s="188"/>
      <c r="AG48" s="62"/>
      <c r="AH48" s="188"/>
      <c r="AI48" s="188"/>
      <c r="AJ48" s="188"/>
      <c r="AK48" s="188"/>
      <c r="AL48" s="62"/>
      <c r="AM48" s="188"/>
      <c r="AN48" s="188"/>
      <c r="AO48" s="188"/>
      <c r="AP48" s="188"/>
      <c r="AQ48" s="62"/>
    </row>
    <row r="49" spans="1:43" ht="15.75" x14ac:dyDescent="0.25">
      <c r="B49" s="713" t="s">
        <v>89</v>
      </c>
      <c r="C49" s="714"/>
      <c r="D49" s="90" t="s">
        <v>120</v>
      </c>
      <c r="E49" s="90" t="s">
        <v>121</v>
      </c>
      <c r="F49" s="90" t="s">
        <v>122</v>
      </c>
      <c r="G49" s="90" t="s">
        <v>123</v>
      </c>
      <c r="H49" s="400" t="s">
        <v>123</v>
      </c>
      <c r="I49" s="90" t="s">
        <v>124</v>
      </c>
      <c r="J49" s="90" t="s">
        <v>125</v>
      </c>
      <c r="K49" s="90" t="s">
        <v>126</v>
      </c>
      <c r="L49" s="90" t="s">
        <v>127</v>
      </c>
      <c r="M49" s="400" t="s">
        <v>127</v>
      </c>
      <c r="N49" s="90" t="s">
        <v>128</v>
      </c>
      <c r="O49" s="90" t="s">
        <v>129</v>
      </c>
      <c r="P49" s="90" t="s">
        <v>130</v>
      </c>
      <c r="Q49" s="90" t="s">
        <v>131</v>
      </c>
      <c r="R49" s="400" t="s">
        <v>131</v>
      </c>
      <c r="S49" s="90" t="s">
        <v>132</v>
      </c>
      <c r="T49" s="90" t="s">
        <v>133</v>
      </c>
      <c r="U49" s="90" t="s">
        <v>134</v>
      </c>
      <c r="V49" s="92" t="s">
        <v>135</v>
      </c>
      <c r="W49" s="404" t="s">
        <v>135</v>
      </c>
      <c r="X49" s="92" t="s">
        <v>136</v>
      </c>
      <c r="Y49" s="92" t="s">
        <v>137</v>
      </c>
      <c r="Z49" s="92" t="s">
        <v>138</v>
      </c>
      <c r="AA49" s="92" t="s">
        <v>139</v>
      </c>
      <c r="AB49" s="404" t="s">
        <v>139</v>
      </c>
      <c r="AC49" s="92" t="s">
        <v>140</v>
      </c>
      <c r="AD49" s="92" t="s">
        <v>141</v>
      </c>
      <c r="AE49" s="92" t="s">
        <v>142</v>
      </c>
      <c r="AF49" s="92" t="s">
        <v>143</v>
      </c>
      <c r="AG49" s="404" t="s">
        <v>143</v>
      </c>
      <c r="AH49" s="92" t="s">
        <v>144</v>
      </c>
      <c r="AI49" s="92" t="s">
        <v>145</v>
      </c>
      <c r="AJ49" s="92" t="s">
        <v>146</v>
      </c>
      <c r="AK49" s="92" t="s">
        <v>147</v>
      </c>
      <c r="AL49" s="404" t="s">
        <v>147</v>
      </c>
      <c r="AM49" s="92" t="s">
        <v>148</v>
      </c>
      <c r="AN49" s="92" t="s">
        <v>149</v>
      </c>
      <c r="AO49" s="92" t="s">
        <v>150</v>
      </c>
      <c r="AP49" s="92" t="s">
        <v>151</v>
      </c>
      <c r="AQ49" s="404" t="s">
        <v>151</v>
      </c>
    </row>
    <row r="50" spans="1:43" ht="17.25" x14ac:dyDescent="0.4">
      <c r="B50" s="731"/>
      <c r="C50" s="732"/>
      <c r="D50" s="91" t="s">
        <v>71</v>
      </c>
      <c r="E50" s="91" t="s">
        <v>74</v>
      </c>
      <c r="F50" s="91" t="s">
        <v>75</v>
      </c>
      <c r="G50" s="91" t="s">
        <v>78</v>
      </c>
      <c r="H50" s="401" t="s">
        <v>79</v>
      </c>
      <c r="I50" s="91" t="s">
        <v>80</v>
      </c>
      <c r="J50" s="91" t="s">
        <v>91</v>
      </c>
      <c r="K50" s="91" t="s">
        <v>109</v>
      </c>
      <c r="L50" s="91" t="s">
        <v>113</v>
      </c>
      <c r="M50" s="401" t="s">
        <v>114</v>
      </c>
      <c r="N50" s="91" t="s">
        <v>115</v>
      </c>
      <c r="O50" s="91" t="s">
        <v>116</v>
      </c>
      <c r="P50" s="91" t="s">
        <v>117</v>
      </c>
      <c r="Q50" s="91" t="s">
        <v>118</v>
      </c>
      <c r="R50" s="401" t="s">
        <v>119</v>
      </c>
      <c r="S50" s="91" t="s">
        <v>507</v>
      </c>
      <c r="T50" s="91" t="s">
        <v>749</v>
      </c>
      <c r="U50" s="91" t="s">
        <v>769</v>
      </c>
      <c r="V50" s="89" t="s">
        <v>378</v>
      </c>
      <c r="W50" s="405" t="s">
        <v>379</v>
      </c>
      <c r="X50" s="89" t="s">
        <v>380</v>
      </c>
      <c r="Y50" s="89" t="s">
        <v>381</v>
      </c>
      <c r="Z50" s="89" t="s">
        <v>382</v>
      </c>
      <c r="AA50" s="89" t="s">
        <v>383</v>
      </c>
      <c r="AB50" s="405" t="s">
        <v>384</v>
      </c>
      <c r="AC50" s="89" t="s">
        <v>385</v>
      </c>
      <c r="AD50" s="89" t="s">
        <v>386</v>
      </c>
      <c r="AE50" s="89" t="s">
        <v>387</v>
      </c>
      <c r="AF50" s="89" t="s">
        <v>388</v>
      </c>
      <c r="AG50" s="405" t="s">
        <v>389</v>
      </c>
      <c r="AH50" s="89" t="s">
        <v>390</v>
      </c>
      <c r="AI50" s="89" t="s">
        <v>391</v>
      </c>
      <c r="AJ50" s="89" t="s">
        <v>392</v>
      </c>
      <c r="AK50" s="89" t="s">
        <v>393</v>
      </c>
      <c r="AL50" s="405" t="s">
        <v>394</v>
      </c>
      <c r="AM50" s="89" t="s">
        <v>395</v>
      </c>
      <c r="AN50" s="89" t="s">
        <v>396</v>
      </c>
      <c r="AO50" s="89" t="s">
        <v>397</v>
      </c>
      <c r="AP50" s="89" t="s">
        <v>398</v>
      </c>
      <c r="AQ50" s="405" t="s">
        <v>399</v>
      </c>
    </row>
    <row r="51" spans="1:43" ht="15.75" x14ac:dyDescent="0.25">
      <c r="B51" s="713" t="s">
        <v>197</v>
      </c>
      <c r="C51" s="714"/>
      <c r="D51" s="90"/>
      <c r="E51" s="90"/>
      <c r="F51" s="90"/>
      <c r="G51" s="90"/>
      <c r="H51" s="400"/>
      <c r="I51" s="90"/>
      <c r="J51" s="90"/>
      <c r="K51" s="90"/>
      <c r="L51" s="90"/>
      <c r="M51" s="400"/>
      <c r="N51" s="90"/>
      <c r="O51" s="90"/>
      <c r="P51" s="90"/>
      <c r="Q51" s="90"/>
      <c r="R51" s="400"/>
      <c r="S51" s="90"/>
      <c r="T51" s="90"/>
      <c r="U51" s="90"/>
      <c r="V51" s="92"/>
      <c r="W51" s="404"/>
      <c r="X51" s="92"/>
      <c r="Y51" s="92"/>
      <c r="Z51" s="92"/>
      <c r="AA51" s="92"/>
      <c r="AB51" s="404"/>
      <c r="AC51" s="92"/>
      <c r="AD51" s="92"/>
      <c r="AE51" s="92"/>
      <c r="AF51" s="92"/>
      <c r="AG51" s="404"/>
      <c r="AH51" s="92"/>
      <c r="AI51" s="92"/>
      <c r="AJ51" s="92"/>
      <c r="AK51" s="92"/>
      <c r="AL51" s="404"/>
      <c r="AM51" s="92"/>
      <c r="AN51" s="92"/>
      <c r="AO51" s="92"/>
      <c r="AP51" s="92"/>
      <c r="AQ51" s="404"/>
    </row>
    <row r="52" spans="1:43" outlineLevel="1" x14ac:dyDescent="0.25">
      <c r="A52" s="53"/>
      <c r="B52" s="249" t="s">
        <v>363</v>
      </c>
      <c r="C52" s="290"/>
      <c r="D52" s="262">
        <f>+D79+D85+D91+D97+D103+D109</f>
        <v>4036.4</v>
      </c>
      <c r="E52" s="262">
        <f>+E79+E85+E91+E97+E103+E109</f>
        <v>4263.5</v>
      </c>
      <c r="F52" s="262">
        <f>+F79+F85+F91+F97+F103+F109</f>
        <v>4308.7</v>
      </c>
      <c r="G52" s="262">
        <f>+G79+G85+G91+G97+G103+G109</f>
        <v>4104.2079999999996</v>
      </c>
      <c r="H52" s="54"/>
      <c r="I52" s="262">
        <f>+I79+I85+I91+I97+I103+I109</f>
        <v>5559</v>
      </c>
      <c r="J52" s="262">
        <f>+J79+J85+J91+J97+J103+J109</f>
        <v>6034.5038999999997</v>
      </c>
      <c r="K52" s="262">
        <f>+K79+K85+K91+K97+K103+K109</f>
        <v>6156.3000000000011</v>
      </c>
      <c r="L52" s="262">
        <f>+L79+L85+L91+L97+L103+L109</f>
        <v>5867.4989989999995</v>
      </c>
      <c r="M52" s="54"/>
      <c r="N52" s="262">
        <f>+N79+N85+N91+N97+N103+N109</f>
        <v>5615.5999999999995</v>
      </c>
      <c r="O52" s="262">
        <f>+O79+O85+O91+O97+O103+O109</f>
        <v>6216</v>
      </c>
      <c r="P52" s="262">
        <f>+P79+P85+P91+P97+P103+P109</f>
        <v>6122.1</v>
      </c>
      <c r="Q52" s="262">
        <f>+Q79+Q85+Q91+Q97+Q103+Q109</f>
        <v>5874.2</v>
      </c>
      <c r="R52" s="54"/>
      <c r="S52" s="262">
        <f>+S79+S85+S91+S97+S103+S109</f>
        <v>5886.7000000000007</v>
      </c>
      <c r="T52" s="262">
        <f>+T79+T85+T91+T97+T103+T109</f>
        <v>6449.5</v>
      </c>
      <c r="U52" s="262">
        <f>+U79+U85+U91+U97+U103+U109</f>
        <v>6283.4</v>
      </c>
      <c r="V52" s="262">
        <f>+V79+V85+V91+V97+V103+V109</f>
        <v>5833.398953184821</v>
      </c>
      <c r="W52" s="54"/>
      <c r="X52" s="262">
        <f>+X79+X85+X91+X97+X103+X109</f>
        <v>5875.3784885412351</v>
      </c>
      <c r="Y52" s="262">
        <f>+Y79+Y85+Y91+Y97+Y103+Y109</f>
        <v>6522.5763088336435</v>
      </c>
      <c r="Z52" s="262">
        <f>+Z79+Z85+Z91+Z97+Z103+Z109</f>
        <v>6371.2199022898167</v>
      </c>
      <c r="AA52" s="262">
        <f>+AA79+AA85+AA91+AA97+AA103+AA109</f>
        <v>5868.6110673998182</v>
      </c>
      <c r="AB52" s="54"/>
      <c r="AC52" s="262">
        <f>+AC79+AC85+AC91+AC97+AC103+AC109</f>
        <v>5884.6915662291758</v>
      </c>
      <c r="AD52" s="262">
        <f>+AD79+AD85+AD91+AD97+AD103+AD109</f>
        <v>6543.2149307136278</v>
      </c>
      <c r="AE52" s="262">
        <f>+AE79+AE85+AE91+AE97+AE103+AE109</f>
        <v>6399.7115566125613</v>
      </c>
      <c r="AF52" s="262">
        <f>+AF79+AF85+AF91+AF97+AF103+AF109</f>
        <v>5853.6589455031926</v>
      </c>
      <c r="AG52" s="54"/>
      <c r="AH52" s="262">
        <f>+AH79+AH85+AH91+AH97+AH103+AH109</f>
        <v>5885.5961857588627</v>
      </c>
      <c r="AI52" s="262">
        <f>+AI79+AI85+AI91+AI97+AI103+AI109</f>
        <v>6547.1711364984949</v>
      </c>
      <c r="AJ52" s="262">
        <f>+AJ79+AJ85+AJ91+AJ97+AJ103+AJ109</f>
        <v>6422.696748080587</v>
      </c>
      <c r="AK52" s="262">
        <f>+AK79+AK85+AK91+AK97+AK103+AK109</f>
        <v>5839.9109343464479</v>
      </c>
      <c r="AL52" s="54"/>
      <c r="AM52" s="262">
        <f>+AM79+AM85+AM91+AM97+AM103+AM109</f>
        <v>5880.0262152545001</v>
      </c>
      <c r="AN52" s="262">
        <f>+AN79+AN85+AN91+AN97+AN103+AN109</f>
        <v>6544.9728994465577</v>
      </c>
      <c r="AO52" s="262">
        <f>+AO79+AO85+AO91+AO97+AO103+AO109</f>
        <v>6443.6541129708712</v>
      </c>
      <c r="AP52" s="262">
        <f>+AP79+AP85+AP91+AP97+AP103+AP109</f>
        <v>5822.7278472283024</v>
      </c>
      <c r="AQ52" s="54"/>
    </row>
    <row r="53" spans="1:43" outlineLevel="1" x14ac:dyDescent="0.25">
      <c r="A53" s="53"/>
      <c r="B53" s="249" t="s">
        <v>198</v>
      </c>
      <c r="C53" s="290"/>
      <c r="D53" s="143">
        <f>+(D79/D52*D81)+(D85/D52*D87)+(D91/D52*D93)+(D97/D52*D99)+(D103/D52*D105)+(D109/D52*D111)</f>
        <v>20.051755029233966</v>
      </c>
      <c r="E53" s="143">
        <f>+(E79/E52*E81)+(E85/E52*E87)+(E91/E52*E93)+(E97/E52*E99)+(E103/E52*E105)+(E109/E52*E111)</f>
        <v>19.514230233376335</v>
      </c>
      <c r="F53" s="143">
        <f>+(F79/F52*F81)+(F85/F52*F87)+(F91/F52*F93)+(F97/F52*F99)+(F103/F52*F105)+(F109/F52*F111)</f>
        <v>19.276487571657345</v>
      </c>
      <c r="G53" s="143">
        <f>+(G79/G52*G81)+(G85/G52*G87)+(G91/G52*G93)+(G97/G52*G99)+(G103/G52*G105)+(G109/G52*G111)</f>
        <v>19.98737853634309</v>
      </c>
      <c r="H53" s="54"/>
      <c r="I53" s="143">
        <f>+(I79/I52*I81)+(I85/I52*I87)+(I91/I52*I93)+(I97/I52*I99)+(I103/I52*I105)+(I109/I52*I111)</f>
        <v>17.707042633567188</v>
      </c>
      <c r="J53" s="143">
        <f>+(J79/J52*J81)+(J85/J52*J87)+(J91/J52*J93)+(J97/J52*J99)+(J103/J52*J105)+(J109/J52*J111)</f>
        <v>17.179728071498985</v>
      </c>
      <c r="K53" s="143">
        <f>+(K79/K52*K81)+(K85/K52*K87)+(K91/K52*K93)+(K97/K52*K99)+(K103/K52*K105)+(K109/K52*K111)</f>
        <v>17.055023829248086</v>
      </c>
      <c r="L53" s="143">
        <f>+(L79/L52*L81)+(L85/L52*L87)+(L91/L52*L93)+(L97/L52*L99)+(L103/L52*L105)+(L109/L52*L111)</f>
        <v>17.925037162256018</v>
      </c>
      <c r="M53" s="54"/>
      <c r="N53" s="143">
        <f>+(N79/N52*N81)+(N85/N52*N87)+(N91/N52*N93)+(N97/N52*N99)+(N103/N52*N105)+(N109/N52*N111)</f>
        <v>18.174105527459222</v>
      </c>
      <c r="O53" s="143">
        <f>+(O79/O52*O81)+(O85/O52*O87)+(O91/O52*O93)+(O97/O52*O99)+(O103/O52*O105)+(O109/O52*O111)</f>
        <v>17.897038288288289</v>
      </c>
      <c r="P53" s="143">
        <f>+(P79/P52*P81)+(P85/P52*P87)+(P91/P52*P93)+(P97/P52*P99)+(P103/P52*P105)+(P109/P52*P111)</f>
        <v>18.445283644501067</v>
      </c>
      <c r="Q53" s="143">
        <f>+(Q79/Q52*Q81)+(Q85/Q52*Q87)+(Q91/Q52*Q93)+(Q97/Q52*Q99)+(Q103/Q52*Q105)+(Q109/Q52*Q111)</f>
        <v>19.259164413877631</v>
      </c>
      <c r="R53" s="54"/>
      <c r="S53" s="143">
        <f>+(S79/S52*S81)+(S85/S52*S87)+(S91/S52*S93)+(S97/S52*S99)+(S103/S52*S105)+(S109/S52*S111)</f>
        <v>18.636935991302426</v>
      </c>
      <c r="T53" s="143">
        <f>+(T79/T52*T81)+(T85/T52*T87)+(T91/T52*T93)+(T97/T52*T99)+(T103/T52*T105)+(T109/T52*T111)</f>
        <v>18.299246653228931</v>
      </c>
      <c r="U53" s="143">
        <f>+(U79/U52*U81)+(U85/U52*U87)+(U91/U52*U93)+(U97/U52*U99)+(U103/U52*U105)+(U109/U52*U111)</f>
        <v>18.014202438170418</v>
      </c>
      <c r="V53" s="143">
        <f>+(V79/V52*V81)+(V85/V52*V87)+(V91/V52*V93)+(V97/V52*V99)+(V103/V52*V105)+(V109/V52*V111)</f>
        <v>19.080386252164132</v>
      </c>
      <c r="W53" s="54"/>
      <c r="X53" s="143">
        <f>+(X79/X52*X81)+(X85/X52*X87)+(X91/X52*X93)+(X97/X52*X99)+(X103/X52*X105)+(X109/X52*X111)</f>
        <v>18.229746469223905</v>
      </c>
      <c r="Y53" s="143">
        <f>+(Y79/Y52*Y81)+(Y85/Y52*Y87)+(Y91/Y52*Y93)+(Y97/Y52*Y99)+(Y103/Y52*Y105)+(Y109/Y52*Y111)</f>
        <v>18.062314930836269</v>
      </c>
      <c r="Z53" s="143">
        <f>+(Z79/Z52*Z81)+(Z85/Z52*Z87)+(Z91/Z52*Z93)+(Z97/Z52*Z99)+(Z103/Z52*Z105)+(Z109/Z52*Z111)</f>
        <v>17.700914911402283</v>
      </c>
      <c r="AA53" s="143">
        <f>+(AA79/AA52*AA81)+(AA85/AA52*AA87)+(AA91/AA52*AA93)+(AA97/AA52*AA99)+(AA103/AA52*AA105)+(AA109/AA52*AA111)</f>
        <v>18.850606902875398</v>
      </c>
      <c r="AB53" s="54"/>
      <c r="AC53" s="143">
        <f>+(AC79/AC52*AC81)+(AC85/AC52*AC87)+(AC91/AC52*AC93)+(AC97/AC52*AC99)+(AC103/AC52*AC105)+(AC109/AC52*AC111)</f>
        <v>17.787313841261359</v>
      </c>
      <c r="AD53" s="143">
        <f>+(AD79/AD52*AD81)+(AD85/AD52*AD87)+(AD91/AD52*AD93)+(AD97/AD52*AD99)+(AD103/AD52*AD105)+(AD109/AD52*AD111)</f>
        <v>17.546797297629141</v>
      </c>
      <c r="AE53" s="143">
        <f>+(AE79/AE52*AE81)+(AE85/AE52*AE87)+(AE91/AE52*AE93)+(AE97/AE52*AE99)+(AE103/AE52*AE105)+(AE109/AE52*AE111)</f>
        <v>17.10021595983514</v>
      </c>
      <c r="AF53" s="143">
        <f>+(AF79/AF52*AF81)+(AF85/AF52*AF87)+(AF91/AF52*AF93)+(AF97/AF52*AF99)+(AF103/AF52*AF105)+(AF109/AF52*AF111)</f>
        <v>18.212875642723141</v>
      </c>
      <c r="AG53" s="54"/>
      <c r="AH53" s="143">
        <f>+(AH79/AH52*AH81)+(AH85/AH52*AH87)+(AH91/AH52*AH93)+(AH97/AH52*AH99)+(AH103/AH52*AH105)+(AH109/AH52*AH111)</f>
        <v>17.262628725354929</v>
      </c>
      <c r="AI53" s="143">
        <f>+(AI79/AI52*AI81)+(AI85/AI52*AI87)+(AI91/AI52*AI93)+(AI97/AI52*AI99)+(AI103/AI52*AI105)+(AI109/AI52*AI111)</f>
        <v>16.945698065437611</v>
      </c>
      <c r="AJ53" s="143">
        <f>+(AJ79/AJ52*AJ81)+(AJ85/AJ52*AJ87)+(AJ91/AJ52*AJ93)+(AJ97/AJ52*AJ99)+(AJ103/AJ52*AJ105)+(AJ109/AJ52*AJ111)</f>
        <v>16.460855302584534</v>
      </c>
      <c r="AK53" s="143">
        <f>+(AK79/AK52*AK81)+(AK85/AK52*AK87)+(AK91/AK52*AK93)+(AK97/AK52*AK99)+(AK103/AK52*AK105)+(AK109/AK52*AK111)</f>
        <v>17.571768673345954</v>
      </c>
      <c r="AL53" s="54"/>
      <c r="AM53" s="143">
        <f>+(AM79/AM52*AM81)+(AM85/AM52*AM87)+(AM91/AM52*AM93)+(AM97/AM52*AM99)+(AM103/AM52*AM105)+(AM109/AM52*AM111)</f>
        <v>16.684920832789544</v>
      </c>
      <c r="AN53" s="143">
        <f>+(AN79/AN52*AN81)+(AN85/AN52*AN87)+(AN91/AN52*AN93)+(AN97/AN52*AN99)+(AN103/AN52*AN105)+(AN109/AN52*AN111)</f>
        <v>16.303176386438064</v>
      </c>
      <c r="AO53" s="143">
        <f>+(AO79/AO52*AO81)+(AO85/AO52*AO87)+(AO91/AO52*AO93)+(AO97/AO52*AO99)+(AO103/AO52*AO105)+(AO109/AO52*AO111)</f>
        <v>15.790982387717698</v>
      </c>
      <c r="AP53" s="143">
        <f>+(AP79/AP52*AP81)+(AP85/AP52*AP87)+(AP91/AP52*AP93)+(AP97/AP52*AP99)+(AP103/AP52*AP105)+(AP109/AP52*AP111)</f>
        <v>16.89852912665285</v>
      </c>
      <c r="AQ53" s="54"/>
    </row>
    <row r="54" spans="1:43" outlineLevel="1" x14ac:dyDescent="0.25">
      <c r="A54" s="53"/>
      <c r="B54" s="313" t="s">
        <v>201</v>
      </c>
      <c r="C54" s="300"/>
      <c r="D54" s="125">
        <f>+D83+D89+D95+D101+D107+D113</f>
        <v>5260.8987599999991</v>
      </c>
      <c r="E54" s="125">
        <f>+E83+E89+E95+E101+E107+E113</f>
        <v>5241.5319978000007</v>
      </c>
      <c r="F54" s="125">
        <f>+F83+F89+F95+F101+F107+F113</f>
        <v>5232.5659260000002</v>
      </c>
      <c r="G54" s="125">
        <f>+G83+G89+G95+G101+G107+G113</f>
        <v>5332.1033277126935</v>
      </c>
      <c r="H54" s="54"/>
      <c r="I54" s="125">
        <f>+I83+I89+I95+I101+I107+I113</f>
        <v>6398.1742500000009</v>
      </c>
      <c r="J54" s="125">
        <f>+J83+J89+J95+J101+J107+J113</f>
        <v>6531.2815710492059</v>
      </c>
      <c r="K54" s="125">
        <f>+K83+K89+K95+K101+K107+K113</f>
        <v>6509.7422784000009</v>
      </c>
      <c r="L54" s="125">
        <f>+L83+L89+L95+L101+L107+L113</f>
        <v>6836.3839444273744</v>
      </c>
      <c r="M54" s="54"/>
      <c r="N54" s="125">
        <f>+N83+N89+N95+N101+N107+N113</f>
        <v>6633.8029550000001</v>
      </c>
      <c r="O54" s="125">
        <f>+O83+O89+O95+O101+O107+O113</f>
        <v>7008.6233700000003</v>
      </c>
      <c r="P54" s="125">
        <f>+P83+P89+P95+P101+P107+P113</f>
        <v>7001.2800020000004</v>
      </c>
      <c r="Q54" s="125">
        <f>+Q83+Q89+Q95+Q101+Q107+Q113</f>
        <v>7353.591934</v>
      </c>
      <c r="R54" s="54"/>
      <c r="S54" s="125">
        <f>+S83+S89+S95+S101+S107+S113</f>
        <v>7131.1533214999999</v>
      </c>
      <c r="T54" s="125">
        <f>+T83+T89+T95+T101+T107+T113</f>
        <v>7435.3224512699999</v>
      </c>
      <c r="U54" s="125">
        <f>+U83+U89+U95+U101+U107+U113</f>
        <v>7017.8072552000012</v>
      </c>
      <c r="V54" s="125">
        <f>+V83+V89+V95+V101+V107+V113</f>
        <v>7234.7278373328591</v>
      </c>
      <c r="W54" s="54"/>
      <c r="X54" s="125">
        <f>+X83+X89+X95+X101+X107+X113</f>
        <v>6961.9329166945126</v>
      </c>
      <c r="Y54" s="125">
        <f>+Y83+Y89+Y95+Y101+Y107+Y113</f>
        <v>7422.2081293855845</v>
      </c>
      <c r="Z54" s="125">
        <f>+Z83+Z89+Z95+Z101+Z107+Z113</f>
        <v>6992.1381250804188</v>
      </c>
      <c r="AA54" s="125">
        <f>+AA83+AA89+AA95+AA101+AA107+AA113</f>
        <v>7190.7472193321692</v>
      </c>
      <c r="AB54" s="54"/>
      <c r="AC54" s="125">
        <f>+AC83+AC89+AC95+AC101+AC107+AC113</f>
        <v>6803.7356235902444</v>
      </c>
      <c r="AD54" s="125">
        <f>+AD83+AD89+AD95+AD101+AD107+AD113</f>
        <v>7233.1853620353086</v>
      </c>
      <c r="AE54" s="125">
        <f>+AE83+AE89+AE95+AE101+AE107+AE113</f>
        <v>6785.0598813211045</v>
      </c>
      <c r="AF54" s="125">
        <f>+AF83+AF89+AF95+AF101+AF107+AF113</f>
        <v>6929.7775579086301</v>
      </c>
      <c r="AG54" s="54"/>
      <c r="AH54" s="125">
        <f>+AH83+AH89+AH95+AH101+AH107+AH113</f>
        <v>6604.0560158378239</v>
      </c>
      <c r="AI54" s="125">
        <f>+AI83+AI89+AI95+AI101+AI107+AI113</f>
        <v>6989.6222714966443</v>
      </c>
      <c r="AJ54" s="125">
        <f>+AJ83+AJ89+AJ95+AJ101+AJ107+AJ113</f>
        <v>6554.8310729971545</v>
      </c>
      <c r="AK54" s="125">
        <f>+AK83+AK89+AK95+AK101+AK107+AK113</f>
        <v>6670.1416607331621</v>
      </c>
      <c r="AL54" s="54"/>
      <c r="AM54" s="125">
        <f>+AM83+AM89+AM95+AM101+AM107+AM113</f>
        <v>6377.0051732561487</v>
      </c>
      <c r="AN54" s="125">
        <f>+AN83+AN89+AN95+AN101+AN107+AN113</f>
        <v>6722.3424003204527</v>
      </c>
      <c r="AO54" s="125">
        <f>+AO83+AO89+AO95+AO101+AO107+AO113</f>
        <v>6308.6009738490002</v>
      </c>
      <c r="AP54" s="125">
        <f>+AP83+AP89+AP95+AP101+AP107+AP113</f>
        <v>6395.7098479924089</v>
      </c>
      <c r="AQ54" s="54"/>
    </row>
    <row r="55" spans="1:43" outlineLevel="1" x14ac:dyDescent="0.25">
      <c r="A55" s="53"/>
      <c r="B55" s="161" t="s">
        <v>364</v>
      </c>
      <c r="C55" s="162"/>
      <c r="D55" s="163">
        <f>+D115+D121+D127+D133</f>
        <v>10377.9</v>
      </c>
      <c r="E55" s="163">
        <f>+E115+E121+E127+E133</f>
        <v>11495</v>
      </c>
      <c r="F55" s="163">
        <f>+F115+F121+F127+F133</f>
        <v>11376.4</v>
      </c>
      <c r="G55" s="163">
        <f>+G115+G121+G127+G133</f>
        <v>12001.89</v>
      </c>
      <c r="H55" s="165"/>
      <c r="I55" s="163">
        <f>+I115+I121+I127+I133</f>
        <v>25882.400000000001</v>
      </c>
      <c r="J55" s="163">
        <f>+J115+J121+J127+J133</f>
        <v>28145.8</v>
      </c>
      <c r="K55" s="163">
        <f>+K115+K121+K127+K133</f>
        <v>28269.4</v>
      </c>
      <c r="L55" s="163">
        <f>+L115+L121+L127+L133</f>
        <v>28036.3</v>
      </c>
      <c r="M55" s="165"/>
      <c r="N55" s="163">
        <f>+N115+N121+N127+N133</f>
        <v>24766.5</v>
      </c>
      <c r="O55" s="163">
        <f>+O115+O121+O127+O133</f>
        <v>29556</v>
      </c>
      <c r="P55" s="163">
        <f>+P115+P121+P127+P133</f>
        <v>29347.8</v>
      </c>
      <c r="Q55" s="163">
        <f>+Q115+Q121+Q127+Q133</f>
        <v>29576</v>
      </c>
      <c r="R55" s="165"/>
      <c r="S55" s="163">
        <f>+S115+S121+S127+S133</f>
        <v>28800</v>
      </c>
      <c r="T55" s="163">
        <f>+T115+T121+T127+T133</f>
        <v>31733.699999999997</v>
      </c>
      <c r="U55" s="163">
        <f>+U115+U121+U127+U133</f>
        <v>29617</v>
      </c>
      <c r="V55" s="163">
        <f>+V115+V121+V127+V133</f>
        <v>30685.616940537337</v>
      </c>
      <c r="W55" s="165"/>
      <c r="X55" s="163">
        <f>+X115+X121+X127+X133</f>
        <v>29979.113717177275</v>
      </c>
      <c r="Y55" s="163">
        <f>+Y115+Y121+Y127+Y133</f>
        <v>33083.837985744722</v>
      </c>
      <c r="Z55" s="163">
        <f>+Z115+Z121+Z127+Z133</f>
        <v>30845.632320114055</v>
      </c>
      <c r="AA55" s="163">
        <f>+AA115+AA121+AA127+AA133</f>
        <v>32239.726980214476</v>
      </c>
      <c r="AB55" s="165"/>
      <c r="AC55" s="163">
        <f>+AC115+AC121+AC127+AC133</f>
        <v>31204.984061478201</v>
      </c>
      <c r="AD55" s="163">
        <f>+AD115+AD121+AD127+AD133</f>
        <v>34443.612257114612</v>
      </c>
      <c r="AE55" s="163">
        <f>+AE115+AE121+AE127+AE133</f>
        <v>32053.965839368859</v>
      </c>
      <c r="AF55" s="163">
        <f>+AF115+AF121+AF127+AF133</f>
        <v>33503.623965094019</v>
      </c>
      <c r="AG55" s="165"/>
      <c r="AH55" s="163">
        <f>+AH115+AH121+AH127+AH133</f>
        <v>32487.023408567693</v>
      </c>
      <c r="AI55" s="163">
        <f>+AI115+AI121+AI127+AI133</f>
        <v>35875.66305385829</v>
      </c>
      <c r="AJ55" s="163">
        <f>+AJ115+AJ121+AJ127+AJ133</f>
        <v>33343.316870744711</v>
      </c>
      <c r="AK55" s="163">
        <f>+AK115+AK121+AK127+AK133</f>
        <v>34879.166256676952</v>
      </c>
      <c r="AL55" s="165"/>
      <c r="AM55" s="163">
        <f>+AM115+AM121+AM127+AM133</f>
        <v>33837.484089786871</v>
      </c>
      <c r="AN55" s="163">
        <f>+AN115+AN121+AN127+AN133</f>
        <v>37390.584389147283</v>
      </c>
      <c r="AO55" s="163">
        <f>+AO115+AO121+AO127+AO133</f>
        <v>34709.039294405295</v>
      </c>
      <c r="AP55" s="163">
        <f>+AP115+AP121+AP127+AP133</f>
        <v>36333.077411768965</v>
      </c>
      <c r="AQ55" s="165"/>
    </row>
    <row r="56" spans="1:43" outlineLevel="1" x14ac:dyDescent="0.25">
      <c r="A56" s="53"/>
      <c r="B56" s="159" t="s">
        <v>199</v>
      </c>
      <c r="C56" s="128"/>
      <c r="D56" s="130">
        <f>+(D115/D55*D117)+(D121/D55*D123)+(D127/D55*D129)+(D133/D55*D135)</f>
        <v>1.4222248817198084</v>
      </c>
      <c r="E56" s="130">
        <f>+(E115/E55*E117)+(E121/E55*E123)+(E127/E55*E129)+(E133/E55*E135)</f>
        <v>1.3319469334493257</v>
      </c>
      <c r="F56" s="130">
        <f>+(F115/F55*F117)+(F121/F55*F123)+(F127/F55*F129)+(F133/F55*F135)</f>
        <v>1.3986298653352554</v>
      </c>
      <c r="G56" s="130">
        <f>+(G115/G55*G117)+(G121/G55*G123)+(G127/G55*G129)+(G133/G55*G135)</f>
        <v>1.366286631188921</v>
      </c>
      <c r="H56" s="136"/>
      <c r="I56" s="130">
        <f>+(I115/I55*I117)+(I121/I55*I123)+(I127/I55*I129)+(I133/I55*I135)</f>
        <v>0.93152128859765715</v>
      </c>
      <c r="J56" s="130">
        <f>+(J115/J55*J117)+(J121/J55*J123)+(J127/J55*J129)+(J133/J55*J135)</f>
        <v>0.9020457581592991</v>
      </c>
      <c r="K56" s="130">
        <f>+(K115/K55*K117)+(K121/K55*K123)+(K127/K55*K129)+(K133/K55*K135)</f>
        <v>0.94641077631644099</v>
      </c>
      <c r="L56" s="130">
        <f>+(L115/L55*L117)+(L121/L55*L123)+(L127/L55*L129)+(L133/L55*L135)</f>
        <v>0.93511763321122976</v>
      </c>
      <c r="M56" s="136"/>
      <c r="N56" s="130">
        <f>+(N115/N55*N117)+(N121/N55*N123)+(N127/N55*N129)+(N133/N55*N135)</f>
        <v>0.9610276987059132</v>
      </c>
      <c r="O56" s="130">
        <f>+(O115/O55*O117)+(O121/O55*O123)+(O127/O55*O129)+(O133/O55*O135)</f>
        <v>0.97748115441873051</v>
      </c>
      <c r="P56" s="130">
        <f>+(P115/P55*P117)+(P121/P55*P123)+(P127/P55*P129)+(P133/P55*P135)</f>
        <v>1.0267137843381786</v>
      </c>
      <c r="Q56" s="130">
        <f>+(Q115/Q55*Q117)+(Q121/Q55*Q123)+(Q127/Q55*Q129)+(Q133/Q55*Q135)</f>
        <v>1.0452215985934541</v>
      </c>
      <c r="R56" s="136"/>
      <c r="S56" s="130">
        <f>+(S115/S55*S117)+(S121/S55*S123)+(S127/S55*S129)+(S133/S55*S135)</f>
        <v>1.0062736805555557</v>
      </c>
      <c r="T56" s="130">
        <f>+(T115/T55*T117)+(T121/T55*T123)+(T127/T55*T129)+(T133/T55*T135)</f>
        <v>0.99682650305511178</v>
      </c>
      <c r="U56" s="130">
        <f>+(U115/U55*U117)+(U121/U55*U123)+(U127/U55*U129)+(U133/U55*U135)</f>
        <v>0.99170918729108282</v>
      </c>
      <c r="V56" s="130">
        <f>+(V115/V55*V117)+(V121/V55*V123)+(V127/V55*V129)+(V133/V55*V135)</f>
        <v>1.048877339789825</v>
      </c>
      <c r="W56" s="136"/>
      <c r="X56" s="130">
        <f>+(X115/X55*X117)+(X121/X55*X123)+(X127/X55*X129)+(X133/X55*X135)</f>
        <v>0.98755136997186788</v>
      </c>
      <c r="Y56" s="130">
        <f>+(Y115/Y55*Y117)+(Y121/Y55*Y123)+(Y127/Y55*Y129)+(Y133/Y55*Y135)</f>
        <v>0.98189229403125577</v>
      </c>
      <c r="Z56" s="130">
        <f>+(Z115/Z55*Z117)+(Z121/Z55*Z123)+(Z127/Z55*Z129)+(Z133/Z55*Z135)</f>
        <v>0.97765710329980193</v>
      </c>
      <c r="AA56" s="130">
        <f>+(AA115/AA55*AA117)+(AA121/AA55*AA123)+(AA127/AA55*AA129)+(AA133/AA55*AA135)</f>
        <v>1.0369002747322171</v>
      </c>
      <c r="AB56" s="136"/>
      <c r="AC56" s="130">
        <f>+(AC115/AC55*AC117)+(AC121/AC55*AC123)+(AC127/AC55*AC129)+(AC133/AC55*AC135)</f>
        <v>0.96962326914767782</v>
      </c>
      <c r="AD56" s="130">
        <f>+(AD115/AD55*AD117)+(AD121/AD55*AD123)+(AD127/AD55*AD129)+(AD133/AD55*AD135)</f>
        <v>0.96129011053545688</v>
      </c>
      <c r="AE56" s="130">
        <f>+(AE115/AE55*AE117)+(AE121/AE55*AE123)+(AE127/AE55*AE129)+(AE133/AE55*AE135)</f>
        <v>0.95878724228281575</v>
      </c>
      <c r="AF56" s="130">
        <f>+(AF115/AF55*AF117)+(AF121/AF55*AF123)+(AF127/AF55*AF129)+(AF133/AF55*AF135)</f>
        <v>1.0132770774095039</v>
      </c>
      <c r="AG56" s="136"/>
      <c r="AH56" s="130">
        <f>+(AH115/AH55*AH117)+(AH121/AH55*AH123)+(AH127/AH55*AH129)+(AH133/AH55*AH135)</f>
        <v>0.94895534571930085</v>
      </c>
      <c r="AI56" s="130">
        <f>+(AI115/AI55*AI117)+(AI121/AI55*AI123)+(AI127/AI55*AI129)+(AI133/AI55*AI135)</f>
        <v>0.93759097647797418</v>
      </c>
      <c r="AJ56" s="130">
        <f>+(AJ115/AJ55*AJ117)+(AJ121/AJ55*AJ123)+(AJ127/AJ55*AJ129)+(AJ133/AJ55*AJ135)</f>
        <v>0.9371901209769955</v>
      </c>
      <c r="AK56" s="130">
        <f>+(AK115/AK55*AK117)+(AK121/AK55*AK123)+(AK127/AK55*AK129)+(AK133/AK55*AK135)</f>
        <v>0.98732831598651238</v>
      </c>
      <c r="AL56" s="136"/>
      <c r="AM56" s="130">
        <f>+(AM115/AM55*AM117)+(AM121/AM55*AM123)+(AM127/AM55*AM129)+(AM133/AM55*AM135)</f>
        <v>0.92573001051022974</v>
      </c>
      <c r="AN56" s="130">
        <f>+(AN115/AN55*AN117)+(AN121/AN55*AN123)+(AN127/AN55*AN129)+(AN133/AN55*AN135)</f>
        <v>0.91155218628360901</v>
      </c>
      <c r="AO56" s="130">
        <f>+(AO115/AO55*AO117)+(AO121/AO55*AO123)+(AO127/AO55*AO129)+(AO133/AO55*AO135)</f>
        <v>0.91315544094455559</v>
      </c>
      <c r="AP56" s="130">
        <f>+(AP115/AP55*AP117)+(AP121/AP55*AP123)+(AP127/AP55*AP129)+(AP133/AP55*AP135)</f>
        <v>0.95904363783617153</v>
      </c>
      <c r="AQ56" s="136"/>
    </row>
    <row r="57" spans="1:43" outlineLevel="1" x14ac:dyDescent="0.25">
      <c r="A57" s="53"/>
      <c r="B57" s="160" t="s">
        <v>202</v>
      </c>
      <c r="C57" s="131"/>
      <c r="D57" s="148">
        <f>+D119+D125+D131+D138</f>
        <v>959.38099399999987</v>
      </c>
      <c r="E57" s="148">
        <f>+E119+E125+E131+E138</f>
        <v>964.57599000000005</v>
      </c>
      <c r="F57" s="148">
        <f>+F119+F125+F131+F138</f>
        <v>1002.4164863999999</v>
      </c>
      <c r="G57" s="148">
        <f>+G119+G125+G131+G138</f>
        <v>1065.87142064</v>
      </c>
      <c r="H57" s="137"/>
      <c r="I57" s="148">
        <f>+I119+I125+I131+I138</f>
        <v>1567.1504289999998</v>
      </c>
      <c r="J57" s="148">
        <f>+J119+J125+J131+J138</f>
        <v>1599.4943684999998</v>
      </c>
      <c r="K57" s="148">
        <f>+K119+K125+K131+K138</f>
        <v>1658.7768176000002</v>
      </c>
      <c r="L57" s="148">
        <f>+L119+L125+L131+L138</f>
        <v>1704.1205024999999</v>
      </c>
      <c r="M57" s="137"/>
      <c r="N57" s="148">
        <f>+N119+N125+N131+N138</f>
        <v>1547.0840125</v>
      </c>
      <c r="O57" s="148">
        <f>+O119+O125+O131+O138</f>
        <v>1829.0972790000001</v>
      </c>
      <c r="P57" s="148">
        <f>+P119+P125+P131+P138</f>
        <v>1875.1710295999999</v>
      </c>
      <c r="Q57" s="148">
        <f>+Q119+Q125+Q131+Q138</f>
        <v>2009.37581</v>
      </c>
      <c r="R57" s="137"/>
      <c r="S57" s="148">
        <f>+S119+S125+S131+S138</f>
        <v>1883.74433</v>
      </c>
      <c r="T57" s="148">
        <f>+T119+T125+T131+T138</f>
        <v>1992.8785716</v>
      </c>
      <c r="U57" s="148">
        <f>+U119+U125+U131+U138</f>
        <v>1821.0299620000001</v>
      </c>
      <c r="V57" s="148">
        <f>+V119+V125+V131+V138</f>
        <v>2092.0541373160258</v>
      </c>
      <c r="W57" s="137"/>
      <c r="X57" s="148">
        <f>+X119+X125+X131+X138</f>
        <v>1924.3844634261543</v>
      </c>
      <c r="Y57" s="148">
        <f>+Y119+Y125+Y131+Y138</f>
        <v>2046.5402312364213</v>
      </c>
      <c r="Z57" s="148">
        <f>+Z119+Z125+Z131+Z138</f>
        <v>1869.6999956990742</v>
      </c>
      <c r="AA57" s="148">
        <f>+AA119+AA125+AA131+AA138</f>
        <v>2172.9098145999437</v>
      </c>
      <c r="AB57" s="137"/>
      <c r="AC57" s="148">
        <f>+AC119+AC125+AC131+AC138</f>
        <v>1966.7101128604586</v>
      </c>
      <c r="AD57" s="148">
        <f>+AD119+AD125+AD131+AD138</f>
        <v>2085.9491415345738</v>
      </c>
      <c r="AE57" s="148">
        <f>+AE119+AE125+AE131+AE138</f>
        <v>1905.4418777040753</v>
      </c>
      <c r="AF57" s="148">
        <f>+AF119+AF125+AF131+AF138</f>
        <v>2206.6495213085359</v>
      </c>
      <c r="AG57" s="137"/>
      <c r="AH57" s="148">
        <f>+AH119+AH125+AH131+AH138</f>
        <v>2003.8677444544442</v>
      </c>
      <c r="AI57" s="148">
        <f>+AI119+AI125+AI131+AI138</f>
        <v>2119.1119711310917</v>
      </c>
      <c r="AJ57" s="148">
        <f>+AJ119+AJ125+AJ131+AJ138</f>
        <v>1937.4396846557868</v>
      </c>
      <c r="AK57" s="148">
        <f>+AK119+AK125+AK131+AK138</f>
        <v>2238.4172514091988</v>
      </c>
      <c r="AL57" s="137"/>
      <c r="AM57" s="148">
        <f>+AM119+AM125+AM131+AM138</f>
        <v>2036.0843426350784</v>
      </c>
      <c r="AN57" s="148">
        <f>+AN119+AN125+AN131+AN138</f>
        <v>2147.2585436199856</v>
      </c>
      <c r="AO57" s="148">
        <f>+AO119+AO125+AO131+AO138</f>
        <v>1965.0743810619633</v>
      </c>
      <c r="AP57" s="148">
        <f>+AP119+AP125+AP131+AP138</f>
        <v>2264.9254377597986</v>
      </c>
      <c r="AQ57" s="137"/>
    </row>
    <row r="58" spans="1:43" outlineLevel="1" x14ac:dyDescent="0.25">
      <c r="A58" s="53"/>
      <c r="B58" s="311" t="s">
        <v>205</v>
      </c>
      <c r="C58" s="312"/>
      <c r="D58" s="263">
        <v>128</v>
      </c>
      <c r="E58" s="263">
        <v>124</v>
      </c>
      <c r="F58" s="263">
        <v>118</v>
      </c>
      <c r="G58" s="263">
        <v>124</v>
      </c>
      <c r="H58" s="201"/>
      <c r="I58" s="263">
        <v>284</v>
      </c>
      <c r="J58" s="263">
        <v>259</v>
      </c>
      <c r="K58" s="263">
        <v>194</v>
      </c>
      <c r="L58" s="263">
        <v>281</v>
      </c>
      <c r="M58" s="201"/>
      <c r="N58" s="263">
        <v>219.5</v>
      </c>
      <c r="O58" s="263">
        <v>238</v>
      </c>
      <c r="P58" s="263">
        <v>222</v>
      </c>
      <c r="Q58" s="263">
        <v>235</v>
      </c>
      <c r="R58" s="201"/>
      <c r="S58" s="263">
        <v>206.4</v>
      </c>
      <c r="T58" s="263">
        <v>175.4</v>
      </c>
      <c r="U58" s="263">
        <v>166.5</v>
      </c>
      <c r="V58" s="263">
        <f>+Q58*(1+V59)</f>
        <v>191.73606694824105</v>
      </c>
      <c r="W58" s="201"/>
      <c r="X58" s="263">
        <f>+S58*(1+X59)</f>
        <v>167.34869965341986</v>
      </c>
      <c r="Y58" s="263">
        <f>+T58*(1+Y59)</f>
        <v>136.53446942891702</v>
      </c>
      <c r="Z58" s="263">
        <f>+U58*(1+Z59)</f>
        <v>131.33161393584456</v>
      </c>
      <c r="AA58" s="263">
        <f>+V58*(1+AA59)</f>
        <v>153.09608746239729</v>
      </c>
      <c r="AB58" s="201"/>
      <c r="AC58" s="263">
        <f>+X58*(1+AC59)</f>
        <v>132.89441513966213</v>
      </c>
      <c r="AD58" s="263">
        <f>+Y58*(1+AD59)</f>
        <v>107.8549288150033</v>
      </c>
      <c r="AE58" s="263">
        <f>+Z58*(1+AE59)</f>
        <v>104.12347491638261</v>
      </c>
      <c r="AF58" s="263">
        <f>+AA58*(1+AF59)</f>
        <v>121.53399405579515</v>
      </c>
      <c r="AG58" s="201"/>
      <c r="AH58" s="263">
        <f>+AC58*(1+AH59)</f>
        <v>105.34318763466055</v>
      </c>
      <c r="AI58" s="263">
        <f>+AD58*(1+AI59)</f>
        <v>85.456152326313486</v>
      </c>
      <c r="AJ58" s="263">
        <f>+AE58*(1+AJ59)</f>
        <v>82.561541191819188</v>
      </c>
      <c r="AK58" s="263">
        <f>+AF58*(1+AK59)</f>
        <v>96.369443095140682</v>
      </c>
      <c r="AL58" s="201"/>
      <c r="AM58" s="263">
        <f>+AH58*(1+AM59)</f>
        <v>83.507392314073797</v>
      </c>
      <c r="AN58" s="263">
        <f>+AI58*(1+AN59)</f>
        <v>67.743321450262798</v>
      </c>
      <c r="AO58" s="263">
        <f>+AJ58*(1+AO59)</f>
        <v>65.45696711896332</v>
      </c>
      <c r="AP58" s="263">
        <f>+AK58*(1+AP59)</f>
        <v>76.401990452518319</v>
      </c>
      <c r="AQ58" s="201"/>
    </row>
    <row r="59" spans="1:43" outlineLevel="1" x14ac:dyDescent="0.25">
      <c r="A59" s="53"/>
      <c r="B59" s="314" t="s">
        <v>325</v>
      </c>
      <c r="C59" s="290"/>
      <c r="D59" s="166">
        <f>+D58/378-1</f>
        <v>-0.66137566137566139</v>
      </c>
      <c r="E59" s="166">
        <f>+E58/415-1</f>
        <v>-0.70120481927710843</v>
      </c>
      <c r="F59" s="166">
        <f>+F58/365-1</f>
        <v>-0.67671232876712328</v>
      </c>
      <c r="G59" s="166">
        <f>+G58/380-1</f>
        <v>-0.67368421052631577</v>
      </c>
      <c r="H59" s="54"/>
      <c r="I59" s="166">
        <f>+I58/D58-1</f>
        <v>1.21875</v>
      </c>
      <c r="J59" s="166">
        <f>+J58/E58-1</f>
        <v>1.088709677419355</v>
      </c>
      <c r="K59" s="166">
        <f>+K58/F58-1</f>
        <v>0.64406779661016955</v>
      </c>
      <c r="L59" s="166">
        <f>+L58/G58-1</f>
        <v>1.2661290322580645</v>
      </c>
      <c r="M59" s="54"/>
      <c r="N59" s="166">
        <f>+N58/I58-1</f>
        <v>-0.227112676056338</v>
      </c>
      <c r="O59" s="166">
        <f>+O58/J58-1</f>
        <v>-8.108108108108103E-2</v>
      </c>
      <c r="P59" s="166">
        <f>+P58/K58-1</f>
        <v>0.14432989690721643</v>
      </c>
      <c r="Q59" s="166">
        <f>+Q58/L58-1</f>
        <v>-0.16370106761565839</v>
      </c>
      <c r="R59" s="54"/>
      <c r="S59" s="166">
        <f>+S58/N58-1</f>
        <v>-5.9681093394077456E-2</v>
      </c>
      <c r="T59" s="166">
        <f>+T58/O58-1</f>
        <v>-0.26302521008403357</v>
      </c>
      <c r="U59" s="166">
        <f>+U58/P58-1</f>
        <v>-0.25</v>
      </c>
      <c r="V59" s="142">
        <f>AVERAGE(U59,T59,S59,Q59)</f>
        <v>-0.18410184277344235</v>
      </c>
      <c r="W59" s="54"/>
      <c r="X59" s="142">
        <f>AVERAGE(V59,U59,T59,S59)</f>
        <v>-0.18920203656288834</v>
      </c>
      <c r="Y59" s="142">
        <f>AVERAGE(X59,V59,U59,T59)</f>
        <v>-0.22158227235509106</v>
      </c>
      <c r="Z59" s="142">
        <f>AVERAGE(Y59,X59,V59,U59)</f>
        <v>-0.21122153792285545</v>
      </c>
      <c r="AA59" s="142">
        <f>AVERAGE(Z59,Y59,X59,V59)</f>
        <v>-0.20152692240356929</v>
      </c>
      <c r="AB59" s="54"/>
      <c r="AC59" s="142">
        <f>AVERAGE(AA59,Z59,Y59,X59)</f>
        <v>-0.20588319231110105</v>
      </c>
      <c r="AD59" s="142">
        <f>AVERAGE(AC59,AA59,Z59,Y59)</f>
        <v>-0.21005348124815423</v>
      </c>
      <c r="AE59" s="142">
        <f>AVERAGE(AD59,AC59,AA59,Z59)</f>
        <v>-0.20717128347142</v>
      </c>
      <c r="AF59" s="142">
        <f>AVERAGE(AE59,AD59,AC59,AA59)</f>
        <v>-0.20615871985856116</v>
      </c>
      <c r="AG59" s="54"/>
      <c r="AH59" s="142">
        <f>AVERAGE(AF59,AE59,AD59,AC59)</f>
        <v>-0.20731666922230912</v>
      </c>
      <c r="AI59" s="142">
        <f>AVERAGE(AH59,AF59,AE59,AD59)</f>
        <v>-0.20767503845011115</v>
      </c>
      <c r="AJ59" s="142">
        <f>AVERAGE(AI59,AH59,AF59,AE59)</f>
        <v>-0.20708042775060034</v>
      </c>
      <c r="AK59" s="142">
        <f>AVERAGE(AJ59,AI59,AH59,AF59)</f>
        <v>-0.20705771382039542</v>
      </c>
      <c r="AL59" s="54"/>
      <c r="AM59" s="142">
        <f>AVERAGE(AK59,AJ59,AI59,AH59)</f>
        <v>-0.20728246231085401</v>
      </c>
      <c r="AN59" s="142">
        <f>AVERAGE(AM59,AK59,AJ59,AI59)</f>
        <v>-0.20727391058299022</v>
      </c>
      <c r="AO59" s="142">
        <f>AVERAGE(AN59,AM59,AK59,AJ59)</f>
        <v>-0.20717362861621</v>
      </c>
      <c r="AP59" s="142">
        <f>AVERAGE(AO59,AN59,AM59,AK59)</f>
        <v>-0.2071969288326124</v>
      </c>
      <c r="AQ59" s="54"/>
    </row>
    <row r="60" spans="1:43" outlineLevel="1" x14ac:dyDescent="0.25">
      <c r="A60" s="53"/>
      <c r="B60" s="569" t="s">
        <v>534</v>
      </c>
      <c r="C60" s="570"/>
      <c r="D60" s="262">
        <f>+D58+D57+D54</f>
        <v>6348.2797539999992</v>
      </c>
      <c r="E60" s="262">
        <f t="shared" ref="E60:G60" si="40">+E58+E57+E54</f>
        <v>6330.107987800001</v>
      </c>
      <c r="F60" s="262">
        <f t="shared" si="40"/>
        <v>6352.9824124000006</v>
      </c>
      <c r="G60" s="262">
        <f t="shared" si="40"/>
        <v>6521.9747483526935</v>
      </c>
      <c r="H60" s="54"/>
      <c r="I60" s="262">
        <f>+I58+I57+I54</f>
        <v>8249.3246790000012</v>
      </c>
      <c r="J60" s="262">
        <f t="shared" ref="J60:L60" si="41">+J58+J57+J54</f>
        <v>8389.7759395492067</v>
      </c>
      <c r="K60" s="262">
        <f t="shared" si="41"/>
        <v>8362.5190960000018</v>
      </c>
      <c r="L60" s="262">
        <f t="shared" si="41"/>
        <v>8821.5044469273744</v>
      </c>
      <c r="M60" s="54"/>
      <c r="N60" s="262">
        <f>+N58+N57+N54</f>
        <v>8400.3869675000005</v>
      </c>
      <c r="O60" s="262">
        <f t="shared" ref="O60:Q60" si="42">+O58+O57+O54</f>
        <v>9075.7206490000008</v>
      </c>
      <c r="P60" s="262">
        <f t="shared" si="42"/>
        <v>9098.4510316000014</v>
      </c>
      <c r="Q60" s="262">
        <f t="shared" si="42"/>
        <v>9597.9677439999996</v>
      </c>
      <c r="R60" s="54"/>
      <c r="S60" s="262">
        <f>+S58+S57+S54</f>
        <v>9221.2976515000009</v>
      </c>
      <c r="T60" s="262">
        <f t="shared" ref="T60:V60" si="43">+T58+T57+T54</f>
        <v>9603.6010228699997</v>
      </c>
      <c r="U60" s="262">
        <f t="shared" si="43"/>
        <v>9005.3372172000018</v>
      </c>
      <c r="V60" s="262">
        <f t="shared" si="43"/>
        <v>9518.5180415971263</v>
      </c>
      <c r="W60" s="54"/>
      <c r="X60" s="262">
        <f>+X58+X57+X54</f>
        <v>9053.6660797740878</v>
      </c>
      <c r="Y60" s="262">
        <f t="shared" ref="Y60:AA60" si="44">+Y58+Y57+Y54</f>
        <v>9605.2828300509227</v>
      </c>
      <c r="Z60" s="262">
        <f t="shared" si="44"/>
        <v>8993.1697347153386</v>
      </c>
      <c r="AA60" s="262">
        <f t="shared" si="44"/>
        <v>9516.7531213945113</v>
      </c>
      <c r="AB60" s="54"/>
      <c r="AC60" s="262">
        <f>+AC58+AC57+AC54</f>
        <v>8903.3401515903643</v>
      </c>
      <c r="AD60" s="262">
        <f t="shared" ref="AD60:AF60" si="45">+AD58+AD57+AD54</f>
        <v>9426.9894323848857</v>
      </c>
      <c r="AE60" s="262">
        <f t="shared" si="45"/>
        <v>8794.6252339415623</v>
      </c>
      <c r="AF60" s="262">
        <f t="shared" si="45"/>
        <v>9257.9610732729616</v>
      </c>
      <c r="AG60" s="54"/>
      <c r="AH60" s="262">
        <f>+AH58+AH57+AH54</f>
        <v>8713.266947926928</v>
      </c>
      <c r="AI60" s="262">
        <f t="shared" ref="AI60:AK60" si="46">+AI58+AI57+AI54</f>
        <v>9194.1903949540501</v>
      </c>
      <c r="AJ60" s="262">
        <f t="shared" si="46"/>
        <v>8574.8322988447599</v>
      </c>
      <c r="AK60" s="262">
        <f t="shared" si="46"/>
        <v>9004.9283552375018</v>
      </c>
      <c r="AL60" s="54"/>
      <c r="AM60" s="262">
        <f>+AM58+AM57+AM54</f>
        <v>8496.5969082053016</v>
      </c>
      <c r="AN60" s="262">
        <f t="shared" ref="AN60:AP60" si="47">+AN58+AN57+AN54</f>
        <v>8937.3442653907005</v>
      </c>
      <c r="AO60" s="262">
        <f t="shared" si="47"/>
        <v>8339.1323220299273</v>
      </c>
      <c r="AP60" s="262">
        <f t="shared" si="47"/>
        <v>8737.0372762047264</v>
      </c>
      <c r="AQ60" s="54"/>
    </row>
    <row r="61" spans="1:43" x14ac:dyDescent="0.25">
      <c r="A61" s="53"/>
      <c r="B61" s="289" t="s">
        <v>331</v>
      </c>
      <c r="C61" s="290"/>
      <c r="D61" s="139">
        <v>65</v>
      </c>
      <c r="E61" s="139">
        <v>63</v>
      </c>
      <c r="F61" s="139">
        <v>63</v>
      </c>
      <c r="G61" s="139">
        <v>65</v>
      </c>
      <c r="H61" s="54"/>
      <c r="I61" s="139">
        <v>65</v>
      </c>
      <c r="J61" s="139">
        <v>63</v>
      </c>
      <c r="K61" s="139">
        <v>62</v>
      </c>
      <c r="L61" s="139">
        <v>65</v>
      </c>
      <c r="M61" s="54"/>
      <c r="N61" s="139">
        <v>65</v>
      </c>
      <c r="O61" s="139">
        <v>63</v>
      </c>
      <c r="P61" s="139">
        <v>62</v>
      </c>
      <c r="Q61" s="139">
        <v>65</v>
      </c>
      <c r="R61" s="54"/>
      <c r="S61" s="139">
        <v>65</v>
      </c>
      <c r="T61" s="139">
        <v>63</v>
      </c>
      <c r="U61" s="139">
        <v>62</v>
      </c>
      <c r="V61" s="140">
        <v>65</v>
      </c>
      <c r="W61" s="492"/>
      <c r="X61" s="140">
        <v>65</v>
      </c>
      <c r="Y61" s="140">
        <v>63</v>
      </c>
      <c r="Z61" s="140">
        <v>62</v>
      </c>
      <c r="AA61" s="140">
        <v>65</v>
      </c>
      <c r="AB61" s="54"/>
      <c r="AC61" s="140">
        <v>65</v>
      </c>
      <c r="AD61" s="140">
        <v>63</v>
      </c>
      <c r="AE61" s="140">
        <v>62</v>
      </c>
      <c r="AF61" s="140">
        <v>65</v>
      </c>
      <c r="AG61" s="54"/>
      <c r="AH61" s="140">
        <v>65</v>
      </c>
      <c r="AI61" s="140">
        <v>63</v>
      </c>
      <c r="AJ61" s="140">
        <v>62</v>
      </c>
      <c r="AK61" s="140">
        <v>65</v>
      </c>
      <c r="AL61" s="54"/>
      <c r="AM61" s="140">
        <v>65</v>
      </c>
      <c r="AN61" s="140">
        <v>63</v>
      </c>
      <c r="AO61" s="140">
        <v>62</v>
      </c>
      <c r="AP61" s="140">
        <v>65</v>
      </c>
      <c r="AQ61" s="54"/>
    </row>
    <row r="62" spans="1:43" outlineLevel="1" x14ac:dyDescent="0.25">
      <c r="A62" s="53"/>
      <c r="B62" s="180" t="s">
        <v>252</v>
      </c>
      <c r="C62" s="162"/>
      <c r="D62" s="315"/>
      <c r="E62" s="315"/>
      <c r="F62" s="315"/>
      <c r="G62" s="315"/>
      <c r="H62" s="165"/>
      <c r="I62" s="315"/>
      <c r="J62" s="315"/>
      <c r="K62" s="315"/>
      <c r="L62" s="315"/>
      <c r="M62" s="165"/>
      <c r="N62" s="315"/>
      <c r="O62" s="315"/>
      <c r="P62" s="315"/>
      <c r="Q62" s="185"/>
      <c r="R62" s="165"/>
      <c r="S62" s="185"/>
      <c r="T62" s="185"/>
      <c r="U62" s="185"/>
      <c r="V62" s="185"/>
      <c r="W62" s="165"/>
      <c r="X62" s="185"/>
      <c r="Y62" s="185"/>
      <c r="Z62" s="185"/>
      <c r="AA62" s="185"/>
      <c r="AB62" s="165"/>
      <c r="AC62" s="185"/>
      <c r="AD62" s="185"/>
      <c r="AE62" s="185"/>
      <c r="AF62" s="185"/>
      <c r="AG62" s="165"/>
      <c r="AH62" s="185"/>
      <c r="AI62" s="185"/>
      <c r="AJ62" s="185"/>
      <c r="AK62" s="185"/>
      <c r="AL62" s="165"/>
      <c r="AM62" s="185"/>
      <c r="AN62" s="185"/>
      <c r="AO62" s="185"/>
      <c r="AP62" s="185"/>
      <c r="AQ62" s="165"/>
    </row>
    <row r="63" spans="1:43" outlineLevel="1" x14ac:dyDescent="0.25">
      <c r="A63" s="53"/>
      <c r="B63" s="178" t="s">
        <v>365</v>
      </c>
      <c r="C63" s="128"/>
      <c r="D63" s="168">
        <v>277269</v>
      </c>
      <c r="E63" s="168">
        <v>276180</v>
      </c>
      <c r="F63" s="168">
        <v>296643</v>
      </c>
      <c r="G63" s="168">
        <v>289243</v>
      </c>
      <c r="H63" s="136"/>
      <c r="I63" s="168">
        <v>282563</v>
      </c>
      <c r="J63" s="168">
        <v>280625</v>
      </c>
      <c r="K63" s="168">
        <v>293551</v>
      </c>
      <c r="L63" s="168">
        <v>293024</v>
      </c>
      <c r="M63" s="136"/>
      <c r="N63" s="168">
        <v>312427</v>
      </c>
      <c r="O63" s="168">
        <v>318978</v>
      </c>
      <c r="P63" s="168">
        <v>325851</v>
      </c>
      <c r="Q63" s="168">
        <v>317057</v>
      </c>
      <c r="R63" s="136"/>
      <c r="S63" s="168">
        <v>315006</v>
      </c>
      <c r="T63" s="168">
        <v>327248</v>
      </c>
      <c r="U63" s="168">
        <v>329398</v>
      </c>
      <c r="V63" s="140">
        <f>(Q63/(Q52+Q55)*(V52+V55))*(1-1.5%)</f>
        <v>321716.95724939858</v>
      </c>
      <c r="W63" s="136"/>
      <c r="X63" s="140">
        <f>(S63/(S52+S55)*(X52+X55))*(1-5%)</f>
        <v>309330.69917769165</v>
      </c>
      <c r="Y63" s="140">
        <f>(T63/(T52+T55)*(Y52+Y55))*(1-5%)</f>
        <v>322473.33570309909</v>
      </c>
      <c r="Z63" s="140">
        <f t="shared" ref="Z63" si="48">(U63/(U52+U55)*(Z52+Z55))*(1-5%)</f>
        <v>324403.0387944876</v>
      </c>
      <c r="AA63" s="140">
        <f>(V63/(V52+V55)*(AA52+AA55))*(1-5%)</f>
        <v>318932.29730724107</v>
      </c>
      <c r="AB63" s="136"/>
      <c r="AC63" s="140">
        <f>+X63/(X52+X55)*(AC52+AC55)</f>
        <v>319987.10868265096</v>
      </c>
      <c r="AD63" s="140">
        <f>+Y63/(Y52+Y55)*(AD52+AD55)</f>
        <v>333712.58465462027</v>
      </c>
      <c r="AE63" s="140">
        <f t="shared" ref="AE63" si="49">+Z63/(Z52+Z55)*(AE52+AE55)</f>
        <v>335183.90339766169</v>
      </c>
      <c r="AF63" s="140">
        <f>+AA63/(AA52+AA55)*(AF52+AF55)</f>
        <v>329384.83538076002</v>
      </c>
      <c r="AG63" s="136"/>
      <c r="AH63" s="140">
        <f>+AC63/(AC52+AC55)*(AH52+AH55)</f>
        <v>331055.5670482897</v>
      </c>
      <c r="AI63" s="140">
        <f>+AD63/(AD52+AD55)*(AI52+AI55)</f>
        <v>345404.4779109552</v>
      </c>
      <c r="AJ63" s="140">
        <f t="shared" ref="AJ63" si="50">+AE63/(AE52+AE55)*(AJ52+AJ55)</f>
        <v>346622.96482248459</v>
      </c>
      <c r="AK63" s="140">
        <f>+AF63/(AF52+AF55)*(AK52+AK55)</f>
        <v>340781.82093739929</v>
      </c>
      <c r="AL63" s="136"/>
      <c r="AM63" s="140">
        <f>+AH63/(AH52+AH55)*(AM52+AM55)</f>
        <v>342658.46415462904</v>
      </c>
      <c r="AN63" s="140">
        <f>+AI63/(AI52+AI55)*(AN52+AN55)</f>
        <v>357720.98957130016</v>
      </c>
      <c r="AO63" s="140">
        <f t="shared" ref="AO63" si="51">+AJ63/(AJ52+AJ55)*(AO52+AO55)</f>
        <v>358710.04662490531</v>
      </c>
      <c r="AP63" s="140">
        <f>+AK63/(AK52+AK55)*(AP52+AP55)</f>
        <v>352805.93447266228</v>
      </c>
      <c r="AQ63" s="136"/>
    </row>
    <row r="64" spans="1:43" outlineLevel="1" x14ac:dyDescent="0.25">
      <c r="A64" s="53"/>
      <c r="B64" s="571" t="s">
        <v>537</v>
      </c>
      <c r="C64" s="572"/>
      <c r="D64" s="168">
        <f>D60/(D63/1000)</f>
        <v>22.895742957200405</v>
      </c>
      <c r="E64" s="392">
        <f t="shared" ref="E64:AP64" si="52">E60/(E63/1000)</f>
        <v>22.920225895430519</v>
      </c>
      <c r="F64" s="168">
        <f t="shared" si="52"/>
        <v>21.416255945361936</v>
      </c>
      <c r="G64" s="168">
        <f t="shared" si="52"/>
        <v>22.548427268257811</v>
      </c>
      <c r="H64" s="136"/>
      <c r="I64" s="168">
        <f t="shared" si="52"/>
        <v>29.19463864341758</v>
      </c>
      <c r="J64" s="168">
        <f t="shared" si="52"/>
        <v>29.896751677680914</v>
      </c>
      <c r="K64" s="168">
        <f t="shared" si="52"/>
        <v>28.487448845345451</v>
      </c>
      <c r="L64" s="168">
        <f t="shared" si="52"/>
        <v>30.105057766351475</v>
      </c>
      <c r="M64" s="136"/>
      <c r="N64" s="168">
        <f t="shared" si="52"/>
        <v>26.887519220489907</v>
      </c>
      <c r="O64" s="168">
        <f t="shared" si="52"/>
        <v>28.452497191028851</v>
      </c>
      <c r="P64" s="168">
        <f t="shared" si="52"/>
        <v>27.922120943621476</v>
      </c>
      <c r="Q64" s="168">
        <f t="shared" si="52"/>
        <v>30.272057529087828</v>
      </c>
      <c r="R64" s="136"/>
      <c r="S64" s="168">
        <f t="shared" si="52"/>
        <v>29.273403209780138</v>
      </c>
      <c r="T64" s="168">
        <f t="shared" si="52"/>
        <v>29.346553753941965</v>
      </c>
      <c r="U64" s="168">
        <f t="shared" si="52"/>
        <v>27.338773208094771</v>
      </c>
      <c r="V64" s="140">
        <f t="shared" si="52"/>
        <v>29.586622113357439</v>
      </c>
      <c r="W64" s="136"/>
      <c r="X64" s="140">
        <f t="shared" si="52"/>
        <v>29.268566307326992</v>
      </c>
      <c r="Y64" s="140">
        <f t="shared" si="52"/>
        <v>29.786285458635554</v>
      </c>
      <c r="Z64" s="140">
        <f t="shared" si="52"/>
        <v>27.722211752808509</v>
      </c>
      <c r="AA64" s="140">
        <f t="shared" si="52"/>
        <v>29.839414827989707</v>
      </c>
      <c r="AB64" s="136"/>
      <c r="AC64" s="140">
        <f t="shared" si="52"/>
        <v>27.824058876135233</v>
      </c>
      <c r="AD64" s="140">
        <f t="shared" si="52"/>
        <v>28.248828081031039</v>
      </c>
      <c r="AE64" s="140">
        <f t="shared" si="52"/>
        <v>26.238208770746461</v>
      </c>
      <c r="AF64" s="140">
        <f t="shared" si="52"/>
        <v>28.106822412060978</v>
      </c>
      <c r="AG64" s="136"/>
      <c r="AH64" s="140">
        <f t="shared" si="52"/>
        <v>26.3196508840341</v>
      </c>
      <c r="AI64" s="140">
        <f t="shared" si="52"/>
        <v>26.618619569038415</v>
      </c>
      <c r="AJ64" s="140">
        <f t="shared" si="52"/>
        <v>24.738211743229922</v>
      </c>
      <c r="AK64" s="140">
        <f t="shared" si="52"/>
        <v>26.424321375087914</v>
      </c>
      <c r="AL64" s="136"/>
      <c r="AM64" s="140">
        <f t="shared" si="52"/>
        <v>24.796109820801341</v>
      </c>
      <c r="AN64" s="140">
        <f t="shared" si="52"/>
        <v>24.984120378570431</v>
      </c>
      <c r="AO64" s="140">
        <f t="shared" si="52"/>
        <v>23.247557185790122</v>
      </c>
      <c r="AP64" s="140">
        <f t="shared" si="52"/>
        <v>24.764428323077794</v>
      </c>
      <c r="AQ64" s="136"/>
    </row>
    <row r="65" spans="1:43" outlineLevel="1" x14ac:dyDescent="0.25">
      <c r="A65" s="53"/>
      <c r="B65" s="178" t="s">
        <v>257</v>
      </c>
      <c r="C65" s="128"/>
      <c r="D65" s="316">
        <v>1.8813570936527344</v>
      </c>
      <c r="E65" s="316">
        <v>1.603624447823883</v>
      </c>
      <c r="F65" s="316">
        <v>1.2991575732446072</v>
      </c>
      <c r="G65" s="316">
        <v>1.3014247535808992</v>
      </c>
      <c r="H65" s="136"/>
      <c r="I65" s="316">
        <v>1.5159274214953833</v>
      </c>
      <c r="J65" s="316">
        <v>1.556415144766147</v>
      </c>
      <c r="K65" s="316">
        <v>1.6862896055540604</v>
      </c>
      <c r="L65" s="316">
        <v>1.6893428524625969</v>
      </c>
      <c r="M65" s="136"/>
      <c r="N65" s="316">
        <v>1.6185668972271923</v>
      </c>
      <c r="O65" s="316">
        <v>1.8777031644815629</v>
      </c>
      <c r="P65" s="316">
        <v>2.056</v>
      </c>
      <c r="Q65" s="316">
        <v>2.1629999999999998</v>
      </c>
      <c r="R65" s="317"/>
      <c r="S65" s="316">
        <v>2.306</v>
      </c>
      <c r="T65" s="316">
        <v>2.387</v>
      </c>
      <c r="U65" s="316">
        <v>2.0030000000000001</v>
      </c>
      <c r="V65" s="183">
        <v>2.2000000000000002</v>
      </c>
      <c r="W65" s="136"/>
      <c r="X65" s="183">
        <v>2.2999999999999998</v>
      </c>
      <c r="Y65" s="183">
        <v>2.2000000000000002</v>
      </c>
      <c r="Z65" s="183">
        <v>2.1</v>
      </c>
      <c r="AA65" s="183">
        <v>2.1</v>
      </c>
      <c r="AB65" s="136"/>
      <c r="AC65" s="183">
        <v>2.1</v>
      </c>
      <c r="AD65" s="183">
        <v>2.1</v>
      </c>
      <c r="AE65" s="183">
        <v>2.1</v>
      </c>
      <c r="AF65" s="183">
        <v>2.1</v>
      </c>
      <c r="AG65" s="136"/>
      <c r="AH65" s="183">
        <v>2.2000000000000002</v>
      </c>
      <c r="AI65" s="183">
        <v>2.2000000000000002</v>
      </c>
      <c r="AJ65" s="183">
        <v>2.2000000000000002</v>
      </c>
      <c r="AK65" s="183">
        <v>2.2000000000000002</v>
      </c>
      <c r="AL65" s="136"/>
      <c r="AM65" s="183">
        <v>2.2000000000000002</v>
      </c>
      <c r="AN65" s="183">
        <v>2.2000000000000002</v>
      </c>
      <c r="AO65" s="183">
        <v>2.2000000000000002</v>
      </c>
      <c r="AP65" s="183">
        <v>2.2000000000000002</v>
      </c>
      <c r="AQ65" s="136"/>
    </row>
    <row r="66" spans="1:43" outlineLevel="1" x14ac:dyDescent="0.25">
      <c r="A66" s="53"/>
      <c r="B66" s="135" t="s">
        <v>258</v>
      </c>
      <c r="C66" s="134"/>
      <c r="D66" s="149">
        <f>+D63*D65/1000</f>
        <v>521.64200000000005</v>
      </c>
      <c r="E66" s="149">
        <f>+E63*E65/1000</f>
        <v>442.88900000000001</v>
      </c>
      <c r="F66" s="149">
        <f>+F63*F65/1000</f>
        <v>385.38600000000002</v>
      </c>
      <c r="G66" s="149">
        <f>+G63*G65/1000</f>
        <v>376.428</v>
      </c>
      <c r="H66" s="173"/>
      <c r="I66" s="149">
        <f>+I63*I65/1000</f>
        <v>428.34500000000003</v>
      </c>
      <c r="J66" s="149">
        <f>+J63*J65/1000</f>
        <v>436.76900000000001</v>
      </c>
      <c r="K66" s="149">
        <f>+K63*K65/1000</f>
        <v>495.012</v>
      </c>
      <c r="L66" s="149">
        <f>+L63*L65/1000</f>
        <v>495.01799999999997</v>
      </c>
      <c r="M66" s="173"/>
      <c r="N66" s="149">
        <f>+N63*N65/1000</f>
        <v>505.68400000000003</v>
      </c>
      <c r="O66" s="149">
        <f>+O63*O65/1000</f>
        <v>598.94600000000003</v>
      </c>
      <c r="P66" s="149">
        <f>+P63*P65/1000</f>
        <v>669.949656</v>
      </c>
      <c r="Q66" s="169">
        <f>+Q63*Q65/1000</f>
        <v>685.79429099999993</v>
      </c>
      <c r="R66" s="173"/>
      <c r="S66" s="149">
        <f>+S63*S65/1000</f>
        <v>726.40383599999996</v>
      </c>
      <c r="T66" s="149">
        <f>+T63*T65/1000</f>
        <v>781.14097600000002</v>
      </c>
      <c r="U66" s="149">
        <f>+U63*U65/1000</f>
        <v>659.78419400000007</v>
      </c>
      <c r="V66" s="184">
        <f>+V63*V65/1000</f>
        <v>707.77730594867694</v>
      </c>
      <c r="W66" s="173"/>
      <c r="X66" s="184">
        <f>+X63*X65/1000</f>
        <v>711.46060810869074</v>
      </c>
      <c r="Y66" s="184">
        <f>+Y63*Y65/1000</f>
        <v>709.44133854681797</v>
      </c>
      <c r="Z66" s="184">
        <f>+Z63*Z65/1000</f>
        <v>681.24638146842403</v>
      </c>
      <c r="AA66" s="184">
        <f>+AA63*AA65/1000</f>
        <v>669.75782434520625</v>
      </c>
      <c r="AB66" s="173"/>
      <c r="AC66" s="184">
        <f>+AC63*AC65/1000</f>
        <v>671.97292823356702</v>
      </c>
      <c r="AD66" s="184">
        <f>+AD63*AD65/1000</f>
        <v>700.79642777470258</v>
      </c>
      <c r="AE66" s="184">
        <f>+AE63*AE65/1000</f>
        <v>703.88619713508956</v>
      </c>
      <c r="AF66" s="184">
        <f>+AF63*AF65/1000</f>
        <v>691.70815429959612</v>
      </c>
      <c r="AG66" s="173"/>
      <c r="AH66" s="184">
        <f>+AH63*AH65/1000</f>
        <v>728.32224750623732</v>
      </c>
      <c r="AI66" s="184">
        <f>+AI63*AI65/1000</f>
        <v>759.88985140410148</v>
      </c>
      <c r="AJ66" s="184">
        <f>+AJ63*AJ65/1000</f>
        <v>762.57052260946614</v>
      </c>
      <c r="AK66" s="184">
        <f>+AK63*AK65/1000</f>
        <v>749.72000606227857</v>
      </c>
      <c r="AL66" s="173"/>
      <c r="AM66" s="184">
        <f>+AM63*AM65/1000</f>
        <v>753.84862114018404</v>
      </c>
      <c r="AN66" s="184">
        <f>+AN63*AN65/1000</f>
        <v>786.98617705686036</v>
      </c>
      <c r="AO66" s="184">
        <f>+AO63*AO65/1000</f>
        <v>789.16210257479179</v>
      </c>
      <c r="AP66" s="184">
        <f>+AP63*AP65/1000</f>
        <v>776.17305583985706</v>
      </c>
      <c r="AQ66" s="173"/>
    </row>
    <row r="67" spans="1:43" outlineLevel="1" x14ac:dyDescent="0.25">
      <c r="A67" s="53"/>
      <c r="B67" s="178" t="s">
        <v>259</v>
      </c>
      <c r="C67" s="128"/>
      <c r="D67" s="129">
        <f>+D68-D66</f>
        <v>85.357999999999947</v>
      </c>
      <c r="E67" s="129">
        <f>+E68-E66</f>
        <v>74.11099999999999</v>
      </c>
      <c r="F67" s="129">
        <f>+F68-F66</f>
        <v>69.613999999999976</v>
      </c>
      <c r="G67" s="129">
        <f>+G68-G66</f>
        <v>67.572000000000003</v>
      </c>
      <c r="H67" s="136"/>
      <c r="I67" s="129">
        <f>+I68-I66</f>
        <v>126.65499999999997</v>
      </c>
      <c r="J67" s="129">
        <f>+J68-J66</f>
        <v>128.23099999999999</v>
      </c>
      <c r="K67" s="129">
        <f>+K68-K66</f>
        <v>137.988</v>
      </c>
      <c r="L67" s="129">
        <f>+L68-L66</f>
        <v>129.98200000000003</v>
      </c>
      <c r="M67" s="136"/>
      <c r="N67" s="129">
        <f>+N68-N66</f>
        <v>97.315999999999974</v>
      </c>
      <c r="O67" s="129">
        <f>+O68-O66</f>
        <v>104.05399999999997</v>
      </c>
      <c r="P67" s="129">
        <f>+P68-P66</f>
        <v>112.050344</v>
      </c>
      <c r="Q67" s="129">
        <f>+Q68-Q66</f>
        <v>115.20570900000007</v>
      </c>
      <c r="R67" s="136"/>
      <c r="S67" s="129">
        <f>+S68-S66</f>
        <v>118.59616400000004</v>
      </c>
      <c r="T67" s="129">
        <f>+T68-T66</f>
        <v>117.85902399999998</v>
      </c>
      <c r="U67" s="129">
        <f>+U68-U66</f>
        <v>111.21580599999993</v>
      </c>
      <c r="V67" s="140">
        <f t="shared" ref="V67" si="53">+U67/(U52+U55)*(V52+V55)</f>
        <v>113.13221543345247</v>
      </c>
      <c r="W67" s="136"/>
      <c r="X67" s="140">
        <f>+V67/(V52+V55)*(X52+X55)</f>
        <v>111.07358829928634</v>
      </c>
      <c r="Y67" s="140">
        <f>+X67/(X52+X55)*(Y52+Y55)</f>
        <v>122.6966632277482</v>
      </c>
      <c r="Z67" s="140">
        <f t="shared" ref="Z67:AA67" si="54">+Y67/(Y52+Y55)*(Z52+Z55)</f>
        <v>115.29404175712625</v>
      </c>
      <c r="AA67" s="140">
        <f t="shared" si="54"/>
        <v>118.05577462328796</v>
      </c>
      <c r="AB67" s="136"/>
      <c r="AC67" s="140">
        <f>(AA67/(AA52+AA55)*(AC52+AC55))*(1+0.5%)</f>
        <v>115.4745618449961</v>
      </c>
      <c r="AD67" s="140">
        <f>(AC67/(AC52+AC55)*(AD52+AD55))*(1+0.5%)</f>
        <v>128.24594742296253</v>
      </c>
      <c r="AE67" s="140">
        <f t="shared" ref="AE67:AF67" si="55">(AD67/(AD52+AD55)*(AE52+AE55))*(1+0.5%)</f>
        <v>120.92143430082689</v>
      </c>
      <c r="AF67" s="140">
        <f t="shared" si="55"/>
        <v>124.38172677163354</v>
      </c>
      <c r="AG67" s="136"/>
      <c r="AH67" s="140">
        <f>(AF67/(AF52+AF55)*(AH52+AH55))*(1+0.5%)</f>
        <v>121.87622199984936</v>
      </c>
      <c r="AI67" s="140">
        <f>(AH67/(AH52+AH55)*(AI52+AI55))*(1+0.5%)</f>
        <v>135.41390935434649</v>
      </c>
      <c r="AJ67" s="140">
        <f t="shared" ref="AJ67:AK67" si="56">(AI67/(AI52+AI55)*(AJ52+AJ55))*(1+0.5%)</f>
        <v>127.56799076878502</v>
      </c>
      <c r="AK67" s="140">
        <f t="shared" si="56"/>
        <v>131.27851254023236</v>
      </c>
      <c r="AL67" s="136"/>
      <c r="AM67" s="140">
        <f>(AK67/(AK52+AK55)*(AM52+AM55))*(1+0.5%)</f>
        <v>128.68970307056989</v>
      </c>
      <c r="AN67" s="140">
        <f>(AM67/(AM52+AM55)*(AN52+AN55))*(1+0.5%)</f>
        <v>143.06848659888021</v>
      </c>
      <c r="AO67" s="140">
        <f t="shared" ref="AO67" si="57">(AN67/(AN52+AN55)*(AO52+AO55))*(1+0.5%)</f>
        <v>134.67660815636157</v>
      </c>
      <c r="AP67" s="140">
        <f>(AO67/(AO52+AO55)*(AP52+AP55))*(1+0.5%)</f>
        <v>138.64919640207728</v>
      </c>
      <c r="AQ67" s="136"/>
    </row>
    <row r="68" spans="1:43" s="55" customFormat="1" outlineLevel="1" x14ac:dyDescent="0.25">
      <c r="A68" s="196"/>
      <c r="B68" s="172" t="s">
        <v>256</v>
      </c>
      <c r="C68" s="134"/>
      <c r="D68" s="149">
        <v>607</v>
      </c>
      <c r="E68" s="149">
        <v>517</v>
      </c>
      <c r="F68" s="149">
        <v>455</v>
      </c>
      <c r="G68" s="149">
        <v>444</v>
      </c>
      <c r="H68" s="173"/>
      <c r="I68" s="149">
        <v>555</v>
      </c>
      <c r="J68" s="149">
        <v>565</v>
      </c>
      <c r="K68" s="149">
        <v>633</v>
      </c>
      <c r="L68" s="149">
        <v>625</v>
      </c>
      <c r="M68" s="173"/>
      <c r="N68" s="149">
        <v>603</v>
      </c>
      <c r="O68" s="149">
        <v>703</v>
      </c>
      <c r="P68" s="149">
        <v>782</v>
      </c>
      <c r="Q68" s="169">
        <v>801</v>
      </c>
      <c r="R68" s="173"/>
      <c r="S68" s="169">
        <v>845</v>
      </c>
      <c r="T68" s="169">
        <v>899</v>
      </c>
      <c r="U68" s="169">
        <v>771</v>
      </c>
      <c r="V68" s="169">
        <f>+V67+V66</f>
        <v>820.90952138212947</v>
      </c>
      <c r="W68" s="173"/>
      <c r="X68" s="169">
        <f>+X67+X66</f>
        <v>822.53419640797711</v>
      </c>
      <c r="Y68" s="169">
        <f>+Y67+Y66</f>
        <v>832.13800177456619</v>
      </c>
      <c r="Z68" s="169">
        <f>+Z67+Z66</f>
        <v>796.54042322555028</v>
      </c>
      <c r="AA68" s="169">
        <f>+AA67+AA66</f>
        <v>787.81359896849426</v>
      </c>
      <c r="AB68" s="173"/>
      <c r="AC68" s="169">
        <f>+AC67+AC66</f>
        <v>787.44749007856308</v>
      </c>
      <c r="AD68" s="169">
        <f>+AD67+AD66</f>
        <v>829.04237519766514</v>
      </c>
      <c r="AE68" s="169">
        <f>+AE67+AE66</f>
        <v>824.80763143591639</v>
      </c>
      <c r="AF68" s="169">
        <f>+AF67+AF66</f>
        <v>816.08988107122968</v>
      </c>
      <c r="AG68" s="173"/>
      <c r="AH68" s="169">
        <f>+AH67+AH66</f>
        <v>850.19846950608667</v>
      </c>
      <c r="AI68" s="169">
        <f>+AI67+AI66</f>
        <v>895.30376075844799</v>
      </c>
      <c r="AJ68" s="169">
        <f>+AJ67+AJ66</f>
        <v>890.13851337825122</v>
      </c>
      <c r="AK68" s="169">
        <f>+AK67+AK66</f>
        <v>880.9985186025109</v>
      </c>
      <c r="AL68" s="173"/>
      <c r="AM68" s="169">
        <f>+AM67+AM66</f>
        <v>882.5383242107539</v>
      </c>
      <c r="AN68" s="169">
        <f>+AN67+AN66</f>
        <v>930.05466365574057</v>
      </c>
      <c r="AO68" s="169">
        <f>+AO67+AO66</f>
        <v>923.83871073115336</v>
      </c>
      <c r="AP68" s="169">
        <f>+AP67+AP66</f>
        <v>914.82225224193439</v>
      </c>
      <c r="AQ68" s="173"/>
    </row>
    <row r="69" spans="1:43" outlineLevel="1" x14ac:dyDescent="0.25">
      <c r="A69" s="53"/>
      <c r="B69" s="178" t="s">
        <v>157</v>
      </c>
      <c r="C69" s="128"/>
      <c r="D69" s="129">
        <v>345</v>
      </c>
      <c r="E69" s="129">
        <v>347</v>
      </c>
      <c r="F69" s="129">
        <v>340</v>
      </c>
      <c r="G69" s="129">
        <v>345</v>
      </c>
      <c r="H69" s="136"/>
      <c r="I69" s="129">
        <v>418</v>
      </c>
      <c r="J69" s="129">
        <v>410</v>
      </c>
      <c r="K69" s="129">
        <v>418</v>
      </c>
      <c r="L69" s="129">
        <v>416</v>
      </c>
      <c r="M69" s="136"/>
      <c r="N69" s="129">
        <v>415</v>
      </c>
      <c r="O69" s="129">
        <v>410</v>
      </c>
      <c r="P69" s="129">
        <v>423</v>
      </c>
      <c r="Q69" s="168">
        <v>431</v>
      </c>
      <c r="R69" s="136"/>
      <c r="S69" s="168">
        <v>436</v>
      </c>
      <c r="T69" s="168">
        <v>449</v>
      </c>
      <c r="U69" s="168">
        <v>456</v>
      </c>
      <c r="V69" s="168">
        <f>U69/(U69+U151+U168+U182)*V18</f>
        <v>461.81970992147961</v>
      </c>
      <c r="W69" s="136"/>
      <c r="X69" s="168">
        <f>V69/(V69+V151+V168+V182)*X18</f>
        <v>475.38735148511392</v>
      </c>
      <c r="Y69" s="168">
        <f>X69/(X69+X151+X168+X182)*Y18</f>
        <v>485.98395836865268</v>
      </c>
      <c r="Z69" s="168">
        <f>Y69/(Y69+Y151+Y168+Y182)*Z18</f>
        <v>491.15071938852117</v>
      </c>
      <c r="AA69" s="168">
        <f>Z69/(Z69+Z151+Z168+Z182)*AA18</f>
        <v>502.25119532196436</v>
      </c>
      <c r="AB69" s="136"/>
      <c r="AC69" s="168">
        <f>AA69/(AA69+AA151+AA168+AA182)*AC18</f>
        <v>518.36474122967013</v>
      </c>
      <c r="AD69" s="168">
        <f>AC69/(AC69+AC151+AC168+AC182)*AD18</f>
        <v>529.22163362525555</v>
      </c>
      <c r="AE69" s="168">
        <f>AD69/(AD69+AD151+AD168+AD182)*AE18</f>
        <v>534.56794580213284</v>
      </c>
      <c r="AF69" s="168">
        <f>AE69/(AE69+AE151+AE168+AE182)*AF18</f>
        <v>545.79193548056128</v>
      </c>
      <c r="AG69" s="136"/>
      <c r="AH69" s="168">
        <f>AF69/(AF69+AF151+AF168+AF182)*AH18</f>
        <v>562.23874556434441</v>
      </c>
      <c r="AI69" s="168">
        <f>AH69/(AH69+AH151+AH168+AH182)*AI18</f>
        <v>573.30380932736284</v>
      </c>
      <c r="AJ69" s="168">
        <f>AI69/(AI69+AI151+AI168+AI182)*AJ18</f>
        <v>578.74901691531784</v>
      </c>
      <c r="AK69" s="168">
        <f>AJ69/(AJ69+AJ151+AJ168+AJ182)*AK18</f>
        <v>590.1421836743375</v>
      </c>
      <c r="AL69" s="136"/>
      <c r="AM69" s="168">
        <f>AK69/(AK69+AK151+AK168+AK182)*AM18</f>
        <v>606.85444855758772</v>
      </c>
      <c r="AN69" s="168">
        <f>AM69/(AM69+AM151+AM168+AM182)*AN18</f>
        <v>618.08368463366412</v>
      </c>
      <c r="AO69" s="168">
        <f>AN69/(AN69+AN151+AN168+AN182)*AO18</f>
        <v>623.60394252072308</v>
      </c>
      <c r="AP69" s="168">
        <f>AO69/(AO69+AO151+AO168+AO182)*AP18</f>
        <v>635.13873327278998</v>
      </c>
      <c r="AQ69" s="136"/>
    </row>
    <row r="70" spans="1:43" outlineLevel="1" x14ac:dyDescent="0.25">
      <c r="A70" s="53"/>
      <c r="B70" s="178" t="s">
        <v>253</v>
      </c>
      <c r="C70" s="128"/>
      <c r="D70" s="129">
        <v>4863</v>
      </c>
      <c r="E70" s="129">
        <v>4855</v>
      </c>
      <c r="F70" s="129">
        <v>4970</v>
      </c>
      <c r="G70" s="129">
        <v>4980</v>
      </c>
      <c r="H70" s="136"/>
      <c r="I70" s="129">
        <f>6669+97</f>
        <v>6766</v>
      </c>
      <c r="J70" s="129">
        <f>6705+97</f>
        <v>6802</v>
      </c>
      <c r="K70" s="129">
        <f>6748+98</f>
        <v>6846</v>
      </c>
      <c r="L70" s="129">
        <f>6893+97</f>
        <v>6990</v>
      </c>
      <c r="M70" s="136"/>
      <c r="N70" s="129">
        <f>6944+118</f>
        <v>7062</v>
      </c>
      <c r="O70" s="129">
        <f>7244+118</f>
        <v>7362</v>
      </c>
      <c r="P70" s="129">
        <f>7462+114</f>
        <v>7576</v>
      </c>
      <c r="Q70" s="129">
        <f>7376+123</f>
        <v>7499</v>
      </c>
      <c r="R70" s="136"/>
      <c r="S70" s="168">
        <v>7573.5</v>
      </c>
      <c r="T70" s="129">
        <f>3441+1354+474+514+527+1326</f>
        <v>7636</v>
      </c>
      <c r="U70" s="129">
        <v>7408</v>
      </c>
      <c r="V70" s="129">
        <f>+V71*(V54+V57+V58)</f>
        <v>7627.2954159883739</v>
      </c>
      <c r="W70" s="136"/>
      <c r="X70" s="129">
        <f>+X71*(X54+X57+X58)</f>
        <v>7435.8233132204896</v>
      </c>
      <c r="Y70" s="129">
        <f>+Y71*(Y54+Y57+Y58)</f>
        <v>7637.3372358558991</v>
      </c>
      <c r="Z70" s="129">
        <f>+Z71*(Z54+Z57+Z58)</f>
        <v>7308.0590483548258</v>
      </c>
      <c r="AA70" s="129">
        <f>+AA71*(AA54+AA57+AA58)</f>
        <v>7530.7136343929978</v>
      </c>
      <c r="AB70" s="136"/>
      <c r="AC70" s="129">
        <f>+AC71*(AC54+AC57+AC58)</f>
        <v>7223.3264404962565</v>
      </c>
      <c r="AD70" s="129">
        <f>+AD71*(AD54+AD57+AD58)</f>
        <v>7401.3029782129461</v>
      </c>
      <c r="AE70" s="129">
        <f>+AE71*(AE54+AE57+AE58)</f>
        <v>7058.770913433138</v>
      </c>
      <c r="AF70" s="129">
        <f>+AF71*(AF54+AF57+AF58)</f>
        <v>7233.3489693038437</v>
      </c>
      <c r="AG70" s="136"/>
      <c r="AH70" s="129">
        <f>+AH71*(AH54+AH57+AH58)</f>
        <v>7090.9022234153408</v>
      </c>
      <c r="AI70" s="129">
        <f>+AI71*(AI54+AI57+AI58)</f>
        <v>7241.513643491111</v>
      </c>
      <c r="AJ70" s="129">
        <f>+AJ71*(AJ54+AJ57+AJ58)</f>
        <v>6903.7970686468061</v>
      </c>
      <c r="AK70" s="129">
        <f>+AK71*(AK54+AK57+AK58)</f>
        <v>7058.1639856001293</v>
      </c>
      <c r="AL70" s="136"/>
      <c r="AM70" s="129">
        <f>+AM71*(AM54+AM57+AM58)</f>
        <v>6935.8165039073701</v>
      </c>
      <c r="AN70" s="129">
        <f>+AN71*(AN54+AN57+AN58)</f>
        <v>7061.5602633201106</v>
      </c>
      <c r="AO70" s="129">
        <f>+AO71*(AO54+AO57+AO58)</f>
        <v>6734.8773620466782</v>
      </c>
      <c r="AP70" s="129">
        <f>+AP71*(AP54+AP57+AP58)</f>
        <v>6870.0305421692101</v>
      </c>
      <c r="AQ70" s="136"/>
    </row>
    <row r="71" spans="1:43" outlineLevel="1" x14ac:dyDescent="0.25">
      <c r="A71" s="53"/>
      <c r="B71" s="127" t="s">
        <v>255</v>
      </c>
      <c r="C71" s="128"/>
      <c r="D71" s="146">
        <f>+D70/(D54+D57+D58)</f>
        <v>0.76603429408350565</v>
      </c>
      <c r="E71" s="146">
        <f>+E70/(E54+E57+E58)</f>
        <v>0.76696953817486646</v>
      </c>
      <c r="F71" s="146">
        <f>+F70/(F54+F57+F58)</f>
        <v>0.7823097369669022</v>
      </c>
      <c r="G71" s="146">
        <f>+G70/(G54+G57+G58)</f>
        <v>0.76357241359418604</v>
      </c>
      <c r="H71" s="136"/>
      <c r="I71" s="146">
        <f>+I70/(I54+I57+I58)</f>
        <v>0.82018835035356952</v>
      </c>
      <c r="J71" s="146">
        <f>+J70/(J54+J57+J58)</f>
        <v>0.81074870759486339</v>
      </c>
      <c r="K71" s="146">
        <f>+K70/(K54+K57+K58)</f>
        <v>0.81865283910378295</v>
      </c>
      <c r="L71" s="146">
        <f>+L70/(L54+L57+L58)</f>
        <v>0.7923818484765025</v>
      </c>
      <c r="M71" s="136"/>
      <c r="N71" s="146">
        <f>+N70/(N54+N57+N58)</f>
        <v>0.84067555784298453</v>
      </c>
      <c r="O71" s="146">
        <f>+O70/(O54+O57+O58)</f>
        <v>0.81117525370408738</v>
      </c>
      <c r="P71" s="146">
        <f>+P70/(P54+P57+P58)</f>
        <v>0.83266920640531594</v>
      </c>
      <c r="Q71" s="146">
        <f>+Q70/(Q54+Q57+Q58)</f>
        <v>0.78131123171234529</v>
      </c>
      <c r="R71" s="536"/>
      <c r="S71" s="146">
        <f>+S70/(S54+S57+S58)</f>
        <v>0.82130523124020871</v>
      </c>
      <c r="T71" s="146">
        <f>+T70/(T54+T57+T58)</f>
        <v>0.79511841254292448</v>
      </c>
      <c r="U71" s="146">
        <f>+U70/(U54+U57+U58)</f>
        <v>0.82262327565600524</v>
      </c>
      <c r="V71" s="177">
        <f>+Q71+2%</f>
        <v>0.80131123171234531</v>
      </c>
      <c r="W71" s="136"/>
      <c r="X71" s="177">
        <f>+S71+0%</f>
        <v>0.82130523124020871</v>
      </c>
      <c r="Y71" s="177">
        <f>+T71+0%</f>
        <v>0.79511841254292448</v>
      </c>
      <c r="Z71" s="177">
        <f>+U71-1%</f>
        <v>0.81262327565600523</v>
      </c>
      <c r="AA71" s="177">
        <f>+V71-1%</f>
        <v>0.7913112317123453</v>
      </c>
      <c r="AB71" s="136"/>
      <c r="AC71" s="177">
        <f>+X71-1%</f>
        <v>0.8113052312402087</v>
      </c>
      <c r="AD71" s="177">
        <f>+Y71-1%</f>
        <v>0.78511841254292447</v>
      </c>
      <c r="AE71" s="177">
        <f>+Z71-1%</f>
        <v>0.80262327565600522</v>
      </c>
      <c r="AF71" s="177">
        <f>+AA71-1%</f>
        <v>0.78131123171234529</v>
      </c>
      <c r="AG71" s="136"/>
      <c r="AH71" s="177">
        <f>+AC71+0.25%</f>
        <v>0.81380523124020865</v>
      </c>
      <c r="AI71" s="177">
        <f>+AD71+0.25%</f>
        <v>0.78761841254292442</v>
      </c>
      <c r="AJ71" s="177">
        <f>+AE71+0.25%</f>
        <v>0.80512327565600517</v>
      </c>
      <c r="AK71" s="177">
        <f>+AF71+0.25%</f>
        <v>0.78381123171234524</v>
      </c>
      <c r="AL71" s="136"/>
      <c r="AM71" s="177">
        <f>+AH71+0.25%</f>
        <v>0.8163052312402086</v>
      </c>
      <c r="AN71" s="177">
        <f>+AI71+0.25%</f>
        <v>0.79011841254292436</v>
      </c>
      <c r="AO71" s="177">
        <f>+AJ71+0.25%</f>
        <v>0.80762327565600511</v>
      </c>
      <c r="AP71" s="177">
        <f>+AK71+0.25%</f>
        <v>0.78631123171234518</v>
      </c>
      <c r="AQ71" s="136"/>
    </row>
    <row r="72" spans="1:43" outlineLevel="1" x14ac:dyDescent="0.25">
      <c r="A72" s="53"/>
      <c r="B72" s="135" t="s">
        <v>262</v>
      </c>
      <c r="C72" s="134"/>
      <c r="D72" s="149">
        <f>+D54+D57+D58-D68-D69-D70</f>
        <v>533.27975399999923</v>
      </c>
      <c r="E72" s="149">
        <f>+E54+E57+E58-E68-E69-E70</f>
        <v>611.10798780000096</v>
      </c>
      <c r="F72" s="149">
        <f>+F54+F57+F58-F68-F69-F70</f>
        <v>587.98241240000061</v>
      </c>
      <c r="G72" s="149">
        <f>+G54+G57+G58-G68-G69-G70</f>
        <v>752.9747483526935</v>
      </c>
      <c r="H72" s="136"/>
      <c r="I72" s="149">
        <f>+I54+I57+I58-I68-I69-I70</f>
        <v>510.3246790000012</v>
      </c>
      <c r="J72" s="149">
        <f>+J54+J57+J58-J68-J69-J70</f>
        <v>612.77593954920667</v>
      </c>
      <c r="K72" s="149">
        <f>+K54+K57+K58-K68-K69-K70</f>
        <v>465.51909599999999</v>
      </c>
      <c r="L72" s="149">
        <f>+L54+L57+L58-L68-L69-L70</f>
        <v>790.50444692737437</v>
      </c>
      <c r="M72" s="190">
        <f>+SUM(I72:L72)</f>
        <v>2379.1241614765822</v>
      </c>
      <c r="N72" s="149">
        <f>+N54+N57+N58-N68-N69-N70</f>
        <v>320.38696750000054</v>
      </c>
      <c r="O72" s="149">
        <f>+O54+O57+O58-O68-O69-O70</f>
        <v>600.72064900000078</v>
      </c>
      <c r="P72" s="149">
        <f>+P54+P57+P58-P68-P69-P70</f>
        <v>317.45103159999962</v>
      </c>
      <c r="Q72" s="149">
        <f>+Q54+Q57+Q58-Q68-Q69-Q70</f>
        <v>866.96774399999958</v>
      </c>
      <c r="R72" s="190">
        <f>+SUM(N72:Q72)</f>
        <v>2105.5263921000005</v>
      </c>
      <c r="S72" s="149">
        <f>+S54+S57+S58-S68-S69-S70</f>
        <v>366.79765149999912</v>
      </c>
      <c r="T72" s="149">
        <f>+T54+T57+T58-T68-T69-T70</f>
        <v>619.60102286999972</v>
      </c>
      <c r="U72" s="149">
        <f>+U54+U57+U58-U68-U69-U70</f>
        <v>370.33721720000176</v>
      </c>
      <c r="V72" s="149">
        <f>+V54+V57+V58-V68-V69-V70</f>
        <v>608.49339430514374</v>
      </c>
      <c r="W72" s="190">
        <f>+SUM(S72:V72)</f>
        <v>1965.2292858751443</v>
      </c>
      <c r="X72" s="149">
        <f>+X54+X57+X58-X68-X69-X70</f>
        <v>319.92121866050638</v>
      </c>
      <c r="Y72" s="149">
        <f>+Y54+Y57+Y58-Y68-Y69-Y70</f>
        <v>649.82363405180331</v>
      </c>
      <c r="Z72" s="149">
        <f>+Z54+Z57+Z58-Z68-Z69-Z70</f>
        <v>397.41954374644229</v>
      </c>
      <c r="AA72" s="149">
        <f>+AA54+AA57+AA58-AA68-AA69-AA70</f>
        <v>695.97469271105547</v>
      </c>
      <c r="AB72" s="190">
        <f>+SUM(X72:AA72)</f>
        <v>2063.1390891698074</v>
      </c>
      <c r="AC72" s="149">
        <f>+AC54+AC57+AC58-AC68-AC69-AC70</f>
        <v>374.20147978587647</v>
      </c>
      <c r="AD72" s="149">
        <f>+AD54+AD57+AD58-AD68-AD69-AD70</f>
        <v>667.42244534901874</v>
      </c>
      <c r="AE72" s="149">
        <f>+AE54+AE57+AE58-AE68-AE69-AE70</f>
        <v>376.47874327037425</v>
      </c>
      <c r="AF72" s="149">
        <f>+AF54+AF57+AF58-AF68-AF69-AF70</f>
        <v>662.73028741732651</v>
      </c>
      <c r="AG72" s="136"/>
      <c r="AH72" s="149">
        <f>+AH54+AH57+AH58-AH68-AH69-AH70</f>
        <v>209.92750944115596</v>
      </c>
      <c r="AI72" s="149">
        <f>+AI54+AI57+AI58-AI68-AI69-AI70</f>
        <v>484.06918137712637</v>
      </c>
      <c r="AJ72" s="149">
        <f>+AJ54+AJ57+AJ58-AJ68-AJ69-AJ70</f>
        <v>202.14769990438435</v>
      </c>
      <c r="AK72" s="149">
        <f>+AK54+AK57+AK58-AK68-AK69-AK70</f>
        <v>475.62366736052445</v>
      </c>
      <c r="AL72" s="136"/>
      <c r="AM72" s="149">
        <f>+AM54+AM57+AM58-AM68-AM69-AM70</f>
        <v>71.38763152959018</v>
      </c>
      <c r="AN72" s="149">
        <f>+AN54+AN57+AN58-AN68-AN69-AN70</f>
        <v>327.64565378118641</v>
      </c>
      <c r="AO72" s="149">
        <f>+AO54+AO57+AO58-AO68-AO69-AO70</f>
        <v>56.812306731372701</v>
      </c>
      <c r="AP72" s="149">
        <f>+AP54+AP57+AP58-AP68-AP69-AP70</f>
        <v>317.04574852078986</v>
      </c>
      <c r="AQ72" s="136"/>
    </row>
    <row r="73" spans="1:43" outlineLevel="1" x14ac:dyDescent="0.25">
      <c r="A73" s="53"/>
      <c r="B73" s="135" t="s">
        <v>254</v>
      </c>
      <c r="C73" s="134"/>
      <c r="D73" s="321">
        <f>+D72/(D54+D57+D58)</f>
        <v>8.4003820667163262E-2</v>
      </c>
      <c r="E73" s="321">
        <f>+E72/(E54+E57+E58)</f>
        <v>9.6539899315744318E-2</v>
      </c>
      <c r="F73" s="321">
        <f>+F72/(F54+F57+F58)</f>
        <v>9.255218639553503E-2</v>
      </c>
      <c r="G73" s="321">
        <f>+G72/(G54+G57+G58)</f>
        <v>0.11545195702312068</v>
      </c>
      <c r="H73" s="136"/>
      <c r="I73" s="321">
        <f>+I72/(I54+I57+I58)</f>
        <v>6.1862600741017716E-2</v>
      </c>
      <c r="J73" s="321">
        <f>+J72/(J54+J57+J58)</f>
        <v>7.303841532413223E-2</v>
      </c>
      <c r="K73" s="321">
        <f>+K72/(K54+K57+K58)</f>
        <v>5.5667328308125395E-2</v>
      </c>
      <c r="L73" s="321">
        <f>+L72/(L54+L57+L58)</f>
        <v>8.961106936841319E-2</v>
      </c>
      <c r="M73" s="136"/>
      <c r="N73" s="321">
        <f>+N72/(N54+N57+N58)</f>
        <v>3.8139548658833913E-2</v>
      </c>
      <c r="O73" s="321">
        <f>+O72/(O54+O57+O58)</f>
        <v>6.6189856677242545E-2</v>
      </c>
      <c r="P73" s="321">
        <f>+P72/(P54+P57+P58)</f>
        <v>3.4890667707882864E-2</v>
      </c>
      <c r="Q73" s="321">
        <f>+Q72/(Q54+Q57+Q58)</f>
        <v>9.0328261890853842E-2</v>
      </c>
      <c r="R73" s="136"/>
      <c r="S73" s="321">
        <f>+S72/(S54+S57+S58)</f>
        <v>3.9777227171528651E-2</v>
      </c>
      <c r="T73" s="321">
        <f>+T72/(T54+T57+T58)</f>
        <v>6.4517572251750449E-2</v>
      </c>
      <c r="U73" s="321">
        <f>+U72/(U54+U57+U58)</f>
        <v>4.1124192050539271E-2</v>
      </c>
      <c r="V73" s="321">
        <f>+V72/(V54+V57+V58)</f>
        <v>6.3927324783747921E-2</v>
      </c>
      <c r="W73" s="335"/>
      <c r="X73" s="321">
        <f>+X72/(X54+X57+X58)</f>
        <v>3.5336096542726625E-2</v>
      </c>
      <c r="Y73" s="321">
        <f>+Y72/(Y54+Y57+Y58)</f>
        <v>6.7652732933462023E-2</v>
      </c>
      <c r="Z73" s="321">
        <f>+Z72/(Z54+Z57+Z58)</f>
        <v>4.4191264645248224E-2</v>
      </c>
      <c r="AA73" s="321">
        <f>+AA72/(AA54+AA57+AA58)</f>
        <v>7.3131527510831629E-2</v>
      </c>
      <c r="AB73" s="190"/>
      <c r="AC73" s="321">
        <f>+AC72/(AC54+AC57+AC58)</f>
        <v>4.2029336565225402E-2</v>
      </c>
      <c r="AD73" s="321">
        <f>+AD72/(AD54+AD57+AD58)</f>
        <v>7.0799108255727716E-2</v>
      </c>
      <c r="AE73" s="321">
        <f>+AE72/(AE54+AE57+AE58)</f>
        <v>4.2807821056138916E-2</v>
      </c>
      <c r="AF73" s="321">
        <f>+AF72/(AF54+AF57+AF58)</f>
        <v>7.1584907537641213E-2</v>
      </c>
      <c r="AG73" s="136"/>
      <c r="AH73" s="321">
        <f>+AH72/(AH54+AH57+AH58)</f>
        <v>2.4092858705666329E-2</v>
      </c>
      <c r="AI73" s="321">
        <f>+AI72/(AI54+AI57+AI58)</f>
        <v>5.2649462386899562E-2</v>
      </c>
      <c r="AJ73" s="321">
        <f>+AJ72/(AJ54+AJ57+AJ58)</f>
        <v>2.3574536837486445E-2</v>
      </c>
      <c r="AK73" s="321">
        <f>+AK72/(AK54+AK57+AK58)</f>
        <v>5.2818151194272335E-2</v>
      </c>
      <c r="AL73" s="136"/>
      <c r="AM73" s="321">
        <f>+AM72/(AM54+AM57+AM58)</f>
        <v>8.4019087054312287E-3</v>
      </c>
      <c r="AN73" s="321">
        <f>+AN72/(AN54+AN57+AN58)</f>
        <v>3.6660292370069417E-2</v>
      </c>
      <c r="AO73" s="321">
        <f>+AO72/(AO54+AO57+AO58)</f>
        <v>6.8127359702985675E-3</v>
      </c>
      <c r="AP73" s="321">
        <f>+AP72/(AP54+AP57+AP58)</f>
        <v>3.6287558184541838E-2</v>
      </c>
      <c r="AQ73" s="136"/>
    </row>
    <row r="74" spans="1:43" outlineLevel="1" x14ac:dyDescent="0.25">
      <c r="A74" s="53"/>
      <c r="B74" s="661" t="s">
        <v>750</v>
      </c>
      <c r="C74" s="134"/>
      <c r="D74" s="321"/>
      <c r="E74" s="321"/>
      <c r="F74" s="321"/>
      <c r="G74" s="321"/>
      <c r="H74" s="136"/>
      <c r="I74" s="668">
        <f>+I243</f>
        <v>68</v>
      </c>
      <c r="J74" s="668">
        <f t="shared" ref="J74:L74" si="58">+J243</f>
        <v>58</v>
      </c>
      <c r="K74" s="668">
        <f t="shared" si="58"/>
        <v>78</v>
      </c>
      <c r="L74" s="668">
        <f t="shared" si="58"/>
        <v>83</v>
      </c>
      <c r="M74" s="136"/>
      <c r="N74" s="668">
        <f>+N243</f>
        <v>88</v>
      </c>
      <c r="O74" s="668">
        <f t="shared" ref="O74:Q74" si="59">+O243</f>
        <v>96</v>
      </c>
      <c r="P74" s="668">
        <f t="shared" si="59"/>
        <v>86</v>
      </c>
      <c r="Q74" s="668">
        <f t="shared" si="59"/>
        <v>110</v>
      </c>
      <c r="R74" s="136"/>
      <c r="S74" s="668">
        <f>+S243</f>
        <v>102</v>
      </c>
      <c r="T74" s="668">
        <f t="shared" ref="T74:V74" si="60">+T243</f>
        <v>99</v>
      </c>
      <c r="U74" s="668">
        <f t="shared" si="60"/>
        <v>56</v>
      </c>
      <c r="V74" s="668">
        <f t="shared" si="60"/>
        <v>111.35</v>
      </c>
      <c r="W74" s="335"/>
      <c r="X74" s="668">
        <f>+X243</f>
        <v>58.4375</v>
      </c>
      <c r="Y74" s="668">
        <f t="shared" ref="Y74:AA74" si="61">+Y243</f>
        <v>58.4375</v>
      </c>
      <c r="Z74" s="668">
        <f t="shared" si="61"/>
        <v>58.4375</v>
      </c>
      <c r="AA74" s="668">
        <f t="shared" si="61"/>
        <v>58.4375</v>
      </c>
      <c r="AB74" s="190"/>
      <c r="AC74" s="668">
        <f>+AC243</f>
        <v>42.5</v>
      </c>
      <c r="AD74" s="668">
        <f t="shared" ref="AD74:AF74" si="62">+AD243</f>
        <v>42.5</v>
      </c>
      <c r="AE74" s="668">
        <f t="shared" si="62"/>
        <v>8.5</v>
      </c>
      <c r="AF74" s="668">
        <f t="shared" si="62"/>
        <v>0</v>
      </c>
      <c r="AG74" s="136"/>
      <c r="AH74" s="668">
        <f>+AH243</f>
        <v>0</v>
      </c>
      <c r="AI74" s="668">
        <f t="shared" ref="AI74:AK74" si="63">+AI243</f>
        <v>0</v>
      </c>
      <c r="AJ74" s="668">
        <f t="shared" si="63"/>
        <v>0</v>
      </c>
      <c r="AK74" s="668">
        <f t="shared" si="63"/>
        <v>0</v>
      </c>
      <c r="AL74" s="136"/>
      <c r="AM74" s="668">
        <f>+AM243</f>
        <v>0</v>
      </c>
      <c r="AN74" s="668">
        <f t="shared" ref="AN74:AP74" si="64">+AN243</f>
        <v>0</v>
      </c>
      <c r="AO74" s="668">
        <f t="shared" si="64"/>
        <v>0</v>
      </c>
      <c r="AP74" s="668">
        <f t="shared" si="64"/>
        <v>0</v>
      </c>
      <c r="AQ74" s="136"/>
    </row>
    <row r="75" spans="1:43" outlineLevel="1" x14ac:dyDescent="0.25">
      <c r="A75" s="53"/>
      <c r="B75" s="669" t="s">
        <v>753</v>
      </c>
      <c r="C75" s="134"/>
      <c r="D75" s="321"/>
      <c r="E75" s="321"/>
      <c r="F75" s="321"/>
      <c r="G75" s="321"/>
      <c r="H75" s="136"/>
      <c r="I75" s="671">
        <f>+I72+I74</f>
        <v>578.3246790000012</v>
      </c>
      <c r="J75" s="671">
        <f t="shared" ref="J75:L75" si="65">+J72+J74</f>
        <v>670.77593954920667</v>
      </c>
      <c r="K75" s="671">
        <f t="shared" si="65"/>
        <v>543.51909599999999</v>
      </c>
      <c r="L75" s="671">
        <f t="shared" si="65"/>
        <v>873.50444692737437</v>
      </c>
      <c r="M75" s="673">
        <f>SUM(I75:L75)</f>
        <v>2666.1241614765822</v>
      </c>
      <c r="N75" s="671">
        <f>+N72+N74</f>
        <v>408.38696750000054</v>
      </c>
      <c r="O75" s="671">
        <f t="shared" ref="O75" si="66">+O72+O74</f>
        <v>696.72064900000078</v>
      </c>
      <c r="P75" s="671">
        <f t="shared" ref="P75" si="67">+P72+P74</f>
        <v>403.45103159999962</v>
      </c>
      <c r="Q75" s="671">
        <f t="shared" ref="Q75" si="68">+Q72+Q74</f>
        <v>976.96774399999958</v>
      </c>
      <c r="R75" s="673">
        <f>SUM(N75:Q75)</f>
        <v>2485.5263921000005</v>
      </c>
      <c r="S75" s="671">
        <f>+S72+S74</f>
        <v>468.79765149999912</v>
      </c>
      <c r="T75" s="671">
        <f t="shared" ref="T75" si="69">+T72+T74</f>
        <v>718.60102286999972</v>
      </c>
      <c r="U75" s="671">
        <f t="shared" ref="U75" si="70">+U72+U74</f>
        <v>426.33721720000176</v>
      </c>
      <c r="V75" s="671">
        <f t="shared" ref="V75" si="71">+V72+V74</f>
        <v>719.84339430514376</v>
      </c>
      <c r="W75" s="673">
        <f>SUM(S75:V75)</f>
        <v>2333.5792858751443</v>
      </c>
      <c r="X75" s="671">
        <f>+X72+X74</f>
        <v>378.35871866050638</v>
      </c>
      <c r="Y75" s="671">
        <f t="shared" ref="Y75" si="72">+Y72+Y74</f>
        <v>708.26113405180331</v>
      </c>
      <c r="Z75" s="671">
        <f t="shared" ref="Z75" si="73">+Z72+Z74</f>
        <v>455.85704374644229</v>
      </c>
      <c r="AA75" s="671">
        <f t="shared" ref="AA75" si="74">+AA72+AA74</f>
        <v>754.41219271105547</v>
      </c>
      <c r="AB75" s="673">
        <f>SUM(X75:AA75)</f>
        <v>2296.8890891698074</v>
      </c>
      <c r="AC75" s="671">
        <f>+AC72+AC74</f>
        <v>416.70147978587647</v>
      </c>
      <c r="AD75" s="671">
        <f t="shared" ref="AD75" si="75">+AD72+AD74</f>
        <v>709.92244534901874</v>
      </c>
      <c r="AE75" s="671">
        <f t="shared" ref="AE75" si="76">+AE72+AE74</f>
        <v>384.97874327037425</v>
      </c>
      <c r="AF75" s="671">
        <f t="shared" ref="AF75" si="77">+AF72+AF74</f>
        <v>662.73028741732651</v>
      </c>
      <c r="AG75" s="136"/>
      <c r="AH75" s="671">
        <f>+AH72+AH74</f>
        <v>209.92750944115596</v>
      </c>
      <c r="AI75" s="671">
        <f t="shared" ref="AI75" si="78">+AI72+AI74</f>
        <v>484.06918137712637</v>
      </c>
      <c r="AJ75" s="671">
        <f t="shared" ref="AJ75" si="79">+AJ72+AJ74</f>
        <v>202.14769990438435</v>
      </c>
      <c r="AK75" s="671">
        <f t="shared" ref="AK75" si="80">+AK72+AK74</f>
        <v>475.62366736052445</v>
      </c>
      <c r="AL75" s="136"/>
      <c r="AM75" s="671">
        <f>+AM72+AM74</f>
        <v>71.38763152959018</v>
      </c>
      <c r="AN75" s="671">
        <f t="shared" ref="AN75" si="81">+AN72+AN74</f>
        <v>327.64565378118641</v>
      </c>
      <c r="AO75" s="671">
        <f t="shared" ref="AO75" si="82">+AO72+AO74</f>
        <v>56.812306731372701</v>
      </c>
      <c r="AP75" s="671">
        <f t="shared" ref="AP75" si="83">+AP72+AP74</f>
        <v>317.04574852078986</v>
      </c>
      <c r="AQ75" s="136"/>
    </row>
    <row r="76" spans="1:43" ht="15.75" outlineLevel="1" thickBot="1" x14ac:dyDescent="0.3">
      <c r="A76" s="53"/>
      <c r="B76" s="670" t="s">
        <v>754</v>
      </c>
      <c r="C76" s="181"/>
      <c r="D76" s="182"/>
      <c r="E76" s="182"/>
      <c r="F76" s="182"/>
      <c r="G76" s="182"/>
      <c r="H76" s="138"/>
      <c r="I76" s="672">
        <f>+I75/(I54+I57+I58)</f>
        <v>7.0105699739546057E-2</v>
      </c>
      <c r="J76" s="672">
        <f t="shared" ref="J76:L76" si="84">+J75/(J54+J57+J58)</f>
        <v>7.9951591601771468E-2</v>
      </c>
      <c r="K76" s="672">
        <f t="shared" si="84"/>
        <v>6.4994661268992338E-2</v>
      </c>
      <c r="L76" s="672">
        <f t="shared" si="84"/>
        <v>9.901989532314133E-2</v>
      </c>
      <c r="M76" s="138"/>
      <c r="N76" s="672">
        <f>+N75/(N54+N57+N58)</f>
        <v>4.86152565447278E-2</v>
      </c>
      <c r="O76" s="672">
        <f t="shared" ref="O76" si="85">+O75/(O54+O57+O58)</f>
        <v>7.676752909718175E-2</v>
      </c>
      <c r="P76" s="672">
        <f t="shared" ref="P76" si="86">+P75/(P54+P57+P58)</f>
        <v>4.4342826069928426E-2</v>
      </c>
      <c r="Q76" s="672">
        <f t="shared" ref="Q76" si="87">+Q75/(Q54+Q57+Q58)</f>
        <v>0.1017890213905682</v>
      </c>
      <c r="R76" s="138"/>
      <c r="S76" s="672">
        <f>+S75/(S54+S57+S58)</f>
        <v>5.0838577087221698E-2</v>
      </c>
      <c r="T76" s="672">
        <f t="shared" ref="T76" si="88">+T75/(T54+T57+T58)</f>
        <v>7.4826205415939748E-2</v>
      </c>
      <c r="U76" s="672">
        <f t="shared" ref="U76" si="89">+U75/(U54+U57+U58)</f>
        <v>4.7342726531740174E-2</v>
      </c>
      <c r="V76" s="672">
        <f t="shared" ref="V76" si="90">+V75/(V54+V57+V58)</f>
        <v>7.5625574397121184E-2</v>
      </c>
      <c r="W76" s="424"/>
      <c r="X76" s="672">
        <f>+X75/(X54+X57+X58)</f>
        <v>4.1790664171474222E-2</v>
      </c>
      <c r="Y76" s="672">
        <f t="shared" ref="Y76" si="91">+Y75/(Y54+Y57+Y58)</f>
        <v>7.3736624582875346E-2</v>
      </c>
      <c r="Z76" s="672">
        <f t="shared" ref="Z76" si="92">+Z75/(Z54+Z57+Z58)</f>
        <v>5.0689251642471261E-2</v>
      </c>
      <c r="AA76" s="672">
        <f t="shared" ref="AA76" si="93">+AA75/(AA54+AA57+AA58)</f>
        <v>7.9272014634389265E-2</v>
      </c>
      <c r="AB76" s="424">
        <f>+AB75-M75</f>
        <v>-369.23507230677478</v>
      </c>
      <c r="AC76" s="672">
        <f>+AC75/(AC54+AC57+AC58)</f>
        <v>4.6802825983397127E-2</v>
      </c>
      <c r="AD76" s="672">
        <f t="shared" ref="AD76" si="94">+AD75/(AD54+AD57+AD58)</f>
        <v>7.5307440454976629E-2</v>
      </c>
      <c r="AE76" s="672">
        <f t="shared" ref="AE76" si="95">+AE75/(AE54+AE57+AE58)</f>
        <v>4.3774320454793847E-2</v>
      </c>
      <c r="AF76" s="672">
        <f t="shared" ref="AF76" si="96">+AF75/(AF54+AF57+AF58)</f>
        <v>7.1584907537641213E-2</v>
      </c>
      <c r="AG76" s="138"/>
      <c r="AH76" s="672">
        <f>+AH75/(AH54+AH57+AH58)</f>
        <v>2.4092858705666329E-2</v>
      </c>
      <c r="AI76" s="672">
        <f t="shared" ref="AI76" si="97">+AI75/(AI54+AI57+AI58)</f>
        <v>5.2649462386899562E-2</v>
      </c>
      <c r="AJ76" s="672">
        <f t="shared" ref="AJ76" si="98">+AJ75/(AJ54+AJ57+AJ58)</f>
        <v>2.3574536837486445E-2</v>
      </c>
      <c r="AK76" s="672">
        <f t="shared" ref="AK76" si="99">+AK75/(AK54+AK57+AK58)</f>
        <v>5.2818151194272335E-2</v>
      </c>
      <c r="AL76" s="138"/>
      <c r="AM76" s="672">
        <f>+AM75/(AM54+AM57+AM58)</f>
        <v>8.4019087054312287E-3</v>
      </c>
      <c r="AN76" s="672">
        <f t="shared" ref="AN76" si="100">+AN75/(AN54+AN57+AN58)</f>
        <v>3.6660292370069417E-2</v>
      </c>
      <c r="AO76" s="672">
        <f t="shared" ref="AO76" si="101">+AO75/(AO54+AO57+AO58)</f>
        <v>6.8127359702985675E-3</v>
      </c>
      <c r="AP76" s="672">
        <f t="shared" ref="AP76" si="102">+AP75/(AP54+AP57+AP58)</f>
        <v>3.6287558184541838E-2</v>
      </c>
      <c r="AQ76" s="138"/>
    </row>
    <row r="77" spans="1:43" ht="15.75" x14ac:dyDescent="0.25">
      <c r="A77" s="53"/>
      <c r="B77" s="733" t="s">
        <v>200</v>
      </c>
      <c r="C77" s="734"/>
      <c r="D77" s="657" t="s">
        <v>71</v>
      </c>
      <c r="E77" s="657" t="s">
        <v>74</v>
      </c>
      <c r="F77" s="657" t="s">
        <v>75</v>
      </c>
      <c r="G77" s="657" t="s">
        <v>78</v>
      </c>
      <c r="H77" s="658"/>
      <c r="I77" s="657" t="s">
        <v>80</v>
      </c>
      <c r="J77" s="657" t="s">
        <v>91</v>
      </c>
      <c r="K77" s="657" t="s">
        <v>109</v>
      </c>
      <c r="L77" s="657" t="s">
        <v>113</v>
      </c>
      <c r="M77" s="658"/>
      <c r="N77" s="657" t="s">
        <v>115</v>
      </c>
      <c r="O77" s="657" t="s">
        <v>116</v>
      </c>
      <c r="P77" s="657" t="s">
        <v>117</v>
      </c>
      <c r="Q77" s="657" t="s">
        <v>118</v>
      </c>
      <c r="R77" s="658"/>
      <c r="S77" s="657" t="s">
        <v>507</v>
      </c>
      <c r="T77" s="657" t="s">
        <v>749</v>
      </c>
      <c r="U77" s="657" t="s">
        <v>769</v>
      </c>
      <c r="V77" s="659" t="s">
        <v>378</v>
      </c>
      <c r="W77" s="660"/>
      <c r="X77" s="659" t="s">
        <v>380</v>
      </c>
      <c r="Y77" s="659" t="s">
        <v>381</v>
      </c>
      <c r="Z77" s="659" t="s">
        <v>382</v>
      </c>
      <c r="AA77" s="659" t="s">
        <v>383</v>
      </c>
      <c r="AB77" s="660"/>
      <c r="AC77" s="659" t="s">
        <v>385</v>
      </c>
      <c r="AD77" s="659" t="s">
        <v>386</v>
      </c>
      <c r="AE77" s="659" t="s">
        <v>387</v>
      </c>
      <c r="AF77" s="659" t="s">
        <v>388</v>
      </c>
      <c r="AG77" s="660"/>
      <c r="AH77" s="659" t="s">
        <v>390</v>
      </c>
      <c r="AI77" s="659" t="s">
        <v>391</v>
      </c>
      <c r="AJ77" s="659" t="s">
        <v>392</v>
      </c>
      <c r="AK77" s="659" t="s">
        <v>393</v>
      </c>
      <c r="AL77" s="660"/>
      <c r="AM77" s="659" t="s">
        <v>395</v>
      </c>
      <c r="AN77" s="659" t="s">
        <v>396</v>
      </c>
      <c r="AO77" s="659" t="s">
        <v>397</v>
      </c>
      <c r="AP77" s="659" t="s">
        <v>398</v>
      </c>
      <c r="AQ77" s="660"/>
    </row>
    <row r="78" spans="1:43" ht="17.25" outlineLevel="1" x14ac:dyDescent="0.4">
      <c r="A78" s="53"/>
      <c r="B78" s="729" t="s">
        <v>168</v>
      </c>
      <c r="C78" s="730"/>
      <c r="D78" s="264">
        <f>+ROUND((1658-D83),0)</f>
        <v>0</v>
      </c>
      <c r="E78" s="264">
        <f>ROUND((1682-E83),0)</f>
        <v>0</v>
      </c>
      <c r="F78" s="264">
        <f>ROUND((1704-F83),0)</f>
        <v>0</v>
      </c>
      <c r="G78" s="264">
        <f>ROUND((1719-G83),0)</f>
        <v>0</v>
      </c>
      <c r="H78" s="265"/>
      <c r="I78" s="264">
        <f>ROUND((1722-I83),0)</f>
        <v>0</v>
      </c>
      <c r="J78" s="264">
        <f>ROUND((1709-J83),0)</f>
        <v>0</v>
      </c>
      <c r="K78" s="264">
        <f>ROUND((1742-K83),0)</f>
        <v>0</v>
      </c>
      <c r="L78" s="264">
        <f>ROUND((1782-L83),0)</f>
        <v>0</v>
      </c>
      <c r="M78" s="48"/>
      <c r="N78" s="264">
        <f>ROUND((1750-N83),0)</f>
        <v>0</v>
      </c>
      <c r="O78" s="264">
        <f>ROUND((1787-O83),0)</f>
        <v>0</v>
      </c>
      <c r="P78" s="264">
        <f>ROUND((1836-P83),0)</f>
        <v>0</v>
      </c>
      <c r="Q78" s="264"/>
      <c r="R78" s="75"/>
      <c r="S78" s="47"/>
      <c r="T78" s="47"/>
      <c r="U78" s="47"/>
      <c r="V78" s="47"/>
      <c r="W78" s="75"/>
      <c r="X78" s="47"/>
      <c r="Y78" s="47"/>
      <c r="Z78" s="47"/>
      <c r="AA78" s="47"/>
      <c r="AB78" s="75"/>
      <c r="AC78" s="47"/>
      <c r="AD78" s="47"/>
      <c r="AE78" s="47"/>
      <c r="AF78" s="47"/>
      <c r="AG78" s="75"/>
      <c r="AH78" s="47"/>
      <c r="AI78" s="47"/>
      <c r="AJ78" s="47"/>
      <c r="AK78" s="47"/>
      <c r="AL78" s="75"/>
      <c r="AM78" s="47"/>
      <c r="AN78" s="47"/>
      <c r="AO78" s="47"/>
      <c r="AP78" s="47"/>
      <c r="AQ78" s="75"/>
    </row>
    <row r="79" spans="1:43" outlineLevel="2" x14ac:dyDescent="0.25">
      <c r="A79" s="53"/>
      <c r="B79" s="123" t="s">
        <v>361</v>
      </c>
      <c r="C79" s="285"/>
      <c r="D79" s="262">
        <v>1210</v>
      </c>
      <c r="E79" s="262">
        <v>1290</v>
      </c>
      <c r="F79" s="262">
        <v>1315.5</v>
      </c>
      <c r="G79" s="262">
        <v>1269.5039999999999</v>
      </c>
      <c r="H79" s="54"/>
      <c r="I79" s="262">
        <v>1255</v>
      </c>
      <c r="J79" s="262">
        <v>1282.604</v>
      </c>
      <c r="K79" s="262">
        <v>1322.4</v>
      </c>
      <c r="L79" s="262">
        <v>1201.7</v>
      </c>
      <c r="M79" s="54"/>
      <c r="N79" s="262">
        <v>1188.2</v>
      </c>
      <c r="O79" s="262">
        <v>1248</v>
      </c>
      <c r="P79" s="262">
        <v>1314.5</v>
      </c>
      <c r="Q79" s="262">
        <v>1257.2</v>
      </c>
      <c r="R79" s="50"/>
      <c r="S79" s="262">
        <v>1231</v>
      </c>
      <c r="T79" s="124">
        <v>1308</v>
      </c>
      <c r="U79" s="124">
        <v>1307</v>
      </c>
      <c r="V79" s="124">
        <f>+Q79*(1+V80)</f>
        <v>1290.0684804959296</v>
      </c>
      <c r="W79" s="50"/>
      <c r="X79" s="124">
        <f>+S79*(1+X80)</f>
        <v>1260.0935762827955</v>
      </c>
      <c r="Y79" s="124">
        <f>+T79*(1+Y80)</f>
        <v>1318.5129273009813</v>
      </c>
      <c r="Z79" s="124">
        <f>+U79*(1+Z80)</f>
        <v>1304.4219777531</v>
      </c>
      <c r="AA79" s="124">
        <f>+V79*(1+AA80)</f>
        <v>1288.7278498268452</v>
      </c>
      <c r="AB79" s="50"/>
      <c r="AC79" s="124">
        <f>+X79*(1+AC80)</f>
        <v>1269.1220960657124</v>
      </c>
      <c r="AD79" s="124">
        <f>+Y79*(1+AD80)</f>
        <v>1322.5313260296052</v>
      </c>
      <c r="AE79" s="124">
        <f>+Z79*(1+AE80)</f>
        <v>1306.7702530519457</v>
      </c>
      <c r="AF79" s="124">
        <f>+AA79*(1+AF80)</f>
        <v>1292.2633726449428</v>
      </c>
      <c r="AG79" s="50"/>
      <c r="AH79" s="124">
        <f>+AC79*(1+AH80)</f>
        <v>1270.6311766378592</v>
      </c>
      <c r="AI79" s="124">
        <f>+AD79*(1+AI80)</f>
        <v>1322.1280902416581</v>
      </c>
      <c r="AJ79" s="124">
        <f>+AE79*(1+AJ80)</f>
        <v>1305.2765624773444</v>
      </c>
      <c r="AK79" s="124">
        <f>+AF79*(1+AK80)</f>
        <v>1289.8353901394353</v>
      </c>
      <c r="AL79" s="50"/>
      <c r="AM79" s="124">
        <f>+AH79*(1+AM80)</f>
        <v>1266.7755343451079</v>
      </c>
      <c r="AN79" s="124">
        <f>+AI79*(1+AN80)</f>
        <v>1316.7201804436195</v>
      </c>
      <c r="AO79" s="124">
        <f>+AJ79*(1+AO80)</f>
        <v>1298.7023288482394</v>
      </c>
      <c r="AP79" s="124">
        <f>+AK79*(1+AP80)</f>
        <v>1282.0833963502234</v>
      </c>
      <c r="AQ79" s="50"/>
    </row>
    <row r="80" spans="1:43" outlineLevel="2" x14ac:dyDescent="0.25">
      <c r="A80" s="53"/>
      <c r="B80" s="141" t="s">
        <v>204</v>
      </c>
      <c r="C80" s="285"/>
      <c r="D80" s="166">
        <f>+D79/1211-1</f>
        <v>-8.2576383154420174E-4</v>
      </c>
      <c r="E80" s="166">
        <f>+E79/1259-1</f>
        <v>2.4622716441620396E-2</v>
      </c>
      <c r="F80" s="166">
        <f>+F79/1258-1</f>
        <v>4.5707472178060371E-2</v>
      </c>
      <c r="G80" s="166">
        <f>+G79/1231-1</f>
        <v>3.1278635255889364E-2</v>
      </c>
      <c r="H80" s="84"/>
      <c r="I80" s="166">
        <f>+I79/D79-1</f>
        <v>3.7190082644628086E-2</v>
      </c>
      <c r="J80" s="166">
        <f>+J79/E79-1</f>
        <v>-5.733333333333257E-3</v>
      </c>
      <c r="K80" s="166">
        <f>+K79/F79-1</f>
        <v>5.2451539338655984E-3</v>
      </c>
      <c r="L80" s="166">
        <f>+L79/G79-1</f>
        <v>-5.3409835652349136E-2</v>
      </c>
      <c r="M80" s="84"/>
      <c r="N80" s="166">
        <f>+N79/I79-1</f>
        <v>-5.3227091633466062E-2</v>
      </c>
      <c r="O80" s="166">
        <f>+O79/J79-1</f>
        <v>-2.697948860287358E-2</v>
      </c>
      <c r="P80" s="166">
        <f>+P79/K79-1</f>
        <v>-5.9739866908651296E-3</v>
      </c>
      <c r="Q80" s="166">
        <f>+Q79/L79-1</f>
        <v>4.6184571856536571E-2</v>
      </c>
      <c r="R80" s="76"/>
      <c r="S80" s="166">
        <f>+S79/N79-1</f>
        <v>3.6020871907086249E-2</v>
      </c>
      <c r="T80" s="166">
        <f>+T79/O79-1</f>
        <v>4.8076923076923128E-2</v>
      </c>
      <c r="U80" s="166">
        <f>+U79/P79-1</f>
        <v>-5.7055914796501073E-3</v>
      </c>
      <c r="V80" s="142">
        <f>AVERAGE(U80,T80,S80,Q80)-0.5%</f>
        <v>2.6144193840223959E-2</v>
      </c>
      <c r="W80" s="57"/>
      <c r="X80" s="142">
        <f>AVERAGE(V80,U80,T80,S80)-0.25%</f>
        <v>2.3634099336145808E-2</v>
      </c>
      <c r="Y80" s="142">
        <f>AVERAGE(X80,V80,U80,T80)-1.5%</f>
        <v>8.0374061934106976E-3</v>
      </c>
      <c r="Z80" s="142">
        <f>AVERAGE(Y80,X80,V80,U80)-1.5%</f>
        <v>-1.9724730274674092E-3</v>
      </c>
      <c r="AA80" s="142">
        <f>AVERAGE(Z80,Y80,X80,V80)-1.5%</f>
        <v>-1.0391934144217355E-3</v>
      </c>
      <c r="AB80" s="57"/>
      <c r="AC80" s="142">
        <f>AVERAGE(AA80,Z80,Y80,X80)</f>
        <v>7.1649597719168397E-3</v>
      </c>
      <c r="AD80" s="142">
        <f>AVERAGE(AC80,AA80,Z80,Y80)</f>
        <v>3.0476748808595982E-3</v>
      </c>
      <c r="AE80" s="142">
        <f>AVERAGE(AD80,AC80,AA80,Z80)</f>
        <v>1.8002420527218235E-3</v>
      </c>
      <c r="AF80" s="142">
        <f>AVERAGE(AE80,AD80,AC80,AA80)</f>
        <v>2.7434208227691314E-3</v>
      </c>
      <c r="AG80" s="57"/>
      <c r="AH80" s="177">
        <f>AVERAGE(AF80,AE80,AD80,AC80)-0.25%</f>
        <v>1.1890743820668482E-3</v>
      </c>
      <c r="AI80" s="177">
        <f>AVERAGE(AH80,AF80,AE80,AD80)-0.25%</f>
        <v>-3.0489696539564995E-4</v>
      </c>
      <c r="AJ80" s="177">
        <f>AVERAGE(AI80,AH80,AF80,AE80)-0.25%</f>
        <v>-1.1430399269594617E-3</v>
      </c>
      <c r="AK80" s="177">
        <f>AVERAGE(AJ80,AI80,AH80,AF80)-0.25%</f>
        <v>-1.8788604218797831E-3</v>
      </c>
      <c r="AL80" s="57"/>
      <c r="AM80" s="177">
        <f>AVERAGE(AK80,AJ80,AI80,AH80)-0.25%</f>
        <v>-3.0344307330420119E-3</v>
      </c>
      <c r="AN80" s="177">
        <f>AVERAGE(AM80,AK80,AJ80,AI80)-0.25%</f>
        <v>-4.0903070118192266E-3</v>
      </c>
      <c r="AO80" s="177">
        <f>AVERAGE(AN80,AM80,AK80,AJ80)-0.25%</f>
        <v>-5.0366595234251216E-3</v>
      </c>
      <c r="AP80" s="177">
        <f>AVERAGE(AO80,AN80,AM80,AK80)-0.25%</f>
        <v>-6.0100644225415355E-3</v>
      </c>
      <c r="AQ80" s="57"/>
    </row>
    <row r="81" spans="1:43" outlineLevel="2" x14ac:dyDescent="0.25">
      <c r="A81" s="53"/>
      <c r="B81" s="123" t="s">
        <v>173</v>
      </c>
      <c r="C81" s="285"/>
      <c r="D81" s="143">
        <v>21.074999999999999</v>
      </c>
      <c r="E81" s="143">
        <v>20.7</v>
      </c>
      <c r="F81" s="143">
        <v>20.56</v>
      </c>
      <c r="G81" s="143">
        <v>20.834</v>
      </c>
      <c r="H81" s="54"/>
      <c r="I81" s="143">
        <v>21.11</v>
      </c>
      <c r="J81" s="143">
        <v>21.155999999999999</v>
      </c>
      <c r="K81" s="143">
        <v>21.244</v>
      </c>
      <c r="L81" s="143">
        <v>22.814</v>
      </c>
      <c r="M81" s="54"/>
      <c r="N81" s="143">
        <v>22.664999999999999</v>
      </c>
      <c r="O81" s="143">
        <v>22.73</v>
      </c>
      <c r="P81" s="143">
        <v>22.53</v>
      </c>
      <c r="Q81" s="143">
        <v>23.263000000000002</v>
      </c>
      <c r="R81" s="417"/>
      <c r="S81" s="143">
        <v>23.57</v>
      </c>
      <c r="T81" s="143">
        <v>23.6343</v>
      </c>
      <c r="U81" s="143">
        <v>22.75</v>
      </c>
      <c r="V81" s="143">
        <f>+Q81*(1+V82)</f>
        <v>23.781529293717927</v>
      </c>
      <c r="W81" s="50"/>
      <c r="X81" s="143">
        <f>+S81*(1+X82)</f>
        <v>24.16967066588596</v>
      </c>
      <c r="Y81" s="143">
        <f>+T81*(1+Y82)</f>
        <v>23.85457859895482</v>
      </c>
      <c r="Z81" s="143">
        <f>+U81*(1+Z82)</f>
        <v>22.788771907777942</v>
      </c>
      <c r="AA81" s="143">
        <f>+V81*(1+AA82)</f>
        <v>23.861552944842458</v>
      </c>
      <c r="AB81" s="50"/>
      <c r="AC81" s="143">
        <f>+X81*(1+AC82)</f>
        <v>24.410349938210096</v>
      </c>
      <c r="AD81" s="143">
        <f>+Y81*(1+AD82)</f>
        <v>23.999777881592323</v>
      </c>
      <c r="AE81" s="143">
        <f>+Z81*(1+AE82)</f>
        <v>22.909062244602424</v>
      </c>
      <c r="AF81" s="143">
        <f>+AA81*(1+AF82)</f>
        <v>24.008827627076357</v>
      </c>
      <c r="AG81" s="50"/>
      <c r="AH81" s="143">
        <f>+AC81*(1+AH82)</f>
        <v>24.517116518562311</v>
      </c>
      <c r="AI81" s="143">
        <f>+AD81*(1+AI82)</f>
        <v>24.071244520463257</v>
      </c>
      <c r="AJ81" s="143">
        <f>+AE81*(1+AJ82)</f>
        <v>22.959474605014886</v>
      </c>
      <c r="AK81" s="143">
        <f>+AF81*(1+AK82)</f>
        <v>24.043185580275086</v>
      </c>
      <c r="AL81" s="50"/>
      <c r="AM81" s="143">
        <f>+AH81*(1+AM82)</f>
        <v>24.523142983530271</v>
      </c>
      <c r="AN81" s="143">
        <f>+AI81*(1+AN82)</f>
        <v>24.05231975570247</v>
      </c>
      <c r="AO81" s="143">
        <f>+AJ81*(1+AO82)</f>
        <v>22.919819033338886</v>
      </c>
      <c r="AP81" s="143">
        <f>+AK81*(1+AP82)</f>
        <v>23.978049373928247</v>
      </c>
      <c r="AQ81" s="50"/>
    </row>
    <row r="82" spans="1:43" outlineLevel="2" x14ac:dyDescent="0.25">
      <c r="A82" s="53"/>
      <c r="B82" s="141" t="s">
        <v>203</v>
      </c>
      <c r="C82" s="290"/>
      <c r="D82" s="166">
        <f>+D81/21.69-1</f>
        <v>-2.835408022130026E-2</v>
      </c>
      <c r="E82" s="166">
        <f>+E81/21.5-1</f>
        <v>-3.7209302325581395E-2</v>
      </c>
      <c r="F82" s="166">
        <f>+F81/20.85-1</f>
        <v>-1.3908872901678748E-2</v>
      </c>
      <c r="G82" s="166">
        <f>+G81/21.12-1</f>
        <v>-1.3541666666666785E-2</v>
      </c>
      <c r="H82" s="84"/>
      <c r="I82" s="166">
        <f>+I81/D81-1</f>
        <v>1.6607354685647113E-3</v>
      </c>
      <c r="J82" s="166">
        <f>+J81/E81-1</f>
        <v>2.2028985507246412E-2</v>
      </c>
      <c r="K82" s="166">
        <f>+K81/F81-1</f>
        <v>3.3268482490272477E-2</v>
      </c>
      <c r="L82" s="166">
        <f>+L81/G81-1</f>
        <v>9.5036958817317885E-2</v>
      </c>
      <c r="M82" s="84"/>
      <c r="N82" s="166">
        <f>+N81/I81-1</f>
        <v>7.3661771672193233E-2</v>
      </c>
      <c r="O82" s="166">
        <f>+O81/J81-1</f>
        <v>7.4399697485347138E-2</v>
      </c>
      <c r="P82" s="166">
        <f>+P81/K81-1</f>
        <v>6.05347392204858E-2</v>
      </c>
      <c r="Q82" s="166">
        <f>+Q81/L81-1</f>
        <v>1.9680897694398292E-2</v>
      </c>
      <c r="R82" s="57"/>
      <c r="S82" s="166">
        <f>+S81/N81-1</f>
        <v>3.9929406574012782E-2</v>
      </c>
      <c r="T82" s="166">
        <f>+T81/O81-1</f>
        <v>3.9784425868895745E-2</v>
      </c>
      <c r="U82" s="166">
        <f>+U81/P81-1</f>
        <v>9.7647581003106332E-3</v>
      </c>
      <c r="V82" s="142">
        <f>AVERAGE(U82,T82,S82,Q82)-0.5%</f>
        <v>2.2289872059404362E-2</v>
      </c>
      <c r="W82" s="57"/>
      <c r="X82" s="142">
        <f>AVERAGE(V82,U82,T82,S82)-0.25%</f>
        <v>2.5442115650655881E-2</v>
      </c>
      <c r="Y82" s="142">
        <f>AVERAGE(X82,V82,U82,T82)-1.5%</f>
        <v>9.3202929198166543E-3</v>
      </c>
      <c r="Z82" s="142">
        <f>AVERAGE(Y82,X82,V82,U82)-1.5%</f>
        <v>1.7042596825468832E-3</v>
      </c>
      <c r="AA82" s="142">
        <f>AVERAGE(Z82,Y82,X82,V82)-1.13241853250356%</f>
        <v>3.364949753070343E-3</v>
      </c>
      <c r="AB82" s="57"/>
      <c r="AC82" s="142">
        <f>AVERAGE(AA82,Z82,Y82,X82)</f>
        <v>9.95790450152244E-3</v>
      </c>
      <c r="AD82" s="142">
        <f>AVERAGE(AC82,AA82,Z82,Y82)</f>
        <v>6.0868517142390801E-3</v>
      </c>
      <c r="AE82" s="142">
        <f>AVERAGE(AD82,AC82,AA82,Z82)</f>
        <v>5.2784914128446861E-3</v>
      </c>
      <c r="AF82" s="142">
        <f>AVERAGE(AE82,AD82,AC82,AA82)</f>
        <v>6.1720493454191366E-3</v>
      </c>
      <c r="AG82" s="57"/>
      <c r="AH82" s="177">
        <f>AVERAGE(AF82,AE82,AD82,AC82)-0.25%</f>
        <v>4.373824243506335E-3</v>
      </c>
      <c r="AI82" s="177">
        <f>AVERAGE(AH82,AF82,AE82,AD82)-0.25%</f>
        <v>2.9778041790023088E-3</v>
      </c>
      <c r="AJ82" s="177">
        <f>AVERAGE(AI82,AH82,AF82,AE82)-0.25%</f>
        <v>2.2005422951931167E-3</v>
      </c>
      <c r="AK82" s="177">
        <f>AVERAGE(AJ82,AI82,AH82,AF82)-0.25%</f>
        <v>1.4310550157802244E-3</v>
      </c>
      <c r="AL82" s="57"/>
      <c r="AM82" s="177">
        <f>AVERAGE(AK82,AJ82,AI82,AH82)-0.25%</f>
        <v>2.4580643337049606E-4</v>
      </c>
      <c r="AN82" s="177">
        <f>AVERAGE(AM82,AK82,AJ82,AI82)-0.25%</f>
        <v>-7.8619801916346346E-4</v>
      </c>
      <c r="AO82" s="177">
        <f>AVERAGE(AN82,AM82,AK82,AJ82)-0.25%</f>
        <v>-1.7271985687049066E-3</v>
      </c>
      <c r="AP82" s="177">
        <f>AVERAGE(AO82,AN82,AM82,AK82)-0.25%</f>
        <v>-2.7091337846794124E-3</v>
      </c>
      <c r="AQ82" s="57"/>
    </row>
    <row r="83" spans="1:43" s="55" customFormat="1" outlineLevel="2" x14ac:dyDescent="0.25">
      <c r="A83" s="196"/>
      <c r="B83" s="119" t="s">
        <v>167</v>
      </c>
      <c r="C83" s="167"/>
      <c r="D83" s="144">
        <f>+D79*D81*D61/1000</f>
        <v>1657.5487499999999</v>
      </c>
      <c r="E83" s="144">
        <f>+E79*E81*E61/1000</f>
        <v>1682.289</v>
      </c>
      <c r="F83" s="144">
        <f>+F79*F81*F61/1000</f>
        <v>1703.9408399999998</v>
      </c>
      <c r="G83" s="144">
        <f>+G79*G81*G61/1000</f>
        <v>1719.1750118399998</v>
      </c>
      <c r="H83" s="122"/>
      <c r="I83" s="144">
        <f>+I79*I81*I61/1000</f>
        <v>1722.0482500000001</v>
      </c>
      <c r="J83" s="144">
        <f>+J79*J81*J61/1000</f>
        <v>1709.490524112</v>
      </c>
      <c r="K83" s="144">
        <f>+K79*K81*K61/1000</f>
        <v>1741.7700672000001</v>
      </c>
      <c r="L83" s="144">
        <f>+L79*L81*L61/1000</f>
        <v>1782.0129469999999</v>
      </c>
      <c r="M83" s="122"/>
      <c r="N83" s="144">
        <f>+N79*N81*N61/1000</f>
        <v>1750.4859450000001</v>
      </c>
      <c r="O83" s="144">
        <f>+O79*O81*O61/1000</f>
        <v>1787.1235200000001</v>
      </c>
      <c r="P83" s="144">
        <f>+P79*P81*P61/1000</f>
        <v>1836.17247</v>
      </c>
      <c r="Q83" s="144">
        <f>+Q79*Q81*Q61/1000</f>
        <v>1901.005834</v>
      </c>
      <c r="R83" s="122"/>
      <c r="S83" s="144">
        <f>+S79*S81*S61/1000</f>
        <v>1885.95355</v>
      </c>
      <c r="T83" s="144">
        <f>+T79*T81*T61/1000</f>
        <v>1947.5608571999999</v>
      </c>
      <c r="U83" s="144">
        <f>+U79*U81*U61/1000</f>
        <v>1843.5235</v>
      </c>
      <c r="V83" s="144">
        <f>+V79*V81*V61/1000</f>
        <v>1994.1870883880481</v>
      </c>
      <c r="W83" s="121"/>
      <c r="X83" s="144">
        <f>+X79*X81*X61/1000</f>
        <v>1979.643038551985</v>
      </c>
      <c r="Y83" s="144">
        <f>+Y79*Y81*Y61/1000</f>
        <v>1981.5119262564733</v>
      </c>
      <c r="Z83" s="144">
        <f>+Z79*Z81*Z61/1000</f>
        <v>1843.0228451954956</v>
      </c>
      <c r="AA83" s="144">
        <f>+AA79*AA81*AA61/1000</f>
        <v>1998.8181083088559</v>
      </c>
      <c r="AB83" s="121"/>
      <c r="AC83" s="144">
        <f>+AC79*AC81*AC61/1000</f>
        <v>2013.6814411531175</v>
      </c>
      <c r="AD83" s="144">
        <f>+AD79*AD81*AD61/1000</f>
        <v>1999.6488581679719</v>
      </c>
      <c r="AE83" s="144">
        <f>+AE79*AE81*AE61/1000</f>
        <v>1856.0866261268368</v>
      </c>
      <c r="AF83" s="144">
        <f>+AF79*AF81*AF61/1000</f>
        <v>2016.6723565700902</v>
      </c>
      <c r="AG83" s="121"/>
      <c r="AH83" s="144">
        <f>+AH79*AH81*AH61/1000</f>
        <v>2024.893819633641</v>
      </c>
      <c r="AI83" s="144">
        <f>+AI79*AI81*AI61/1000</f>
        <v>2004.991918497544</v>
      </c>
      <c r="AJ83" s="144">
        <f>+AJ79*AJ81*AJ61/1000</f>
        <v>1858.0447735006226</v>
      </c>
      <c r="AK83" s="144">
        <f>+AK79*AK81*AK61/1000</f>
        <v>2015.7638574533823</v>
      </c>
      <c r="AL83" s="121"/>
      <c r="AM83" s="144">
        <f>+AM79*AM81*AM61/1000</f>
        <v>2019.2456411908977</v>
      </c>
      <c r="AN83" s="144">
        <f>+AN79*AN81*AN61/1000</f>
        <v>1995.2210129554201</v>
      </c>
      <c r="AO83" s="144">
        <f>+AO79*AO81*AO61/1000</f>
        <v>1845.4933860333997</v>
      </c>
      <c r="AP83" s="144">
        <f>+AP79*AP81*AP61/1000</f>
        <v>1998.2208336466531</v>
      </c>
      <c r="AQ83" s="121"/>
    </row>
    <row r="84" spans="1:43" ht="17.25" outlineLevel="1" x14ac:dyDescent="0.4">
      <c r="A84" s="53"/>
      <c r="B84" s="735" t="s">
        <v>169</v>
      </c>
      <c r="C84" s="736"/>
      <c r="D84" s="126"/>
      <c r="E84" s="126"/>
      <c r="F84" s="126"/>
      <c r="G84" s="126"/>
      <c r="H84" s="136"/>
      <c r="I84" s="126"/>
      <c r="J84" s="126"/>
      <c r="K84" s="126"/>
      <c r="L84" s="126"/>
      <c r="M84" s="136"/>
      <c r="N84" s="126"/>
      <c r="O84" s="126"/>
      <c r="P84" s="126"/>
      <c r="Q84" s="126"/>
      <c r="R84" s="136"/>
      <c r="S84" s="126"/>
      <c r="T84" s="126"/>
      <c r="U84" s="126"/>
      <c r="V84" s="126"/>
      <c r="W84" s="136"/>
      <c r="X84" s="126"/>
      <c r="Y84" s="126"/>
      <c r="Z84" s="126"/>
      <c r="AA84" s="126"/>
      <c r="AB84" s="136"/>
      <c r="AC84" s="126"/>
      <c r="AD84" s="126"/>
      <c r="AE84" s="126"/>
      <c r="AF84" s="126"/>
      <c r="AG84" s="136"/>
      <c r="AH84" s="126"/>
      <c r="AI84" s="126"/>
      <c r="AJ84" s="126"/>
      <c r="AK84" s="126"/>
      <c r="AL84" s="136"/>
      <c r="AM84" s="126"/>
      <c r="AN84" s="126"/>
      <c r="AO84" s="126"/>
      <c r="AP84" s="126"/>
      <c r="AQ84" s="136"/>
    </row>
    <row r="85" spans="1:43" outlineLevel="2" x14ac:dyDescent="0.25">
      <c r="A85" s="53"/>
      <c r="B85" s="127" t="s">
        <v>362</v>
      </c>
      <c r="C85" s="128"/>
      <c r="D85" s="129">
        <v>541</v>
      </c>
      <c r="E85" s="129">
        <v>531</v>
      </c>
      <c r="F85" s="129">
        <v>535</v>
      </c>
      <c r="G85" s="129">
        <v>558</v>
      </c>
      <c r="H85" s="136"/>
      <c r="I85" s="129">
        <v>570</v>
      </c>
      <c r="J85" s="129">
        <v>557.4</v>
      </c>
      <c r="K85" s="129">
        <v>549.4</v>
      </c>
      <c r="L85" s="129">
        <v>565</v>
      </c>
      <c r="M85" s="136"/>
      <c r="N85" s="129">
        <v>557.29999999999995</v>
      </c>
      <c r="O85" s="129">
        <v>547</v>
      </c>
      <c r="P85" s="129">
        <v>541</v>
      </c>
      <c r="Q85" s="129">
        <v>551</v>
      </c>
      <c r="R85" s="136"/>
      <c r="S85" s="129">
        <v>550.5</v>
      </c>
      <c r="T85" s="129">
        <v>532</v>
      </c>
      <c r="U85" s="129">
        <v>524</v>
      </c>
      <c r="V85" s="129">
        <f>+Q85*(1+V86)</f>
        <v>535.04496279129341</v>
      </c>
      <c r="W85" s="136"/>
      <c r="X85" s="129">
        <f>+S85*(1+X86)</f>
        <v>535.36072829924262</v>
      </c>
      <c r="Y85" s="129">
        <f>+T85*(1+Y86)</f>
        <v>508.68469412087461</v>
      </c>
      <c r="Z85" s="129">
        <f>+U85*(1+Z86)</f>
        <v>498.88644703542758</v>
      </c>
      <c r="AA85" s="129">
        <f>+V85*(1+AA86)</f>
        <v>507.19455509409795</v>
      </c>
      <c r="AB85" s="136"/>
      <c r="AC85" s="129">
        <f>+X85*(1+AC86)</f>
        <v>512.43312875594916</v>
      </c>
      <c r="AD85" s="129">
        <f>+Y85*(1+AD86)</f>
        <v>484.95057229204718</v>
      </c>
      <c r="AE85" s="129">
        <f>+Z85*(1+AE86)</f>
        <v>475.25627067034338</v>
      </c>
      <c r="AF85" s="129">
        <f>+AA85*(1+AF86)</f>
        <v>483.24196514155591</v>
      </c>
      <c r="AG85" s="136"/>
      <c r="AH85" s="129">
        <f>+AC85*(1+AH86)</f>
        <v>487.57041623421992</v>
      </c>
      <c r="AI85" s="129">
        <f>+AD85*(1+AI86)</f>
        <v>460.73114017220445</v>
      </c>
      <c r="AJ85" s="129">
        <f>+AE85*(1+AJ86)</f>
        <v>451.13077836856627</v>
      </c>
      <c r="AK85" s="129">
        <f>+AF85*(1+AK86)</f>
        <v>458.30066685958957</v>
      </c>
      <c r="AL85" s="136"/>
      <c r="AM85" s="129">
        <f>+AH85*(1+AM86)</f>
        <v>461.87099779858289</v>
      </c>
      <c r="AN85" s="129">
        <f>+AI85*(1+AN86)</f>
        <v>435.96375785564118</v>
      </c>
      <c r="AO85" s="129">
        <f>+AJ85*(1+AO86)</f>
        <v>426.44925555565129</v>
      </c>
      <c r="AP85" s="129">
        <f>+AK85*(1+AP86)</f>
        <v>432.77462268377735</v>
      </c>
      <c r="AQ85" s="136"/>
    </row>
    <row r="86" spans="1:43" outlineLevel="2" x14ac:dyDescent="0.25">
      <c r="A86" s="53"/>
      <c r="B86" s="145" t="s">
        <v>204</v>
      </c>
      <c r="C86" s="128"/>
      <c r="D86" s="146">
        <f>+D85/527-1</f>
        <v>2.6565464895635715E-2</v>
      </c>
      <c r="E86" s="146">
        <f>+E85/521.4-1</f>
        <v>1.8411967779056404E-2</v>
      </c>
      <c r="F86" s="146">
        <f>+F85/516-1</f>
        <v>3.6821705426356655E-2</v>
      </c>
      <c r="G86" s="146">
        <f>+G85/547-1</f>
        <v>2.0109689213893889E-2</v>
      </c>
      <c r="H86" s="147"/>
      <c r="I86" s="146">
        <f>+I85/D85-1</f>
        <v>5.3604436229205188E-2</v>
      </c>
      <c r="J86" s="146">
        <f>+J85/E85-1</f>
        <v>4.9717514124293816E-2</v>
      </c>
      <c r="K86" s="146">
        <f>+K85/F85-1</f>
        <v>2.6915887850467168E-2</v>
      </c>
      <c r="L86" s="146">
        <f>+L85/G85-1</f>
        <v>1.2544802867383575E-2</v>
      </c>
      <c r="M86" s="147"/>
      <c r="N86" s="146">
        <f>+N85/I85-1</f>
        <v>-2.2280701754386012E-2</v>
      </c>
      <c r="O86" s="146">
        <f>+O85/J85-1</f>
        <v>-1.8658055256548178E-2</v>
      </c>
      <c r="P86" s="146">
        <f>+P85/K85-1</f>
        <v>-1.5289406625409452E-2</v>
      </c>
      <c r="Q86" s="146">
        <f>+Q85/L85-1</f>
        <v>-2.4778761061946875E-2</v>
      </c>
      <c r="R86" s="147"/>
      <c r="S86" s="146">
        <f>+S85/N85-1</f>
        <v>-1.2201686703750103E-2</v>
      </c>
      <c r="T86" s="146">
        <f>+T85/O85-1</f>
        <v>-2.7422303473491727E-2</v>
      </c>
      <c r="U86" s="146">
        <f>+U85/P85-1</f>
        <v>-3.1423290203327126E-2</v>
      </c>
      <c r="V86" s="142">
        <f>AVERAGE(U86,T86,S86,Q86)-0.5%</f>
        <v>-2.8956510360628959E-2</v>
      </c>
      <c r="W86" s="136"/>
      <c r="X86" s="142">
        <f>AVERAGE(V86,U86,T86,S86)-0.25%</f>
        <v>-2.7500947685299478E-2</v>
      </c>
      <c r="Y86" s="142">
        <f>AVERAGE(X86,V86,U86,T86)-1.5%</f>
        <v>-4.3825762930686823E-2</v>
      </c>
      <c r="Z86" s="142">
        <f>AVERAGE(Y86,X86,V86,U86)-1.5%</f>
        <v>-4.7926627794985598E-2</v>
      </c>
      <c r="AA86" s="142">
        <f>AVERAGE(Z86,Y86,X86,V86)-1.5%</f>
        <v>-5.2052462192900217E-2</v>
      </c>
      <c r="AB86" s="147"/>
      <c r="AC86" s="142">
        <f>AVERAGE(AA86,Z86,Y86,X86)</f>
        <v>-4.2826450150968032E-2</v>
      </c>
      <c r="AD86" s="142">
        <f>AVERAGE(AC86,AA86,Z86,Y86)</f>
        <v>-4.6657825767385169E-2</v>
      </c>
      <c r="AE86" s="142">
        <f>AVERAGE(AD86,AC86,AA86,Z86)</f>
        <v>-4.7365841476559756E-2</v>
      </c>
      <c r="AF86" s="142">
        <f>AVERAGE(AE86,AD86,AC86,AA86)</f>
        <v>-4.7225644896953294E-2</v>
      </c>
      <c r="AG86" s="147"/>
      <c r="AH86" s="177">
        <f>AVERAGE(AF86,AE86,AD86,AC86)-0.25%</f>
        <v>-4.8518940572966567E-2</v>
      </c>
      <c r="AI86" s="177">
        <f>AVERAGE(AH86,AF86,AE86,AD86)-0.25%</f>
        <v>-4.9942063178466202E-2</v>
      </c>
      <c r="AJ86" s="177">
        <f>AVERAGE(AI86,AH86,AF86,AE86)-0.25%</f>
        <v>-5.0763122531236458E-2</v>
      </c>
      <c r="AK86" s="177">
        <f>AVERAGE(AJ86,AI86,AH86,AF86)-0.25%</f>
        <v>-5.1612442794905636E-2</v>
      </c>
      <c r="AL86" s="147"/>
      <c r="AM86" s="177">
        <f>AVERAGE(AK86,AJ86,AI86,AH86)-0.25%</f>
        <v>-5.2709142269393716E-2</v>
      </c>
      <c r="AN86" s="177">
        <f>AVERAGE(AM86,AK86,AJ86,AI86)-0.25%</f>
        <v>-5.3756692693500502E-2</v>
      </c>
      <c r="AO86" s="177">
        <f>AVERAGE(AN86,AM86,AK86,AJ86)-0.25%</f>
        <v>-5.4710350072259085E-2</v>
      </c>
      <c r="AP86" s="177">
        <f>AVERAGE(AO86,AN86,AM86,AK86)-0.25%</f>
        <v>-5.5697156957514732E-2</v>
      </c>
      <c r="AQ86" s="147"/>
    </row>
    <row r="87" spans="1:43" outlineLevel="2" x14ac:dyDescent="0.25">
      <c r="A87" s="53"/>
      <c r="B87" s="127" t="s">
        <v>174</v>
      </c>
      <c r="C87" s="128"/>
      <c r="D87" s="130">
        <v>11.99</v>
      </c>
      <c r="E87" s="130">
        <v>11.87</v>
      </c>
      <c r="F87" s="130">
        <v>12.11</v>
      </c>
      <c r="G87" s="130">
        <v>11.994</v>
      </c>
      <c r="H87" s="136"/>
      <c r="I87" s="130">
        <v>11.96</v>
      </c>
      <c r="J87" s="130">
        <v>12.004</v>
      </c>
      <c r="K87" s="130">
        <v>12.414</v>
      </c>
      <c r="L87" s="130">
        <v>12.6</v>
      </c>
      <c r="M87" s="136"/>
      <c r="N87" s="130">
        <v>12.43</v>
      </c>
      <c r="O87" s="130">
        <v>12.53</v>
      </c>
      <c r="P87" s="130">
        <v>12.97</v>
      </c>
      <c r="Q87" s="130">
        <v>13.15</v>
      </c>
      <c r="R87" s="136"/>
      <c r="S87" s="130">
        <v>13.085000000000001</v>
      </c>
      <c r="T87" s="130">
        <v>13.243</v>
      </c>
      <c r="U87" s="130">
        <v>13.314</v>
      </c>
      <c r="V87" s="130">
        <f>+Q87*(1+V88)</f>
        <v>13.675250656219433</v>
      </c>
      <c r="W87" s="136"/>
      <c r="X87" s="130">
        <f>+S87*(1+X88)</f>
        <v>13.628237791519966</v>
      </c>
      <c r="Y87" s="130">
        <f>+T87*(1+Y88)</f>
        <v>13.590248885905657</v>
      </c>
      <c r="Z87" s="130">
        <f>+U87*(1+Z88)</f>
        <v>13.560985176538757</v>
      </c>
      <c r="AA87" s="130">
        <f>+V87*(1+AA88)</f>
        <v>13.901682686017764</v>
      </c>
      <c r="AB87" s="136"/>
      <c r="AC87" s="130">
        <f>+X87*(1+AC88)</f>
        <v>13.978640129822933</v>
      </c>
      <c r="AD87" s="130">
        <f>+Y87*(1+AD88)</f>
        <v>13.885977434382363</v>
      </c>
      <c r="AE87" s="130">
        <f>+Z87*(1+AE88)</f>
        <v>13.840953157586778</v>
      </c>
      <c r="AF87" s="130">
        <f>+AA87*(1+AF88)</f>
        <v>14.195963044518864</v>
      </c>
      <c r="AG87" s="136"/>
      <c r="AH87" s="130">
        <f>+AC87*(1+AH88)</f>
        <v>14.25571646478946</v>
      </c>
      <c r="AI87" s="130">
        <f>+AD87*(1+AI88)</f>
        <v>14.140769669356867</v>
      </c>
      <c r="AJ87" s="130">
        <f>+AE87*(1+AJ88)</f>
        <v>14.083114779395459</v>
      </c>
      <c r="AK87" s="130">
        <f>+AF87*(1+AK88)</f>
        <v>14.433159856133306</v>
      </c>
      <c r="AL87" s="136"/>
      <c r="AM87" s="130">
        <f>+AH87*(1+AM88)</f>
        <v>14.478016788465384</v>
      </c>
      <c r="AN87" s="130">
        <f>+AI87*(1+AN88)</f>
        <v>14.346332014296726</v>
      </c>
      <c r="AO87" s="130">
        <f>+AJ87*(1+AO88)</f>
        <v>14.274417687989983</v>
      </c>
      <c r="AP87" s="130">
        <f>+AK87*(1+AP88)</f>
        <v>14.615101470514189</v>
      </c>
      <c r="AQ87" s="136"/>
    </row>
    <row r="88" spans="1:43" outlineLevel="2" x14ac:dyDescent="0.25">
      <c r="A88" s="53"/>
      <c r="B88" s="145" t="s">
        <v>203</v>
      </c>
      <c r="C88" s="128"/>
      <c r="D88" s="146">
        <f>+D87/12.32-1</f>
        <v>-2.6785714285714302E-2</v>
      </c>
      <c r="E88" s="146">
        <f>+E87/12.15-1</f>
        <v>-2.3045267489712029E-2</v>
      </c>
      <c r="F88" s="146">
        <f>+F87/12.07-1</f>
        <v>3.314001657000798E-3</v>
      </c>
      <c r="G88" s="146">
        <f>+G87/12.07-1</f>
        <v>-6.2966031483016049E-3</v>
      </c>
      <c r="H88" s="147"/>
      <c r="I88" s="146">
        <f>+I87/D87-1</f>
        <v>-2.5020850708923348E-3</v>
      </c>
      <c r="J88" s="146">
        <f>+J87/E87-1</f>
        <v>1.1288963774220839E-2</v>
      </c>
      <c r="K88" s="146">
        <f>+K87/F87-1</f>
        <v>2.5103220478942978E-2</v>
      </c>
      <c r="L88" s="146">
        <f>+L87/G87-1</f>
        <v>5.0525262631315737E-2</v>
      </c>
      <c r="M88" s="147"/>
      <c r="N88" s="146">
        <f>+N87/I87-1</f>
        <v>3.9297658862876172E-2</v>
      </c>
      <c r="O88" s="146">
        <f>+O87/J87-1</f>
        <v>4.3818727090969567E-2</v>
      </c>
      <c r="P88" s="146">
        <f>+P87/K87-1</f>
        <v>4.4788142419848631E-2</v>
      </c>
      <c r="Q88" s="146">
        <f>+Q87/L87-1</f>
        <v>4.3650793650793718E-2</v>
      </c>
      <c r="R88" s="147"/>
      <c r="S88" s="146">
        <f>+S87/N87-1</f>
        <v>5.2695092518101561E-2</v>
      </c>
      <c r="T88" s="146">
        <f>+T87/O87-1</f>
        <v>5.6903431763767109E-2</v>
      </c>
      <c r="U88" s="146">
        <f>+U87/P87-1</f>
        <v>2.6522744795682396E-2</v>
      </c>
      <c r="V88" s="142">
        <f>AVERAGE(U88,T88,S88,Q88)-0.5%</f>
        <v>3.9943015682086198E-2</v>
      </c>
      <c r="W88" s="136"/>
      <c r="X88" s="142">
        <f>AVERAGE(V88,U88,T88,S88)-0.25%</f>
        <v>4.1516071189909312E-2</v>
      </c>
      <c r="Y88" s="142">
        <f>AVERAGE(X88,V88,U88,T88)-1.5%</f>
        <v>2.6221315857861256E-2</v>
      </c>
      <c r="Z88" s="142">
        <f>AVERAGE(Y88,X88,V88,U88)-1.5%</f>
        <v>1.8550786881384791E-2</v>
      </c>
      <c r="AA88" s="142">
        <f>AVERAGE(Z88,Y88,X88,V88)-1.5%</f>
        <v>1.6557797402810388E-2</v>
      </c>
      <c r="AB88" s="147"/>
      <c r="AC88" s="142">
        <f>AVERAGE(AA88,Z88,Y88,X88)</f>
        <v>2.5711492832991435E-2</v>
      </c>
      <c r="AD88" s="142">
        <f>AVERAGE(AC88,AA88,Z88,Y88)</f>
        <v>2.1760348243761968E-2</v>
      </c>
      <c r="AE88" s="142">
        <f>AVERAGE(AD88,AC88,AA88,Z88)</f>
        <v>2.0645106340237147E-2</v>
      </c>
      <c r="AF88" s="142">
        <f>AVERAGE(AE88,AD88,AC88,AA88)</f>
        <v>2.1168686204950236E-2</v>
      </c>
      <c r="AG88" s="147"/>
      <c r="AH88" s="177">
        <f>AVERAGE(AF88,AE88,AD88,AC88)-0.25%</f>
        <v>1.9821408405485196E-2</v>
      </c>
      <c r="AI88" s="177">
        <f>AVERAGE(AH88,AF88,AE88,AD88)-0.25%</f>
        <v>1.8348887298608636E-2</v>
      </c>
      <c r="AJ88" s="177">
        <f>AVERAGE(AI88,AH88,AF88,AE88)-0.25%</f>
        <v>1.7496022062320305E-2</v>
      </c>
      <c r="AK88" s="177">
        <f>AVERAGE(AJ88,AI88,AH88,AF88)-0.25%</f>
        <v>1.6708750992841092E-2</v>
      </c>
      <c r="AL88" s="147"/>
      <c r="AM88" s="177">
        <f>AVERAGE(AK88,AJ88,AI88,AH88)-0.25%</f>
        <v>1.5593767189813807E-2</v>
      </c>
      <c r="AN88" s="177">
        <f>AVERAGE(AM88,AK88,AJ88,AI88)-0.25%</f>
        <v>1.453685688589596E-2</v>
      </c>
      <c r="AO88" s="177">
        <f>AVERAGE(AN88,AM88,AK88,AJ88)-0.25%</f>
        <v>1.358384928271779E-2</v>
      </c>
      <c r="AP88" s="177">
        <f>AVERAGE(AO88,AN88,AM88,AK88)-0.25%</f>
        <v>1.2605806087817162E-2</v>
      </c>
      <c r="AQ88" s="147"/>
    </row>
    <row r="89" spans="1:43" outlineLevel="2" x14ac:dyDescent="0.25">
      <c r="A89" s="53"/>
      <c r="B89" s="132" t="s">
        <v>170</v>
      </c>
      <c r="C89" s="131"/>
      <c r="D89" s="148">
        <f>+D85*D87*D61/1000</f>
        <v>421.62835000000001</v>
      </c>
      <c r="E89" s="148">
        <f>+E85*E87*E61/1000</f>
        <v>397.08711</v>
      </c>
      <c r="F89" s="148">
        <f>+F85*F87*F61/1000</f>
        <v>408.16755000000001</v>
      </c>
      <c r="G89" s="148">
        <f>+G85*G87*G61/1000</f>
        <v>435.02238</v>
      </c>
      <c r="H89" s="137"/>
      <c r="I89" s="148">
        <f>+I85*I87*I61/1000</f>
        <v>443.11800000000005</v>
      </c>
      <c r="J89" s="148">
        <f>+J85*J87*J61/1000</f>
        <v>421.53486479999998</v>
      </c>
      <c r="K89" s="148">
        <f>+K85*K87*K61/1000</f>
        <v>422.85559919999997</v>
      </c>
      <c r="L89" s="148">
        <f>+L85*L87*L61/1000</f>
        <v>462.73500000000001</v>
      </c>
      <c r="M89" s="137"/>
      <c r="N89" s="148">
        <f>+N85*N87*N61/1000</f>
        <v>450.270535</v>
      </c>
      <c r="O89" s="148">
        <f>+O85*O87*O61/1000</f>
        <v>431.79633000000001</v>
      </c>
      <c r="P89" s="148">
        <f>+P85*P87*P61/1000</f>
        <v>435.03974000000005</v>
      </c>
      <c r="Q89" s="148">
        <f>+Q85*Q87*Q61/1000</f>
        <v>470.96725000000004</v>
      </c>
      <c r="R89" s="137"/>
      <c r="S89" s="148">
        <f>+S85*S87*S61/1000</f>
        <v>468.21401250000002</v>
      </c>
      <c r="T89" s="148">
        <f>+T85*T87*T61/1000</f>
        <v>443.85238799999996</v>
      </c>
      <c r="U89" s="148">
        <f>+U85*U87*U61/1000</f>
        <v>432.545232</v>
      </c>
      <c r="V89" s="148">
        <f>+V85*V87*V61/1000</f>
        <v>475.59680860370491</v>
      </c>
      <c r="W89" s="137"/>
      <c r="X89" s="148">
        <f>+X85*X87*X61/1000</f>
        <v>474.24151511772038</v>
      </c>
      <c r="Y89" s="148">
        <f>+Y85*Y87*Y61/1000</f>
        <v>435.52855064586902</v>
      </c>
      <c r="Z89" s="148">
        <f>+Z85*Z87*Z61/1000</f>
        <v>419.45428620745827</v>
      </c>
      <c r="AA89" s="148">
        <f>+AA85*AA87*AA61/1000</f>
        <v>458.30575472461675</v>
      </c>
      <c r="AB89" s="137"/>
      <c r="AC89" s="148">
        <f>+AC85*AC87*AC61/1000</f>
        <v>465.60268933611121</v>
      </c>
      <c r="AD89" s="148">
        <f>+AD85*AD87*AD61/1000</f>
        <v>424.24280032920535</v>
      </c>
      <c r="AE89" s="148">
        <f>+AE85*AE87*AE61/1000</f>
        <v>407.83598637225157</v>
      </c>
      <c r="AF89" s="148">
        <f>+AF85*AF87*AF61/1000</f>
        <v>445.90553011616305</v>
      </c>
      <c r="AG89" s="137"/>
      <c r="AH89" s="148">
        <f>+AH85*AH87*AH61/1000</f>
        <v>451.79326467953723</v>
      </c>
      <c r="AI89" s="148">
        <f>+AI85*AI87*AI61/1000</f>
        <v>410.45085475854489</v>
      </c>
      <c r="AJ89" s="148">
        <f>+AJ85*AJ87*AJ61/1000</f>
        <v>393.90624500151699</v>
      </c>
      <c r="AK89" s="148">
        <f>+AK85*AK87*AK61/1000</f>
        <v>429.9572411522019</v>
      </c>
      <c r="AL89" s="137"/>
      <c r="AM89" s="148">
        <f>+AM85*AM87*AM61/1000</f>
        <v>434.65344391515418</v>
      </c>
      <c r="AN89" s="148">
        <f>+AN85*AN87*AN61/1000</f>
        <v>394.03229143304191</v>
      </c>
      <c r="AO89" s="148">
        <f>+AO85*AO87*AO61/1000</f>
        <v>377.41351738509246</v>
      </c>
      <c r="AP89" s="148">
        <f>+AP85*AP87*AP61/1000</f>
        <v>411.12792658514832</v>
      </c>
      <c r="AQ89" s="137"/>
    </row>
    <row r="90" spans="1:43" ht="17.25" outlineLevel="1" x14ac:dyDescent="0.4">
      <c r="A90" s="53"/>
      <c r="B90" s="729" t="s">
        <v>171</v>
      </c>
      <c r="C90" s="730"/>
      <c r="D90" s="46"/>
      <c r="E90" s="46"/>
      <c r="F90" s="46"/>
      <c r="G90" s="46"/>
      <c r="H90" s="54"/>
      <c r="I90" s="46"/>
      <c r="J90" s="46"/>
      <c r="K90" s="46"/>
      <c r="L90" s="46"/>
      <c r="M90" s="54"/>
      <c r="N90" s="46"/>
      <c r="O90" s="46"/>
      <c r="P90" s="46"/>
      <c r="Q90" s="46"/>
      <c r="R90" s="50"/>
      <c r="S90" s="47"/>
      <c r="T90" s="47"/>
      <c r="U90" s="47"/>
      <c r="V90" s="47"/>
      <c r="W90" s="50"/>
      <c r="X90" s="47"/>
      <c r="Y90" s="47"/>
      <c r="Z90" s="47"/>
      <c r="AA90" s="47"/>
      <c r="AB90" s="50"/>
      <c r="AC90" s="47"/>
      <c r="AD90" s="47"/>
      <c r="AE90" s="47"/>
      <c r="AF90" s="47"/>
      <c r="AG90" s="50"/>
      <c r="AH90" s="47"/>
      <c r="AI90" s="47"/>
      <c r="AJ90" s="47"/>
      <c r="AK90" s="47"/>
      <c r="AL90" s="50"/>
      <c r="AM90" s="47"/>
      <c r="AN90" s="47"/>
      <c r="AO90" s="47"/>
      <c r="AP90" s="47"/>
      <c r="AQ90" s="50"/>
    </row>
    <row r="91" spans="1:43" outlineLevel="2" x14ac:dyDescent="0.25">
      <c r="A91" s="53"/>
      <c r="B91" s="123" t="s">
        <v>366</v>
      </c>
      <c r="C91" s="285"/>
      <c r="D91" s="262">
        <v>865</v>
      </c>
      <c r="E91" s="262">
        <v>900.4</v>
      </c>
      <c r="F91" s="262">
        <v>1015</v>
      </c>
      <c r="G91" s="262">
        <v>825.2</v>
      </c>
      <c r="H91" s="54"/>
      <c r="I91" s="262">
        <v>824</v>
      </c>
      <c r="J91" s="262">
        <v>865.5</v>
      </c>
      <c r="K91" s="262">
        <v>1025.4000000000001</v>
      </c>
      <c r="L91" s="262">
        <v>890.4</v>
      </c>
      <c r="M91" s="54"/>
      <c r="N91" s="262">
        <v>876</v>
      </c>
      <c r="O91" s="262">
        <v>939</v>
      </c>
      <c r="P91" s="262">
        <v>1026</v>
      </c>
      <c r="Q91" s="262">
        <v>878</v>
      </c>
      <c r="R91" s="50"/>
      <c r="S91" s="262">
        <v>916</v>
      </c>
      <c r="T91" s="124">
        <v>1082.3</v>
      </c>
      <c r="U91" s="124">
        <v>1223.5</v>
      </c>
      <c r="V91" s="124">
        <f>+Q91*(1+V92)</f>
        <v>956.32639330052359</v>
      </c>
      <c r="W91" s="50"/>
      <c r="X91" s="124">
        <f>+S91*(1+X92)</f>
        <v>1023.6245958267971</v>
      </c>
      <c r="Y91" s="124">
        <f>+T91*(1+Y92)</f>
        <v>1215.3710580414149</v>
      </c>
      <c r="Z91" s="124">
        <f>+U91*(1+Z92)</f>
        <v>1364.8605418251705</v>
      </c>
      <c r="AA91" s="124">
        <f>+V91*(1+AA92)</f>
        <v>1048.4192027186004</v>
      </c>
      <c r="AB91" s="50"/>
      <c r="AC91" s="124">
        <f>+X91*(1+AC92)</f>
        <v>1139.3664811327574</v>
      </c>
      <c r="AD91" s="124">
        <f>+Y91*(1+AD92)</f>
        <v>1351.4498007708178</v>
      </c>
      <c r="AE91" s="124">
        <f>+Z91*(1+AE92)</f>
        <v>1513.9277975699551</v>
      </c>
      <c r="AF91" s="124">
        <f>+AA91*(1+AF92)</f>
        <v>1161.2689123461357</v>
      </c>
      <c r="AG91" s="50"/>
      <c r="AH91" s="124">
        <f>+AC91*(1+AH92)</f>
        <v>1262.3871025329606</v>
      </c>
      <c r="AI91" s="124">
        <f>+AD91*(1+AI92)</f>
        <v>1495.6472998029881</v>
      </c>
      <c r="AJ91" s="124">
        <f>+AE91*(1+AJ92)</f>
        <v>1673.4681994013831</v>
      </c>
      <c r="AK91" s="124">
        <f>+AF91*(1+AK92)</f>
        <v>1282.531790175015</v>
      </c>
      <c r="AL91" s="50"/>
      <c r="AM91" s="124">
        <f>+AH91*(1+AM92)</f>
        <v>1393.1943027573082</v>
      </c>
      <c r="AN91" s="124">
        <f>+AI91*(1+AN92)</f>
        <v>1648.996697751676</v>
      </c>
      <c r="AO91" s="124">
        <f>+AJ91*(1+AO92)</f>
        <v>1843.30593418033</v>
      </c>
      <c r="AP91" s="124">
        <f>+AK91*(1+AP92)</f>
        <v>1411.4456640367325</v>
      </c>
      <c r="AQ91" s="50"/>
    </row>
    <row r="92" spans="1:43" outlineLevel="2" x14ac:dyDescent="0.25">
      <c r="A92" s="53"/>
      <c r="B92" s="141" t="s">
        <v>204</v>
      </c>
      <c r="C92" s="285"/>
      <c r="D92" s="166">
        <f>+D91/846.4-1</f>
        <v>2.197542533081287E-2</v>
      </c>
      <c r="E92" s="166">
        <f>+E91/915-1</f>
        <v>-1.595628415300554E-2</v>
      </c>
      <c r="F92" s="166">
        <f>+F91/1024-1</f>
        <v>-8.7890625E-3</v>
      </c>
      <c r="G92" s="166">
        <f>+G91/881-1</f>
        <v>-6.3337116912599245E-2</v>
      </c>
      <c r="H92" s="84"/>
      <c r="I92" s="166">
        <f>+I91/D91-1</f>
        <v>-4.739884393063587E-2</v>
      </c>
      <c r="J92" s="166">
        <f>+J91/E91-1</f>
        <v>-3.8760550866281607E-2</v>
      </c>
      <c r="K92" s="166">
        <f>+K91/F91-1</f>
        <v>1.0246305418719404E-2</v>
      </c>
      <c r="L92" s="166">
        <f>+L91/G91-1</f>
        <v>7.9011148812409004E-2</v>
      </c>
      <c r="M92" s="84"/>
      <c r="N92" s="166">
        <f>+N91/I91-1</f>
        <v>6.3106796116504826E-2</v>
      </c>
      <c r="O92" s="166">
        <f>+O91/J91-1</f>
        <v>8.4922010398613468E-2</v>
      </c>
      <c r="P92" s="166">
        <f>+P91/K91-1</f>
        <v>5.8513750731403746E-4</v>
      </c>
      <c r="Q92" s="166">
        <f>+Q91/L91-1</f>
        <v>-1.3926325247079929E-2</v>
      </c>
      <c r="R92" s="57"/>
      <c r="S92" s="166">
        <f>+S91/N91-1</f>
        <v>4.5662100456621113E-2</v>
      </c>
      <c r="T92" s="166">
        <f>+T91/O91-1</f>
        <v>0.15260915867944624</v>
      </c>
      <c r="U92" s="166">
        <f>+U91/P91-1</f>
        <v>0.19249512670565294</v>
      </c>
      <c r="V92" s="142">
        <f>AVERAGE(U92,T92,S92,Q92)-0.5%</f>
        <v>8.9210015148660088E-2</v>
      </c>
      <c r="W92" s="57"/>
      <c r="X92" s="142">
        <f>AVERAGE(V92,U92,T92,S92)-0.25%</f>
        <v>0.1174941002475951</v>
      </c>
      <c r="Y92" s="142">
        <f>AVERAGE(X92,V92,U92,T92)-1.5%</f>
        <v>0.1229521001953386</v>
      </c>
      <c r="Z92" s="142">
        <f>AVERAGE(Y92,X92,V92,U92)-1.5%</f>
        <v>0.11553783557431167</v>
      </c>
      <c r="AA92" s="142">
        <f>AVERAGE(Z92,Y92,X92,V92)-1.5%</f>
        <v>9.6298512791476373E-2</v>
      </c>
      <c r="AB92" s="57"/>
      <c r="AC92" s="142">
        <f>AVERAGE(AA92,Z92,Y92,X92)</f>
        <v>0.11307063720218044</v>
      </c>
      <c r="AD92" s="142">
        <f>AVERAGE(AC92,AA92,Z92,Y92)</f>
        <v>0.11196477144082677</v>
      </c>
      <c r="AE92" s="142">
        <f>AVERAGE(AD92,AC92,AA92,Z92)</f>
        <v>0.10921793925219882</v>
      </c>
      <c r="AF92" s="142">
        <f>AVERAGE(AE92,AD92,AC92,AA92)</f>
        <v>0.1076379651716706</v>
      </c>
      <c r="AG92" s="57"/>
      <c r="AH92" s="177">
        <f>AVERAGE(AF92,AE92,AD92,AC92)-0.25%</f>
        <v>0.10797282826671917</v>
      </c>
      <c r="AI92" s="177">
        <f>AVERAGE(AH92,AF92,AE92,AD92)-0.25%</f>
        <v>0.10669837603285384</v>
      </c>
      <c r="AJ92" s="177">
        <f>AVERAGE(AI92,AH92,AF92,AE92)-0.25%</f>
        <v>0.1053817771808606</v>
      </c>
      <c r="AK92" s="177">
        <f>AVERAGE(AJ92,AI92,AH92,AF92)-0.25%</f>
        <v>0.10442273666302604</v>
      </c>
      <c r="AL92" s="57"/>
      <c r="AM92" s="177">
        <f>AVERAGE(AK92,AJ92,AI92,AH92)-0.25%</f>
        <v>0.10361892953586491</v>
      </c>
      <c r="AN92" s="177">
        <f>AVERAGE(AM92,AK92,AJ92,AI92)-0.25%</f>
        <v>0.10253045485315135</v>
      </c>
      <c r="AO92" s="177">
        <f>AVERAGE(AN92,AM92,AK92,AJ92)-0.25%</f>
        <v>0.10148847455822572</v>
      </c>
      <c r="AP92" s="177">
        <f>AVERAGE(AO92,AN92,AM92,AK92)-0.25%</f>
        <v>0.10051514890256699</v>
      </c>
      <c r="AQ92" s="57"/>
    </row>
    <row r="93" spans="1:43" outlineLevel="2" x14ac:dyDescent="0.25">
      <c r="A93" s="53"/>
      <c r="B93" s="123" t="s">
        <v>175</v>
      </c>
      <c r="C93" s="285"/>
      <c r="D93" s="143">
        <v>14.52</v>
      </c>
      <c r="E93" s="143">
        <v>14.554</v>
      </c>
      <c r="F93" s="143">
        <v>14.48</v>
      </c>
      <c r="G93" s="143">
        <v>15.124999989999999</v>
      </c>
      <c r="H93" s="54"/>
      <c r="I93" s="143">
        <v>15.12</v>
      </c>
      <c r="J93" s="143">
        <v>15.3</v>
      </c>
      <c r="K93" s="143">
        <v>15</v>
      </c>
      <c r="L93" s="143">
        <v>16.042999999999999</v>
      </c>
      <c r="M93" s="54"/>
      <c r="N93" s="143">
        <v>15.42</v>
      </c>
      <c r="O93" s="143">
        <v>15.58</v>
      </c>
      <c r="P93" s="143">
        <v>15.66</v>
      </c>
      <c r="Q93" s="143">
        <v>16.52</v>
      </c>
      <c r="R93" s="50"/>
      <c r="S93" s="143">
        <v>15.984</v>
      </c>
      <c r="T93" s="143">
        <v>15.5443</v>
      </c>
      <c r="U93" s="143">
        <v>14.755000000000001</v>
      </c>
      <c r="V93" s="143">
        <f>+Q93*(1+V94)</f>
        <v>16.463115530661543</v>
      </c>
      <c r="W93" s="50"/>
      <c r="X93" s="143">
        <f>+S93*(1+X94)</f>
        <v>15.836350026859167</v>
      </c>
      <c r="Y93" s="143">
        <f>+T93*(1+Y94)</f>
        <v>15.028374272608053</v>
      </c>
      <c r="Z93" s="143">
        <f>+U93*(1+Z94)</f>
        <v>14.151291984185441</v>
      </c>
      <c r="AA93" s="143">
        <f>+V93*(1+AA94)</f>
        <v>15.858973158555406</v>
      </c>
      <c r="AB93" s="50"/>
      <c r="AC93" s="143">
        <f>+X93*(1+AC94)</f>
        <v>15.36110021377441</v>
      </c>
      <c r="AD93" s="143">
        <f>+Y93*(1+AD94)</f>
        <v>14.499326885647186</v>
      </c>
      <c r="AE93" s="143">
        <f>+Z93*(1+AE94)</f>
        <v>13.646000632172196</v>
      </c>
      <c r="AF93" s="143">
        <f>+AA93*(1+AF94)</f>
        <v>15.313359489886892</v>
      </c>
      <c r="AG93" s="50"/>
      <c r="AH93" s="143">
        <f>+AC93*(1+AH94)</f>
        <v>14.803016970085665</v>
      </c>
      <c r="AI93" s="143">
        <f>+AD93*(1+AI94)</f>
        <v>13.949640544360387</v>
      </c>
      <c r="AJ93" s="143">
        <f>+AE93*(1+AJ94)</f>
        <v>13.119426784460519</v>
      </c>
      <c r="AK93" s="143">
        <f>+AF93*(1+AK94)</f>
        <v>14.711412966866559</v>
      </c>
      <c r="AL93" s="50"/>
      <c r="AM93" s="143">
        <f>+AH93*(1+AM94)</f>
        <v>14.202980982540099</v>
      </c>
      <c r="AN93" s="143">
        <f>+AI93*(1+AN94)</f>
        <v>13.36953566246487</v>
      </c>
      <c r="AO93" s="143">
        <f>+AJ93*(1+AO94)</f>
        <v>12.561795087577313</v>
      </c>
      <c r="AP93" s="143">
        <f>+AK93*(1+AP94)</f>
        <v>14.071712110018851</v>
      </c>
      <c r="AQ93" s="50"/>
    </row>
    <row r="94" spans="1:43" outlineLevel="2" x14ac:dyDescent="0.25">
      <c r="A94" s="53"/>
      <c r="B94" s="141" t="s">
        <v>203</v>
      </c>
      <c r="C94" s="285"/>
      <c r="D94" s="166">
        <f>+D93/14.68-1</f>
        <v>-1.0899182561307952E-2</v>
      </c>
      <c r="E94" s="166">
        <f>+E93/14.48-1</f>
        <v>5.1104972375690672E-3</v>
      </c>
      <c r="F94" s="166">
        <f>+F93/13.88-1</f>
        <v>4.3227665706051743E-2</v>
      </c>
      <c r="G94" s="166">
        <f>+G93/14.5-1</f>
        <v>4.3103447586206878E-2</v>
      </c>
      <c r="H94" s="84"/>
      <c r="I94" s="166">
        <f>+I93/D93-1</f>
        <v>4.1322314049586861E-2</v>
      </c>
      <c r="J94" s="166">
        <f>+J93/E93-1</f>
        <v>5.1257386285557205E-2</v>
      </c>
      <c r="K94" s="166">
        <f>+K93/F93-1</f>
        <v>3.5911602209944826E-2</v>
      </c>
      <c r="L94" s="166">
        <f>+L93/G93-1</f>
        <v>6.0694215577318467E-2</v>
      </c>
      <c r="M94" s="84"/>
      <c r="N94" s="166">
        <f>+N93/I93-1</f>
        <v>1.9841269841269993E-2</v>
      </c>
      <c r="O94" s="166">
        <f>+O93/J93-1</f>
        <v>1.8300653594771177E-2</v>
      </c>
      <c r="P94" s="166">
        <f>+P93/K93-1</f>
        <v>4.4000000000000039E-2</v>
      </c>
      <c r="Q94" s="166">
        <f>+Q93/L93-1</f>
        <v>2.9732593654553385E-2</v>
      </c>
      <c r="R94" s="57"/>
      <c r="S94" s="166">
        <f>+S93/N93-1</f>
        <v>3.6575875486381415E-2</v>
      </c>
      <c r="T94" s="166">
        <f>+T93/O93-1</f>
        <v>-2.291399229781832E-3</v>
      </c>
      <c r="U94" s="166">
        <f>+U93/P93-1</f>
        <v>-5.7790549169859484E-2</v>
      </c>
      <c r="V94" s="142">
        <f>AVERAGE(U94,T94,S94,Q94)-0.5%</f>
        <v>-3.4433698146766291E-3</v>
      </c>
      <c r="W94" s="57"/>
      <c r="X94" s="142">
        <f>AVERAGE(V94,U94,T94,S94)-0.25%</f>
        <v>-9.2373606819841341E-3</v>
      </c>
      <c r="Y94" s="142">
        <f>AVERAGE(X94,V94,U94,T94)-1.5%</f>
        <v>-3.3190669724075521E-2</v>
      </c>
      <c r="Z94" s="142">
        <f>AVERAGE(Y94,X94,V94,U94)-1.5%</f>
        <v>-4.0915487347648938E-2</v>
      </c>
      <c r="AA94" s="142">
        <f>AVERAGE(Z94,Y94,X94,V94)-1.5%</f>
        <v>-3.6696721892096308E-2</v>
      </c>
      <c r="AB94" s="57"/>
      <c r="AC94" s="142">
        <f>AVERAGE(AA94,Z94,Y94,X94)</f>
        <v>-3.0010059911451226E-2</v>
      </c>
      <c r="AD94" s="142">
        <f>AVERAGE(AC94,AA94,Z94,Y94)</f>
        <v>-3.5203234718817998E-2</v>
      </c>
      <c r="AE94" s="142">
        <f>AVERAGE(AD94,AC94,AA94,Z94)</f>
        <v>-3.5706375967503617E-2</v>
      </c>
      <c r="AF94" s="142">
        <f>AVERAGE(AE94,AD94,AC94,AA94)</f>
        <v>-3.4404098122467287E-2</v>
      </c>
      <c r="AG94" s="57"/>
      <c r="AH94" s="177">
        <f>AVERAGE(AF94,AE94,AD94,AC94)-0.25%</f>
        <v>-3.6330942180060034E-2</v>
      </c>
      <c r="AI94" s="177">
        <f>AVERAGE(AH94,AF94,AE94,AD94)-0.25%</f>
        <v>-3.7911162747212235E-2</v>
      </c>
      <c r="AJ94" s="177">
        <f>AVERAGE(AI94,AH94,AF94,AE94)-0.25%</f>
        <v>-3.8588144754310792E-2</v>
      </c>
      <c r="AK94" s="177">
        <f>AVERAGE(AJ94,AI94,AH94,AF94)-0.25%</f>
        <v>-3.9308586951012588E-2</v>
      </c>
      <c r="AL94" s="57"/>
      <c r="AM94" s="177">
        <f>AVERAGE(AK94,AJ94,AI94,AH94)-0.25%</f>
        <v>-4.0534709158148913E-2</v>
      </c>
      <c r="AN94" s="177">
        <f>AVERAGE(AM94,AK94,AJ94,AI94)-0.25%</f>
        <v>-4.1585650902671134E-2</v>
      </c>
      <c r="AO94" s="177">
        <f>AVERAGE(AN94,AM94,AK94,AJ94)-0.25%</f>
        <v>-4.2504272941535859E-2</v>
      </c>
      <c r="AP94" s="177">
        <f>AVERAGE(AO94,AN94,AM94,AK94)-0.25%</f>
        <v>-4.3483304988342124E-2</v>
      </c>
      <c r="AQ94" s="57"/>
    </row>
    <row r="95" spans="1:43" outlineLevel="2" x14ac:dyDescent="0.25">
      <c r="A95" s="53"/>
      <c r="B95" s="119" t="s">
        <v>172</v>
      </c>
      <c r="C95" s="120"/>
      <c r="D95" s="144">
        <f>+D91*D93*D61/1000</f>
        <v>816.38699999999994</v>
      </c>
      <c r="E95" s="144">
        <f>+E91*E93*E61/1000</f>
        <v>825.57856079999999</v>
      </c>
      <c r="F95" s="144">
        <f>+F91*F93*F61/1000</f>
        <v>925.92360000000008</v>
      </c>
      <c r="G95" s="144">
        <f>+G91*G93*G61/1000</f>
        <v>811.27474946361997</v>
      </c>
      <c r="H95" s="56"/>
      <c r="I95" s="144">
        <f>+I91*I93*I61/1000</f>
        <v>809.82719999999995</v>
      </c>
      <c r="J95" s="144">
        <f>+J91*J93*J61/1000</f>
        <v>834.25545000000011</v>
      </c>
      <c r="K95" s="144">
        <f>+K91*K93*K61/1000</f>
        <v>953.62200000000007</v>
      </c>
      <c r="L95" s="144">
        <f>+L91*L93*L61/1000</f>
        <v>928.50466799999992</v>
      </c>
      <c r="M95" s="56"/>
      <c r="N95" s="144">
        <f>+N91*N93*N61/1000</f>
        <v>878.01480000000004</v>
      </c>
      <c r="O95" s="144">
        <f>+O91*O93*O61/1000</f>
        <v>921.66606000000002</v>
      </c>
      <c r="P95" s="144">
        <f>+P91*P93*P61/1000</f>
        <v>996.16392000000008</v>
      </c>
      <c r="Q95" s="144">
        <f>+Q91*Q93*Q61/1000</f>
        <v>942.79640000000006</v>
      </c>
      <c r="R95" s="56"/>
      <c r="S95" s="144">
        <f>+S91*S93*S61/1000</f>
        <v>951.68736000000001</v>
      </c>
      <c r="T95" s="144">
        <f>+T91*T93*T61/1000</f>
        <v>1059.88654107</v>
      </c>
      <c r="U95" s="144">
        <f>+U91*U93*U61/1000</f>
        <v>1119.270035</v>
      </c>
      <c r="V95" s="144">
        <f>+V91*V93*V61/1000</f>
        <v>1023.3672733652802</v>
      </c>
      <c r="W95" s="51"/>
      <c r="X95" s="144">
        <f>+X91*X93*X61/1000</f>
        <v>1053.681030715001</v>
      </c>
      <c r="Y95" s="144">
        <f>+Y91*Y93*Y61/1000</f>
        <v>1150.6982218415476</v>
      </c>
      <c r="Z95" s="144">
        <f>+Z91*Z93*Z61/1000</f>
        <v>1197.5014827938153</v>
      </c>
      <c r="AA95" s="144">
        <f>+AA91*AA93*AA61/1000</f>
        <v>1080.7453796638422</v>
      </c>
      <c r="AB95" s="51"/>
      <c r="AC95" s="144">
        <f>+AC91*AC93*AC61/1000</f>
        <v>1137.6249752982269</v>
      </c>
      <c r="AD95" s="144">
        <f>+AD91*AD93*AD61/1000</f>
        <v>1234.4920831478876</v>
      </c>
      <c r="AE95" s="144">
        <f>+AE91*AE93*AE61/1000</f>
        <v>1280.8617003275654</v>
      </c>
      <c r="AF95" s="144">
        <f>+AF91*AF93*AF61/1000</f>
        <v>1155.8903407471114</v>
      </c>
      <c r="AG95" s="51"/>
      <c r="AH95" s="144">
        <f>+AH91*AH93*AH61/1000</f>
        <v>1214.6639506048248</v>
      </c>
      <c r="AI95" s="144">
        <f>+AI91*AI93*AI61/1000</f>
        <v>1314.4157594438784</v>
      </c>
      <c r="AJ95" s="144">
        <f>+AJ91*AJ93*AJ61/1000</f>
        <v>1361.2064981265039</v>
      </c>
      <c r="AK95" s="144">
        <f>+AK91*AK93*AK61/1000</f>
        <v>1226.4105625459542</v>
      </c>
      <c r="AL95" s="51"/>
      <c r="AM95" s="144">
        <f>+AM91*AM93*AM61/1000</f>
        <v>1286.188292157942</v>
      </c>
      <c r="AN95" s="144">
        <f>+AN91*AN93*AN61/1000</f>
        <v>1388.9181699463036</v>
      </c>
      <c r="AO95" s="144">
        <f>+AO91*AO93*AO61/1000</f>
        <v>1435.6243485910918</v>
      </c>
      <c r="AP95" s="144">
        <f>+AP91*AP93*AP61/1000</f>
        <v>1290.9947078118539</v>
      </c>
      <c r="AQ95" s="51"/>
    </row>
    <row r="96" spans="1:43" ht="17.25" outlineLevel="1" x14ac:dyDescent="0.4">
      <c r="A96" s="53"/>
      <c r="B96" s="735" t="s">
        <v>176</v>
      </c>
      <c r="C96" s="736"/>
      <c r="D96" s="126"/>
      <c r="E96" s="126"/>
      <c r="F96" s="126"/>
      <c r="G96" s="126"/>
      <c r="H96" s="136"/>
      <c r="I96" s="126"/>
      <c r="J96" s="126"/>
      <c r="K96" s="126"/>
      <c r="L96" s="126"/>
      <c r="M96" s="136"/>
      <c r="N96" s="126"/>
      <c r="O96" s="126"/>
      <c r="P96" s="126"/>
      <c r="Q96" s="126"/>
      <c r="R96" s="136"/>
      <c r="S96" s="126"/>
      <c r="T96" s="126"/>
      <c r="U96" s="126"/>
      <c r="V96" s="126"/>
      <c r="W96" s="136"/>
      <c r="X96" s="126"/>
      <c r="Y96" s="126"/>
      <c r="Z96" s="126"/>
      <c r="AA96" s="126"/>
      <c r="AB96" s="136"/>
      <c r="AC96" s="126"/>
      <c r="AD96" s="126"/>
      <c r="AE96" s="126"/>
      <c r="AF96" s="126"/>
      <c r="AG96" s="136"/>
      <c r="AH96" s="126"/>
      <c r="AI96" s="126"/>
      <c r="AJ96" s="126"/>
      <c r="AK96" s="126"/>
      <c r="AL96" s="136"/>
      <c r="AM96" s="126"/>
      <c r="AN96" s="126"/>
      <c r="AO96" s="126"/>
      <c r="AP96" s="126"/>
      <c r="AQ96" s="136"/>
    </row>
    <row r="97" spans="1:43" outlineLevel="2" x14ac:dyDescent="0.25">
      <c r="A97" s="53"/>
      <c r="B97" s="127" t="s">
        <v>367</v>
      </c>
      <c r="C97" s="128"/>
      <c r="D97" s="129">
        <v>389.4</v>
      </c>
      <c r="E97" s="129">
        <v>402.4</v>
      </c>
      <c r="F97" s="129">
        <v>386</v>
      </c>
      <c r="G97" s="129">
        <v>398.60399999999998</v>
      </c>
      <c r="H97" s="136"/>
      <c r="I97" s="129">
        <v>500</v>
      </c>
      <c r="J97" s="129">
        <v>533.59990000000005</v>
      </c>
      <c r="K97" s="129">
        <v>534.70000000000005</v>
      </c>
      <c r="L97" s="129">
        <v>540.29999999999995</v>
      </c>
      <c r="M97" s="136"/>
      <c r="N97" s="129">
        <v>503.7</v>
      </c>
      <c r="O97" s="129">
        <v>543</v>
      </c>
      <c r="P97" s="129">
        <v>529.20000000000005</v>
      </c>
      <c r="Q97" s="129">
        <v>534</v>
      </c>
      <c r="R97" s="418"/>
      <c r="S97" s="129">
        <v>518.4</v>
      </c>
      <c r="T97" s="129">
        <v>554.79999999999995</v>
      </c>
      <c r="U97" s="129">
        <v>529.5</v>
      </c>
      <c r="V97" s="129">
        <f>+Q97*(1+V98)</f>
        <v>507.27621913056265</v>
      </c>
      <c r="W97" s="136"/>
      <c r="X97" s="129">
        <f>+S97*(1+X98)</f>
        <v>492.66630278214643</v>
      </c>
      <c r="Y97" s="129">
        <f>+T97*(1+Y98)</f>
        <v>546.93619681181633</v>
      </c>
      <c r="Z97" s="129">
        <f>+U97*(1+Z98)</f>
        <v>523.47457425196126</v>
      </c>
      <c r="AA97" s="129">
        <f>+V97*(1+AA98)</f>
        <v>499.98866242716787</v>
      </c>
      <c r="AB97" s="136"/>
      <c r="AC97" s="129">
        <f>+X97*(1+AC98)</f>
        <v>471.78214647148531</v>
      </c>
      <c r="AD97" s="129">
        <f>+Y97*(1+AD98)</f>
        <v>524.74293397115446</v>
      </c>
      <c r="AE97" s="129">
        <f>+Z97*(1+AE98)</f>
        <v>498.77795919754521</v>
      </c>
      <c r="AF97" s="129">
        <f>+AA97*(1+AF98)</f>
        <v>475.69807312368192</v>
      </c>
      <c r="AG97" s="136"/>
      <c r="AH97" s="129">
        <f>+AC97*(1+AH98)</f>
        <v>449.52251868618288</v>
      </c>
      <c r="AI97" s="129">
        <f>+AD97*(1+AI98)</f>
        <v>499.35587573013294</v>
      </c>
      <c r="AJ97" s="129">
        <f>+AE97*(1+AJ98)</f>
        <v>473.67414932641628</v>
      </c>
      <c r="AK97" s="129">
        <f>+AF97*(1+AK98)</f>
        <v>451.38099316656604</v>
      </c>
      <c r="AL97" s="136"/>
      <c r="AM97" s="129">
        <f>+AH97*(1+AM98)</f>
        <v>426.25845225974751</v>
      </c>
      <c r="AN97" s="129">
        <f>+AI97*(1+AN98)</f>
        <v>472.94217348948843</v>
      </c>
      <c r="AO97" s="129">
        <f>+AJ97*(1+AO98)</f>
        <v>448.08417046542485</v>
      </c>
      <c r="AP97" s="129">
        <f>+AK97*(1+AP98)</f>
        <v>426.5785612362078</v>
      </c>
      <c r="AQ97" s="136"/>
    </row>
    <row r="98" spans="1:43" outlineLevel="2" x14ac:dyDescent="0.25">
      <c r="A98" s="53"/>
      <c r="B98" s="145" t="s">
        <v>204</v>
      </c>
      <c r="C98" s="128"/>
      <c r="D98" s="146">
        <f>+D97/409.44-1</f>
        <v>-4.894490035169996E-2</v>
      </c>
      <c r="E98" s="146">
        <f>+E97/424.4-1</f>
        <v>-5.1837888784165842E-2</v>
      </c>
      <c r="F98" s="146">
        <f>+F97/397.7-1</f>
        <v>-2.9419160170983116E-2</v>
      </c>
      <c r="G98" s="146">
        <f>+G97/407.5-1</f>
        <v>-2.1830674846625819E-2</v>
      </c>
      <c r="H98" s="147"/>
      <c r="I98" s="146">
        <f>+I97/D97-1</f>
        <v>0.28402670775552141</v>
      </c>
      <c r="J98" s="146">
        <f>+J97/E97-1</f>
        <v>0.32604348906560654</v>
      </c>
      <c r="K98" s="146">
        <f>+K97/F97-1</f>
        <v>0.38523316062176183</v>
      </c>
      <c r="L98" s="146">
        <f>+L97/G97-1</f>
        <v>0.35548062738958963</v>
      </c>
      <c r="M98" s="147"/>
      <c r="N98" s="146">
        <f>+N97/I97-1</f>
        <v>7.4000000000000732E-3</v>
      </c>
      <c r="O98" s="146">
        <f>+O97/J97-1</f>
        <v>1.761638261176568E-2</v>
      </c>
      <c r="P98" s="146">
        <f>+P97/K97-1</f>
        <v>-1.028614176173559E-2</v>
      </c>
      <c r="Q98" s="146">
        <f>+Q97/L97-1</f>
        <v>-1.1660188784008763E-2</v>
      </c>
      <c r="R98" s="147"/>
      <c r="S98" s="146">
        <f>+S97/N97-1</f>
        <v>2.9184038117927358E-2</v>
      </c>
      <c r="T98" s="146">
        <f>+T97/O97-1</f>
        <v>2.1731123388581963E-2</v>
      </c>
      <c r="U98" s="146">
        <f>+U97/P97-1</f>
        <v>5.6689342403615228E-4</v>
      </c>
      <c r="V98" s="142">
        <f>AVERAGE(U98,T98,S98,Q98)-6%</f>
        <v>-5.004453346336582E-2</v>
      </c>
      <c r="W98" s="147"/>
      <c r="X98" s="142">
        <f>AVERAGE(V98,U98,T98,S98)-5%</f>
        <v>-4.9640619633205089E-2</v>
      </c>
      <c r="Y98" s="142">
        <f>AVERAGE(X98,V98,U98,T98)+0.517266152559589%</f>
        <v>-1.417412254539231E-2</v>
      </c>
      <c r="Z98" s="142">
        <f>AVERAGE(Y98,X98,V98,U98)+1.69436323853812%</f>
        <v>-1.1379463169100566E-2</v>
      </c>
      <c r="AA98" s="142">
        <f>AVERAGE(Z98,Y98,X98,V98)+1.69436323853812%</f>
        <v>-1.4366052317384748E-2</v>
      </c>
      <c r="AB98" s="147"/>
      <c r="AC98" s="142">
        <f>AVERAGE(AA98,Z98,Y98,X98)-2%</f>
        <v>-4.2390064416270676E-2</v>
      </c>
      <c r="AD98" s="142">
        <f>AVERAGE(AC98,AA98,Z98,Y98)-2%</f>
        <v>-4.0577425612037074E-2</v>
      </c>
      <c r="AE98" s="142">
        <f>AVERAGE(AD98,AC98,AA98,Z98)-2%</f>
        <v>-4.7178251378698272E-2</v>
      </c>
      <c r="AF98" s="142">
        <f>AVERAGE(AE98,AD98,AC98,AA98)-1.24543317861548%</f>
        <v>-4.8582280217252492E-2</v>
      </c>
      <c r="AG98" s="147"/>
      <c r="AH98" s="177">
        <f>AVERAGE(AF98,AE98,AD98,AC98)-0.25%</f>
        <v>-4.7182005406064639E-2</v>
      </c>
      <c r="AI98" s="177">
        <f>AVERAGE(AH98,AF98,AE98,AD98)-0.25%</f>
        <v>-4.8379990653513116E-2</v>
      </c>
      <c r="AJ98" s="177">
        <f>AVERAGE(AI98,AH98,AF98,AE98)-0.25%</f>
        <v>-5.033063191388213E-2</v>
      </c>
      <c r="AK98" s="177">
        <f>AVERAGE(AJ98,AI98,AH98,AF98)-0.25%</f>
        <v>-5.1118727047678093E-2</v>
      </c>
      <c r="AL98" s="147"/>
      <c r="AM98" s="177">
        <f>AVERAGE(AK98,AJ98,AI98,AH98)-0.25%</f>
        <v>-5.1752838755284497E-2</v>
      </c>
      <c r="AN98" s="177">
        <f>AVERAGE(AM98,AK98,AJ98,AI98)-0.25%</f>
        <v>-5.2895547092589458E-2</v>
      </c>
      <c r="AO98" s="177">
        <f>AVERAGE(AN98,AM98,AK98,AJ98)-0.25%</f>
        <v>-5.4024436202358542E-2</v>
      </c>
      <c r="AP98" s="177">
        <f>AVERAGE(AO98,AN98,AM98,AK98)-0.25%</f>
        <v>-5.494788727447765E-2</v>
      </c>
      <c r="AQ98" s="147"/>
    </row>
    <row r="99" spans="1:43" outlineLevel="2" x14ac:dyDescent="0.25">
      <c r="A99" s="53"/>
      <c r="B99" s="127" t="s">
        <v>177</v>
      </c>
      <c r="C99" s="128"/>
      <c r="D99" s="130">
        <v>57.86</v>
      </c>
      <c r="E99" s="130">
        <v>56.52</v>
      </c>
      <c r="F99" s="130">
        <v>55.35</v>
      </c>
      <c r="G99" s="130">
        <v>56.124999899999999</v>
      </c>
      <c r="H99" s="136"/>
      <c r="I99" s="130">
        <v>52.78</v>
      </c>
      <c r="J99" s="130">
        <v>52.419998999999997</v>
      </c>
      <c r="K99" s="130">
        <v>50.28</v>
      </c>
      <c r="L99" s="130">
        <v>51.201999999999998</v>
      </c>
      <c r="M99" s="136"/>
      <c r="N99" s="130">
        <v>53.17</v>
      </c>
      <c r="O99" s="130">
        <v>53.75</v>
      </c>
      <c r="P99" s="130">
        <v>55.26</v>
      </c>
      <c r="Q99" s="130">
        <v>56.5</v>
      </c>
      <c r="R99" s="136"/>
      <c r="S99" s="130">
        <v>54.844000000000001</v>
      </c>
      <c r="T99" s="130">
        <v>54.254100000000001</v>
      </c>
      <c r="U99" s="130">
        <v>52.945</v>
      </c>
      <c r="V99" s="130">
        <f>+Q99*(1+V100)</f>
        <v>54.556995717503874</v>
      </c>
      <c r="W99" s="136"/>
      <c r="X99" s="130">
        <f>+S99*(1+X100)</f>
        <v>51.616159091466947</v>
      </c>
      <c r="Y99" s="130">
        <f>+T99*(1+Y100)</f>
        <v>52.82900719989555</v>
      </c>
      <c r="Z99" s="130">
        <f>+U99*(1+Z100)</f>
        <v>51.705693169071274</v>
      </c>
      <c r="AA99" s="130">
        <f>+V99*(1+AA100)</f>
        <v>53.532083598819469</v>
      </c>
      <c r="AB99" s="136"/>
      <c r="AC99" s="130">
        <f>+X99*(1+AC100)</f>
        <v>48.940951941056042</v>
      </c>
      <c r="AD99" s="130">
        <f>+Y99*(1+AD100)</f>
        <v>50.183734731371295</v>
      </c>
      <c r="AE99" s="130">
        <f>+Z99*(1+AE100)</f>
        <v>48.808949743486473</v>
      </c>
      <c r="AF99" s="130">
        <f>+AA99*(1+AF100)</f>
        <v>50.096515154544058</v>
      </c>
      <c r="AG99" s="136"/>
      <c r="AH99" s="130">
        <f>+AC99*(1+AH100)</f>
        <v>46.10112081120613</v>
      </c>
      <c r="AI99" s="130">
        <f>+AD99*(1+AI100)</f>
        <v>47.194045755525671</v>
      </c>
      <c r="AJ99" s="130">
        <f>+AE99*(1+AJ100)</f>
        <v>45.785211490299098</v>
      </c>
      <c r="AK99" s="130">
        <f>+AF99*(1+AK100)</f>
        <v>46.918783542366612</v>
      </c>
      <c r="AL99" s="136"/>
      <c r="AM99" s="130">
        <f>+AH99*(1+AM100)</f>
        <v>43.185418558022022</v>
      </c>
      <c r="AN99" s="130">
        <f>+AI99*(1+AN100)</f>
        <v>44.147630734433029</v>
      </c>
      <c r="AO99" s="130">
        <f>+AJ99*(1+AO100)</f>
        <v>42.772781389986882</v>
      </c>
      <c r="AP99" s="130">
        <f>+AK99*(1+AP100)</f>
        <v>43.786677328367965</v>
      </c>
      <c r="AQ99" s="136"/>
    </row>
    <row r="100" spans="1:43" outlineLevel="2" x14ac:dyDescent="0.25">
      <c r="A100" s="53"/>
      <c r="B100" s="145" t="s">
        <v>203</v>
      </c>
      <c r="C100" s="128"/>
      <c r="D100" s="146">
        <f>+D99/62.19-1</f>
        <v>-6.9625341694806164E-2</v>
      </c>
      <c r="E100" s="146">
        <f>+E99/61.65-1</f>
        <v>-8.3211678832116664E-2</v>
      </c>
      <c r="F100" s="146">
        <f>+F99/58.4-1</f>
        <v>-5.2226027397260233E-2</v>
      </c>
      <c r="G100" s="146">
        <f>+G99/57.85-1</f>
        <v>-2.9818497839239511E-2</v>
      </c>
      <c r="H100" s="147"/>
      <c r="I100" s="146">
        <f>+I99/D99-1</f>
        <v>-8.7798133425509794E-2</v>
      </c>
      <c r="J100" s="146">
        <f>+J99/E99-1</f>
        <v>-7.2540711252654044E-2</v>
      </c>
      <c r="K100" s="146">
        <f>+K99/F99-1</f>
        <v>-9.1598915989159924E-2</v>
      </c>
      <c r="L100" s="146">
        <f>+L99/G99-1</f>
        <v>-8.7714920423545562E-2</v>
      </c>
      <c r="M100" s="147"/>
      <c r="N100" s="146">
        <f>+N99/I99-1</f>
        <v>7.3891625615762901E-3</v>
      </c>
      <c r="O100" s="146">
        <f>+O99/J99-1</f>
        <v>2.5372014982297131E-2</v>
      </c>
      <c r="P100" s="146">
        <f>+P99/K99-1</f>
        <v>9.9045346062052397E-2</v>
      </c>
      <c r="Q100" s="146">
        <f>+Q99/L99-1</f>
        <v>0.10347252060466383</v>
      </c>
      <c r="R100" s="147"/>
      <c r="S100" s="146">
        <f>+S99/N99-1</f>
        <v>3.1483919503479285E-2</v>
      </c>
      <c r="T100" s="146">
        <f>+T99/O99-1</f>
        <v>9.378604651162803E-3</v>
      </c>
      <c r="U100" s="146">
        <f>+U99/P99-1</f>
        <v>-4.1892870068765742E-2</v>
      </c>
      <c r="V100" s="142">
        <f>AVERAGE(U100,T100,S100,Q100)-6%</f>
        <v>-3.4389456327364953E-2</v>
      </c>
      <c r="W100" s="147"/>
      <c r="X100" s="142">
        <f>AVERAGE(V100,U100,T100,S100)-5%</f>
        <v>-5.8854950560372155E-2</v>
      </c>
      <c r="Y100" s="142">
        <f>AVERAGE(X100,V100,U100,T100)+0.517266152559589%</f>
        <v>-2.6267006550739123E-2</v>
      </c>
      <c r="Z100" s="142">
        <f>AVERAGE(Y100,X100,V100,U100)+1.69436323853812%</f>
        <v>-2.3407438491429296E-2</v>
      </c>
      <c r="AA100" s="142">
        <f>AVERAGE(Z100,Y100,X100,V100)+1.69436323853812%</f>
        <v>-1.8786080597095182E-2</v>
      </c>
      <c r="AB100" s="147"/>
      <c r="AC100" s="142">
        <f>AVERAGE(AA100,Z100,Y100,X100)-2%</f>
        <v>-5.1828869049908938E-2</v>
      </c>
      <c r="AD100" s="142">
        <f>AVERAGE(AC100,AA100,Z100,Y100)-2%</f>
        <v>-5.007234867229314E-2</v>
      </c>
      <c r="AE100" s="142">
        <f>AVERAGE(AD100,AC100,AA100,Z100)-2%</f>
        <v>-5.602368420268164E-2</v>
      </c>
      <c r="AF100" s="142">
        <f>AVERAGE(AE100,AD100,AC100,AA100)-2%</f>
        <v>-6.4177745630494734E-2</v>
      </c>
      <c r="AG100" s="147"/>
      <c r="AH100" s="177">
        <f>AVERAGE(AF100,AE100,AD100,AC100)-0.25%</f>
        <v>-5.8025661888844615E-2</v>
      </c>
      <c r="AI100" s="177">
        <f>AVERAGE(AH100,AF100,AE100,AD100)-0.25%</f>
        <v>-5.9574860098578541E-2</v>
      </c>
      <c r="AJ100" s="177">
        <f>AVERAGE(AI100,AH100,AF100,AE100)-0.25%</f>
        <v>-6.1950487955149881E-2</v>
      </c>
      <c r="AK100" s="177">
        <f>AVERAGE(AJ100,AI100,AH100,AF100)-0.25%</f>
        <v>-6.3432188893266947E-2</v>
      </c>
      <c r="AL100" s="147"/>
      <c r="AM100" s="177">
        <f>AVERAGE(AK100,AJ100,AI100,AH100)-0.25%</f>
        <v>-6.3245799708959993E-2</v>
      </c>
      <c r="AN100" s="177">
        <f>AVERAGE(AM100,AK100,AJ100,AI100)-0.25%</f>
        <v>-6.4550834163988838E-2</v>
      </c>
      <c r="AO100" s="177">
        <f>AVERAGE(AN100,AM100,AK100,AJ100)-0.25%</f>
        <v>-6.5794827680341422E-2</v>
      </c>
      <c r="AP100" s="177">
        <f>AVERAGE(AO100,AN100,AM100,AK100)-0.25%</f>
        <v>-6.6755912611639309E-2</v>
      </c>
      <c r="AQ100" s="147"/>
    </row>
    <row r="101" spans="1:43" outlineLevel="2" x14ac:dyDescent="0.25">
      <c r="A101" s="53"/>
      <c r="B101" s="132" t="s">
        <v>178</v>
      </c>
      <c r="C101" s="131"/>
      <c r="D101" s="148">
        <f>+D97*D99*D61/1000</f>
        <v>1464.4944599999997</v>
      </c>
      <c r="E101" s="148">
        <f>+E97*E99*E61/1000</f>
        <v>1432.8498240000001</v>
      </c>
      <c r="F101" s="148">
        <f>+F97*F99*F61/1000</f>
        <v>1346.0013000000001</v>
      </c>
      <c r="G101" s="148">
        <f>+G97*G99*G61/1000</f>
        <v>1454.1572149090739</v>
      </c>
      <c r="H101" s="137"/>
      <c r="I101" s="148">
        <f>+I97*I99*I61/1000</f>
        <v>1715.35</v>
      </c>
      <c r="J101" s="148">
        <f>+J97*J99*J61/1000</f>
        <v>1762.1922921372063</v>
      </c>
      <c r="K101" s="148">
        <f>+K97*K99*K61/1000</f>
        <v>1666.8523920000002</v>
      </c>
      <c r="L101" s="148">
        <f>+L97*L99*L61/1000</f>
        <v>1798.188639</v>
      </c>
      <c r="M101" s="137"/>
      <c r="N101" s="148">
        <f>+N97*N99*N61/1000</f>
        <v>1740.8123849999999</v>
      </c>
      <c r="O101" s="148">
        <f>+O97*O99*O61/1000</f>
        <v>1838.7337500000001</v>
      </c>
      <c r="P101" s="148">
        <f>+P97*P99*P61/1000</f>
        <v>1813.1027040000001</v>
      </c>
      <c r="Q101" s="148">
        <f>+Q97*Q99*Q61/1000</f>
        <v>1961.115</v>
      </c>
      <c r="R101" s="137"/>
      <c r="S101" s="148">
        <f>+S97*S99*S61/1000</f>
        <v>1848.0234240000002</v>
      </c>
      <c r="T101" s="148">
        <f>+T97*T99*T61/1000</f>
        <v>1896.3110048399999</v>
      </c>
      <c r="U101" s="148">
        <f>+U97*U99*U61/1000</f>
        <v>1738.1314050000001</v>
      </c>
      <c r="V101" s="148">
        <f>+V97*V99*V61/1000</f>
        <v>1798.9053234553483</v>
      </c>
      <c r="W101" s="137"/>
      <c r="X101" s="148">
        <f>+X97*X99*X61/1000</f>
        <v>1652.9202471215265</v>
      </c>
      <c r="Y101" s="148">
        <f>+Y97*Y99*Y61/1000</f>
        <v>1820.3280655930607</v>
      </c>
      <c r="Z101" s="148">
        <f>+Z97*Z99*Z61/1000</f>
        <v>1678.1301745210919</v>
      </c>
      <c r="AA101" s="148">
        <f>+AA97*AA99*AA61/1000</f>
        <v>1739.75326690835</v>
      </c>
      <c r="AB101" s="137"/>
      <c r="AC101" s="148">
        <f>+AC97*AC99*AC61/1000</f>
        <v>1500.8153782120996</v>
      </c>
      <c r="AD101" s="148">
        <f>+AD97*AD99*AD61/1000</f>
        <v>1659.0142926359035</v>
      </c>
      <c r="AE101" s="148">
        <f>+AE97*AE99*AE61/1000</f>
        <v>1509.3793573051676</v>
      </c>
      <c r="AF101" s="148">
        <f>+AF97*AF99*AF61/1000</f>
        <v>1549.003022399816</v>
      </c>
      <c r="AG101" s="137"/>
      <c r="AH101" s="148">
        <f>+AH97*AH99*AH61/1000</f>
        <v>1347.0269761851098</v>
      </c>
      <c r="AI101" s="148">
        <f>+AI97*AI99*AI61/1000</f>
        <v>1484.6973149924045</v>
      </c>
      <c r="AJ101" s="148">
        <f>+AJ97*AJ99*AJ61/1000</f>
        <v>1344.6108084726441</v>
      </c>
      <c r="AK101" s="148">
        <f>+AK97*AK99*AK61/1000</f>
        <v>1376.5860623788374</v>
      </c>
      <c r="AL101" s="137"/>
      <c r="AM101" s="148">
        <f>+AM97*AM99*AM61/1000</f>
        <v>1196.5297288575698</v>
      </c>
      <c r="AN101" s="148">
        <f>+AN97*AN99*AN61/1000</f>
        <v>1315.394415339108</v>
      </c>
      <c r="AO101" s="148">
        <f>+AO97*AO99*AO61/1000</f>
        <v>1188.2799885931365</v>
      </c>
      <c r="AP101" s="148">
        <f>+AP97*AP99*AP61/1000</f>
        <v>1214.0997580432036</v>
      </c>
      <c r="AQ101" s="137"/>
    </row>
    <row r="102" spans="1:43" ht="17.25" outlineLevel="1" x14ac:dyDescent="0.4">
      <c r="A102" s="53"/>
      <c r="B102" s="729" t="s">
        <v>179</v>
      </c>
      <c r="C102" s="730"/>
      <c r="D102" s="46"/>
      <c r="E102" s="46"/>
      <c r="F102" s="46"/>
      <c r="G102" s="46"/>
      <c r="H102" s="54"/>
      <c r="I102" s="46"/>
      <c r="J102" s="46"/>
      <c r="K102" s="46"/>
      <c r="L102" s="46"/>
      <c r="M102" s="54"/>
      <c r="N102" s="46"/>
      <c r="O102" s="46"/>
      <c r="P102" s="46"/>
      <c r="Q102" s="46"/>
      <c r="R102" s="50"/>
      <c r="S102" s="47"/>
      <c r="T102" s="47"/>
      <c r="U102" s="47"/>
      <c r="V102" s="47"/>
      <c r="W102" s="50"/>
      <c r="X102" s="47"/>
      <c r="Y102" s="47"/>
      <c r="Z102" s="47"/>
      <c r="AA102" s="47"/>
      <c r="AB102" s="50"/>
      <c r="AC102" s="47"/>
      <c r="AD102" s="47"/>
      <c r="AE102" s="47"/>
      <c r="AF102" s="47"/>
      <c r="AG102" s="50"/>
      <c r="AH102" s="47"/>
      <c r="AI102" s="47"/>
      <c r="AJ102" s="47"/>
      <c r="AK102" s="47"/>
      <c r="AL102" s="50"/>
      <c r="AM102" s="47"/>
      <c r="AN102" s="47"/>
      <c r="AO102" s="47"/>
      <c r="AP102" s="47"/>
      <c r="AQ102" s="50"/>
    </row>
    <row r="103" spans="1:43" outlineLevel="2" x14ac:dyDescent="0.25">
      <c r="A103" s="53"/>
      <c r="B103" s="123" t="s">
        <v>368</v>
      </c>
      <c r="C103" s="285"/>
      <c r="D103" s="262">
        <v>176</v>
      </c>
      <c r="E103" s="262">
        <v>185.7</v>
      </c>
      <c r="F103" s="262">
        <v>179.2</v>
      </c>
      <c r="G103" s="262">
        <v>184.4</v>
      </c>
      <c r="H103" s="54"/>
      <c r="I103" s="262">
        <v>238</v>
      </c>
      <c r="J103" s="262">
        <v>259.39999999999998</v>
      </c>
      <c r="K103" s="262">
        <v>253.4</v>
      </c>
      <c r="L103" s="262">
        <v>265.499999</v>
      </c>
      <c r="M103" s="54"/>
      <c r="N103" s="262">
        <v>252.2</v>
      </c>
      <c r="O103" s="262">
        <v>276.5</v>
      </c>
      <c r="P103" s="262">
        <v>266.39999999999998</v>
      </c>
      <c r="Q103" s="262">
        <v>277</v>
      </c>
      <c r="R103" s="50"/>
      <c r="S103" s="262">
        <v>275.8</v>
      </c>
      <c r="T103" s="124">
        <v>302.39999999999998</v>
      </c>
      <c r="U103" s="124">
        <v>289.39999999999998</v>
      </c>
      <c r="V103" s="124">
        <f>+Q103*(1+V104)</f>
        <v>282.32520407909476</v>
      </c>
      <c r="W103" s="50"/>
      <c r="X103" s="124">
        <f>+S103*(1+X104)</f>
        <v>282.19913314280274</v>
      </c>
      <c r="Y103" s="124">
        <f>+T103*(1+Y104)</f>
        <v>320.78021296260283</v>
      </c>
      <c r="Z103" s="124">
        <f>+U103*(1+Z104)</f>
        <v>308.01700324025074</v>
      </c>
      <c r="AA103" s="124">
        <f>+V103*(1+AA104)</f>
        <v>298.93382817642271</v>
      </c>
      <c r="AB103" s="50"/>
      <c r="AC103" s="124">
        <f>+X103*(1+AC104)</f>
        <v>291.16889281950358</v>
      </c>
      <c r="AD103" s="124">
        <f>+Y103*(1+AD104)</f>
        <v>331.66460548967444</v>
      </c>
      <c r="AE103" s="124">
        <f>+Z103*(1+AE104)</f>
        <v>316.40075316823436</v>
      </c>
      <c r="AF103" s="124">
        <f>+AA103*(1+AF104)</f>
        <v>304.29690019832805</v>
      </c>
      <c r="AG103" s="50"/>
      <c r="AH103" s="124">
        <f>+AC103*(1+AH104)</f>
        <v>298.51183319869034</v>
      </c>
      <c r="AI103" s="124">
        <f>+AD103*(1+AI104)</f>
        <v>339.48434178536382</v>
      </c>
      <c r="AJ103" s="124">
        <f>+AE103*(1+AJ104)</f>
        <v>323.04162586193502</v>
      </c>
      <c r="AK103" s="124">
        <f>+AF103*(1+AK104)</f>
        <v>310.2098107432198</v>
      </c>
      <c r="AL103" s="50"/>
      <c r="AM103" s="124">
        <f>+AH103*(1+AM104)</f>
        <v>304.42358125426244</v>
      </c>
      <c r="AN103" s="124">
        <f>+AI103*(1+AN104)</f>
        <v>345.74795475330671</v>
      </c>
      <c r="AO103" s="124">
        <f>+AJ103*(1+AO104)</f>
        <v>328.58781669830415</v>
      </c>
      <c r="AP103" s="124">
        <f>+AK103*(1+AP104)</f>
        <v>315.23943494226637</v>
      </c>
      <c r="AQ103" s="50"/>
    </row>
    <row r="104" spans="1:43" outlineLevel="2" x14ac:dyDescent="0.25">
      <c r="A104" s="53"/>
      <c r="B104" s="141" t="s">
        <v>204</v>
      </c>
      <c r="C104" s="285"/>
      <c r="D104" s="166">
        <f>+D103/169.5-1</f>
        <v>3.8348082595870192E-2</v>
      </c>
      <c r="E104" s="166">
        <f>+E103/179.5-1</f>
        <v>3.4540389972144814E-2</v>
      </c>
      <c r="F104" s="166">
        <f>+F103/175.4-1</f>
        <v>2.1664766248574496E-2</v>
      </c>
      <c r="G104" s="166">
        <f>+G103/178.4-1</f>
        <v>3.3632286995515681E-2</v>
      </c>
      <c r="H104" s="84"/>
      <c r="I104" s="166">
        <f>+I103/D103-1</f>
        <v>0.35227272727272729</v>
      </c>
      <c r="J104" s="166">
        <f>+J103/E103-1</f>
        <v>0.39687668282175559</v>
      </c>
      <c r="K104" s="166">
        <f>+K103/F103-1</f>
        <v>0.41406250000000022</v>
      </c>
      <c r="L104" s="166">
        <f>+L103/G103-1</f>
        <v>0.43980476681127989</v>
      </c>
      <c r="M104" s="84"/>
      <c r="N104" s="166">
        <f>+N103/I103-1</f>
        <v>5.9663865546218497E-2</v>
      </c>
      <c r="O104" s="166">
        <f>+O103/J103-1</f>
        <v>6.5921356977640899E-2</v>
      </c>
      <c r="P104" s="166">
        <f>+P103/K103-1</f>
        <v>5.1302288871349466E-2</v>
      </c>
      <c r="Q104" s="166">
        <f>+Q103/L103-1</f>
        <v>4.3314504871241111E-2</v>
      </c>
      <c r="R104" s="57"/>
      <c r="S104" s="166">
        <f>+S103/N103-1</f>
        <v>9.35765265662174E-2</v>
      </c>
      <c r="T104" s="166">
        <f>+T103/O103-1</f>
        <v>9.36708860759492E-2</v>
      </c>
      <c r="U104" s="166">
        <f>+U103/P103-1</f>
        <v>8.6336336336336306E-2</v>
      </c>
      <c r="V104" s="142">
        <f>AVERAGE(U104,T104,S104,Q104)-6%</f>
        <v>1.9224563462436006E-2</v>
      </c>
      <c r="W104" s="50"/>
      <c r="X104" s="142">
        <f>AVERAGE(V104,U104,T104,S104)-5%</f>
        <v>2.3202078110234725E-2</v>
      </c>
      <c r="Y104" s="142">
        <f>AVERAGE(X104,V104,U104,T104)+0.517266152559589%</f>
        <v>6.0781127521834948E-2</v>
      </c>
      <c r="Z104" s="142">
        <f>AVERAGE(Y104,X104,V104,U104)+1.69436323853812%</f>
        <v>6.4329658743091697E-2</v>
      </c>
      <c r="AA104" s="142">
        <f>AVERAGE(Z104,Y104,X104,V104)+1.69436323853812%</f>
        <v>5.8827989344780542E-2</v>
      </c>
      <c r="AB104" s="57"/>
      <c r="AC104" s="142">
        <f>AVERAGE(AA104,Z104,Y104,X104)-2%</f>
        <v>3.1785213429985484E-2</v>
      </c>
      <c r="AD104" s="142">
        <f>AVERAGE(AC104,AA104,Z104,Y104)-2%</f>
        <v>3.3930997259923171E-2</v>
      </c>
      <c r="AE104" s="142">
        <f>AVERAGE(AD104,AC104,AA104,Z104)-2%</f>
        <v>2.7218464694445225E-2</v>
      </c>
      <c r="AF104" s="142">
        <f>AVERAGE(AE104,AD104,AC104,AA104)-2%</f>
        <v>1.7940666182283602E-2</v>
      </c>
      <c r="AG104" s="57"/>
      <c r="AH104" s="177">
        <f>AVERAGE(AF104,AE104,AD104,AC104)-0.25%</f>
        <v>2.5218835391659374E-2</v>
      </c>
      <c r="AI104" s="177">
        <f>AVERAGE(AH104,AF104,AE104,AD104)-0.25%</f>
        <v>2.3577240882077844E-2</v>
      </c>
      <c r="AJ104" s="177">
        <f>AVERAGE(AI104,AH104,AF104,AE104)-0.25%</f>
        <v>2.0988801787616512E-2</v>
      </c>
      <c r="AK104" s="177">
        <f>AVERAGE(AJ104,AI104,AH104,AF104)-0.25%</f>
        <v>1.9431386060909332E-2</v>
      </c>
      <c r="AL104" s="57"/>
      <c r="AM104" s="177">
        <f>AVERAGE(AK104,AJ104,AI104,AH104)-0.25%</f>
        <v>1.9804066030565764E-2</v>
      </c>
      <c r="AN104" s="177">
        <f>AVERAGE(AM104,AK104,AJ104,AI104)-0.25%</f>
        <v>1.8450373690292364E-2</v>
      </c>
      <c r="AO104" s="177">
        <f>AVERAGE(AN104,AM104,AK104,AJ104)-0.25%</f>
        <v>1.7168656892345993E-2</v>
      </c>
      <c r="AP104" s="177">
        <f>AVERAGE(AO104,AN104,AM104,AK104)-0.25%</f>
        <v>1.6213620668528363E-2</v>
      </c>
      <c r="AQ104" s="57"/>
    </row>
    <row r="105" spans="1:43" outlineLevel="2" x14ac:dyDescent="0.25">
      <c r="A105" s="53"/>
      <c r="B105" s="123" t="s">
        <v>180</v>
      </c>
      <c r="C105" s="285"/>
      <c r="D105" s="143">
        <v>50.18</v>
      </c>
      <c r="E105" s="143">
        <v>48.53</v>
      </c>
      <c r="F105" s="143">
        <v>48.36</v>
      </c>
      <c r="G105" s="143">
        <v>49.494</v>
      </c>
      <c r="H105" s="54"/>
      <c r="I105" s="143">
        <v>44.78</v>
      </c>
      <c r="J105" s="143">
        <v>43.8</v>
      </c>
      <c r="K105" s="143">
        <v>44.05</v>
      </c>
      <c r="L105" s="143">
        <v>44.884999899999997</v>
      </c>
      <c r="M105" s="54"/>
      <c r="N105" s="143">
        <v>46.95</v>
      </c>
      <c r="O105" s="143">
        <v>46.78</v>
      </c>
      <c r="P105" s="143">
        <v>48.01</v>
      </c>
      <c r="Q105" s="143">
        <v>48.72</v>
      </c>
      <c r="R105" s="50"/>
      <c r="S105" s="143">
        <v>47.424999999999997</v>
      </c>
      <c r="T105" s="143">
        <v>46.454300000000003</v>
      </c>
      <c r="U105" s="143">
        <v>44.944000000000003</v>
      </c>
      <c r="V105" s="143">
        <f>+Q105*(1+V106)</f>
        <v>46.098055809501318</v>
      </c>
      <c r="W105" s="50"/>
      <c r="X105" s="143">
        <f>+S105*(1+X106)</f>
        <v>43.695930573628836</v>
      </c>
      <c r="Y105" s="143">
        <f>+T105*(1+Y106)</f>
        <v>44.333883097195745</v>
      </c>
      <c r="Z105" s="143">
        <f>+U105*(1+Z106)</f>
        <v>42.986915130918931</v>
      </c>
      <c r="AA105" s="143">
        <f>+V105*(1+AA106)</f>
        <v>44.324858075157657</v>
      </c>
      <c r="AB105" s="50"/>
      <c r="AC105" s="143">
        <f>+X105*(1+AC106)</f>
        <v>40.568538018329853</v>
      </c>
      <c r="AD105" s="143">
        <f>+Y105*(1+AD106)</f>
        <v>41.239071257243275</v>
      </c>
      <c r="AE105" s="143">
        <f>+Z105*(1+AE106)</f>
        <v>39.726471774095927</v>
      </c>
      <c r="AF105" s="143">
        <f>+AA105*(1+AF106)</f>
        <v>40.604985694061206</v>
      </c>
      <c r="AG105" s="50"/>
      <c r="AH105" s="143">
        <f>+AC105*(1+AH106)</f>
        <v>37.412823861248761</v>
      </c>
      <c r="AI105" s="143">
        <f>+AD105*(1+AI106)</f>
        <v>37.967117639648215</v>
      </c>
      <c r="AJ105" s="143">
        <f>+AE105*(1+AJ106)</f>
        <v>36.479839562641821</v>
      </c>
      <c r="AK105" s="143">
        <f>+AF105*(1+AK106)</f>
        <v>37.226895204272125</v>
      </c>
      <c r="AL105" s="50"/>
      <c r="AM105" s="143">
        <f>+AH105*(1+AM106)</f>
        <v>34.307120108644803</v>
      </c>
      <c r="AN105" s="143">
        <f>+AI105*(1+AN106)</f>
        <v>34.765811051016236</v>
      </c>
      <c r="AO105" s="143">
        <f>+AJ105*(1+AO106)</f>
        <v>33.358549206256065</v>
      </c>
      <c r="AP105" s="143">
        <f>+AK105*(1+AP106)</f>
        <v>34.005971525276429</v>
      </c>
      <c r="AQ105" s="50"/>
    </row>
    <row r="106" spans="1:43" outlineLevel="2" x14ac:dyDescent="0.25">
      <c r="A106" s="53"/>
      <c r="B106" s="141" t="s">
        <v>203</v>
      </c>
      <c r="C106" s="285"/>
      <c r="D106" s="166">
        <f>+D105/52.6-1</f>
        <v>-4.600760456273767E-2</v>
      </c>
      <c r="E106" s="166">
        <f>+E105/52.88-1</f>
        <v>-8.2261724659606683E-2</v>
      </c>
      <c r="F106" s="166">
        <f>+F105/50.6-1</f>
        <v>-4.426877470355739E-2</v>
      </c>
      <c r="G106" s="166">
        <f>+G105/50.1-1</f>
        <v>-1.2095808383233542E-2</v>
      </c>
      <c r="H106" s="84"/>
      <c r="I106" s="166">
        <f>+I105/D105-1</f>
        <v>-0.10761259465922679</v>
      </c>
      <c r="J106" s="166">
        <f>+J105/E105-1</f>
        <v>-9.7465485266845286E-2</v>
      </c>
      <c r="K106" s="166">
        <f>+K105/F105-1</f>
        <v>-8.9123242349048892E-2</v>
      </c>
      <c r="L106" s="166">
        <f>+L105/G105-1</f>
        <v>-9.3122400695033747E-2</v>
      </c>
      <c r="M106" s="84"/>
      <c r="N106" s="166">
        <f>+N105/I105-1</f>
        <v>4.845913354175968E-2</v>
      </c>
      <c r="O106" s="166">
        <f>+O105/J105-1</f>
        <v>6.8036529680365332E-2</v>
      </c>
      <c r="P106" s="166">
        <f>+P105/K105-1</f>
        <v>8.9897843359818319E-2</v>
      </c>
      <c r="Q106" s="166">
        <f>+Q105/L105-1</f>
        <v>8.5440572764711176E-2</v>
      </c>
      <c r="R106" s="57"/>
      <c r="S106" s="166">
        <f>+S105/N105-1</f>
        <v>1.0117145899893432E-2</v>
      </c>
      <c r="T106" s="166">
        <f>+T105/O105-1</f>
        <v>-6.9623770842239807E-3</v>
      </c>
      <c r="U106" s="166">
        <f>+U105/P105-1</f>
        <v>-6.3861695480108227E-2</v>
      </c>
      <c r="V106" s="142">
        <f>AVERAGE(U106,T106,S106,Q106)-6%</f>
        <v>-5.3816588474931898E-2</v>
      </c>
      <c r="W106" s="50"/>
      <c r="X106" s="142">
        <f>AVERAGE(V106,U106,T106,S106)-5%</f>
        <v>-7.8630878784842678E-2</v>
      </c>
      <c r="Y106" s="142">
        <f>AVERAGE(X106,V106,U106,T106)+0.517266152559589%</f>
        <v>-4.5645223430430808E-2</v>
      </c>
      <c r="Z106" s="142">
        <f>AVERAGE(Y106,X106,V106,U106)+1.69436323853812%</f>
        <v>-4.3544964157197205E-2</v>
      </c>
      <c r="AA106" s="142">
        <f>AVERAGE(Z106,Y106,X106,V106)+1.69436323853812%</f>
        <v>-3.8465781326469446E-2</v>
      </c>
      <c r="AB106" s="57"/>
      <c r="AC106" s="142">
        <f>AVERAGE(AA106,Z106,Y106,X106)-2%</f>
        <v>-7.1571711924735035E-2</v>
      </c>
      <c r="AD106" s="142">
        <f>AVERAGE(AC106,AA106,Z106,Y106)-2%</f>
        <v>-6.9806920209708134E-2</v>
      </c>
      <c r="AE106" s="142">
        <f>AVERAGE(AD106,AC106,AA106,Z106)-2%</f>
        <v>-7.5847344404527464E-2</v>
      </c>
      <c r="AF106" s="142">
        <f>AVERAGE(AE106,AD106,AC106,AA106)-2%</f>
        <v>-8.3922939466360022E-2</v>
      </c>
      <c r="AG106" s="57"/>
      <c r="AH106" s="177">
        <f>AVERAGE(AF106,AE106,AD106,AC106)-0.25%</f>
        <v>-7.7787229001332669E-2</v>
      </c>
      <c r="AI106" s="177">
        <f>AVERAGE(AH106,AF106,AE106,AD106)-0.25%</f>
        <v>-7.9341108270482075E-2</v>
      </c>
      <c r="AJ106" s="177">
        <f>AVERAGE(AI106,AH106,AF106,AE106)-0.25%</f>
        <v>-8.172465528567556E-2</v>
      </c>
      <c r="AK106" s="177">
        <f>AVERAGE(AJ106,AI106,AH106,AF106)-0.25%</f>
        <v>-8.3193983005962591E-2</v>
      </c>
      <c r="AL106" s="57"/>
      <c r="AM106" s="177">
        <f>AVERAGE(AK106,AJ106,AI106,AH106)-0.25%</f>
        <v>-8.3011743890863229E-2</v>
      </c>
      <c r="AN106" s="177">
        <f>AVERAGE(AM106,AK106,AJ106,AI106)-0.25%</f>
        <v>-8.4317872613245873E-2</v>
      </c>
      <c r="AO106" s="177">
        <f>AVERAGE(AN106,AM106,AK106,AJ106)-0.25%</f>
        <v>-8.5562063698936819E-2</v>
      </c>
      <c r="AP106" s="177">
        <f>AVERAGE(AO106,AN106,AM106,AK106)-0.25%</f>
        <v>-8.652141580225213E-2</v>
      </c>
      <c r="AQ106" s="57"/>
    </row>
    <row r="107" spans="1:43" outlineLevel="2" x14ac:dyDescent="0.25">
      <c r="A107" s="53"/>
      <c r="B107" s="119" t="s">
        <v>181</v>
      </c>
      <c r="C107" s="120"/>
      <c r="D107" s="144">
        <f>+D103*D105*D61/1000</f>
        <v>574.05920000000003</v>
      </c>
      <c r="E107" s="144">
        <f>+E103*E105*E61/1000</f>
        <v>567.75732299999993</v>
      </c>
      <c r="F107" s="144">
        <f>+F103*F105*F61/1000</f>
        <v>545.965056</v>
      </c>
      <c r="G107" s="144">
        <f>+G103*G105*G61/1000</f>
        <v>593.23508400000003</v>
      </c>
      <c r="H107" s="56"/>
      <c r="I107" s="144">
        <f>+I103*I105*I61/1000</f>
        <v>692.74659999999994</v>
      </c>
      <c r="J107" s="144">
        <f>+J103*J105*J61/1000</f>
        <v>715.7883599999999</v>
      </c>
      <c r="K107" s="144">
        <f>+K103*K105*K61/1000</f>
        <v>692.06074000000001</v>
      </c>
      <c r="L107" s="144">
        <f>+L103*L105*L61/1000</f>
        <v>774.60288285672505</v>
      </c>
      <c r="M107" s="56"/>
      <c r="N107" s="144">
        <f>+N103*N105*N61/1000</f>
        <v>769.65135000000009</v>
      </c>
      <c r="O107" s="144">
        <f>+O103*O105*O61/1000</f>
        <v>814.88420999999994</v>
      </c>
      <c r="P107" s="144">
        <f>+P103*P105*P61/1000</f>
        <v>792.97156799999982</v>
      </c>
      <c r="Q107" s="144">
        <f>+Q103*Q105*Q61/1000</f>
        <v>877.20359999999994</v>
      </c>
      <c r="R107" s="56"/>
      <c r="S107" s="144">
        <f>+S103*S105*S61/1000</f>
        <v>850.18797499999994</v>
      </c>
      <c r="T107" s="144">
        <f>+T103*T105*T61/1000</f>
        <v>885.01016015999994</v>
      </c>
      <c r="U107" s="144">
        <f>+U103*U105*U61/1000</f>
        <v>806.42120320000004</v>
      </c>
      <c r="V107" s="144">
        <f>+V103*V105*V61/1000</f>
        <v>845.95179591435237</v>
      </c>
      <c r="W107" s="51"/>
      <c r="X107" s="144">
        <f>+X103*X105*X61/1000</f>
        <v>801.5119924334997</v>
      </c>
      <c r="Y107" s="144">
        <f>+Y103*Y105*Y61/1000</f>
        <v>895.95024506678817</v>
      </c>
      <c r="Z107" s="144">
        <f>+Z103*Z105*Z61/1000</f>
        <v>820.92344818445576</v>
      </c>
      <c r="AA107" s="144">
        <f>+AA103*AA105*AA61/1000</f>
        <v>861.26296800592763</v>
      </c>
      <c r="AB107" s="51"/>
      <c r="AC107" s="144">
        <f>+AC103*AC105*AC61/1000</f>
        <v>767.79925937669771</v>
      </c>
      <c r="AD107" s="144">
        <f>+AD103*AD105*AD61/1000</f>
        <v>861.6850388555323</v>
      </c>
      <c r="AE107" s="144">
        <f>+AE103*AE105*AE61/1000</f>
        <v>779.30810658251437</v>
      </c>
      <c r="AF107" s="144">
        <f>+AF103*AF105*AF61/1000</f>
        <v>803.13813315451819</v>
      </c>
      <c r="AG107" s="51"/>
      <c r="AH107" s="144">
        <f>+AH103*AH105*AH61/1000</f>
        <v>725.93109133746975</v>
      </c>
      <c r="AI107" s="144">
        <f>+AI103*AI105*AI61/1000</f>
        <v>812.0222423071574</v>
      </c>
      <c r="AJ107" s="144">
        <f>+AJ103*AJ105*AJ61/1000</f>
        <v>730.639414376898</v>
      </c>
      <c r="AK107" s="144">
        <f>+AK103*AK105*AK61/1000</f>
        <v>750.62962753187071</v>
      </c>
      <c r="AL107" s="51"/>
      <c r="AM107" s="144">
        <f>+AM103*AM105*AM61/1000</f>
        <v>678.85326378959519</v>
      </c>
      <c r="AN107" s="144">
        <f>+AN103*AN105*AN61/1000</f>
        <v>757.27310817241266</v>
      </c>
      <c r="AO107" s="144">
        <f>+AO103*AO105*AO61/1000</f>
        <v>679.59519681821087</v>
      </c>
      <c r="AP107" s="144">
        <f>+AP103*AP105*AP61/1000</f>
        <v>696.80151113891122</v>
      </c>
      <c r="AQ107" s="51"/>
    </row>
    <row r="108" spans="1:43" ht="17.25" outlineLevel="1" x14ac:dyDescent="0.4">
      <c r="A108" s="53"/>
      <c r="B108" s="735" t="s">
        <v>182</v>
      </c>
      <c r="C108" s="736"/>
      <c r="D108" s="126"/>
      <c r="E108" s="126"/>
      <c r="F108" s="126"/>
      <c r="G108" s="126"/>
      <c r="H108" s="136"/>
      <c r="I108" s="126"/>
      <c r="J108" s="126"/>
      <c r="K108" s="126"/>
      <c r="L108" s="126"/>
      <c r="M108" s="136"/>
      <c r="N108" s="126"/>
      <c r="O108" s="126"/>
      <c r="P108" s="126"/>
      <c r="Q108" s="126"/>
      <c r="R108" s="136"/>
      <c r="S108" s="126"/>
      <c r="T108" s="126"/>
      <c r="U108" s="126"/>
      <c r="V108" s="126"/>
      <c r="W108" s="136"/>
      <c r="X108" s="126"/>
      <c r="Y108" s="126"/>
      <c r="Z108" s="126"/>
      <c r="AA108" s="126"/>
      <c r="AB108" s="136"/>
      <c r="AC108" s="126"/>
      <c r="AD108" s="126"/>
      <c r="AE108" s="126"/>
      <c r="AF108" s="126"/>
      <c r="AG108" s="136"/>
      <c r="AH108" s="126"/>
      <c r="AI108" s="126"/>
      <c r="AJ108" s="126"/>
      <c r="AK108" s="126"/>
      <c r="AL108" s="136"/>
      <c r="AM108" s="126"/>
      <c r="AN108" s="126"/>
      <c r="AO108" s="126"/>
      <c r="AP108" s="126"/>
      <c r="AQ108" s="136"/>
    </row>
    <row r="109" spans="1:43" outlineLevel="2" x14ac:dyDescent="0.25">
      <c r="A109" s="53"/>
      <c r="B109" s="127" t="s">
        <v>369</v>
      </c>
      <c r="C109" s="128"/>
      <c r="D109" s="129">
        <v>855</v>
      </c>
      <c r="E109" s="129">
        <v>954</v>
      </c>
      <c r="F109" s="129">
        <v>878</v>
      </c>
      <c r="G109" s="129">
        <v>868.5</v>
      </c>
      <c r="H109" s="136"/>
      <c r="I109" s="129">
        <v>2172</v>
      </c>
      <c r="J109" s="129">
        <v>2536</v>
      </c>
      <c r="K109" s="129">
        <v>2471</v>
      </c>
      <c r="L109" s="129">
        <v>2404.5990000000002</v>
      </c>
      <c r="M109" s="136"/>
      <c r="N109" s="129">
        <v>2238.1999999999998</v>
      </c>
      <c r="O109" s="129">
        <v>2662.5</v>
      </c>
      <c r="P109" s="129">
        <v>2445</v>
      </c>
      <c r="Q109" s="129">
        <v>2377</v>
      </c>
      <c r="R109" s="136"/>
      <c r="S109" s="129">
        <v>2395</v>
      </c>
      <c r="T109" s="129">
        <v>2670</v>
      </c>
      <c r="U109" s="129">
        <v>2410</v>
      </c>
      <c r="V109" s="129">
        <f>+Q109*(1+V110)</f>
        <v>2262.3576933874165</v>
      </c>
      <c r="W109" s="136"/>
      <c r="X109" s="129">
        <f>+S109*(1+X110)</f>
        <v>2281.434152207451</v>
      </c>
      <c r="Y109" s="129">
        <f>+T109*(1+Y110)</f>
        <v>2612.291219595953</v>
      </c>
      <c r="Z109" s="129">
        <f>+U109*(1+Z110)</f>
        <v>2371.5593581839062</v>
      </c>
      <c r="AA109" s="129">
        <f>+V109*(1+AA110)</f>
        <v>2225.3469691566843</v>
      </c>
      <c r="AB109" s="136"/>
      <c r="AC109" s="129">
        <f>+X109*(1+AC110)</f>
        <v>2200.8188209837685</v>
      </c>
      <c r="AD109" s="129">
        <f>+Y109*(1+AD110)</f>
        <v>2527.8756921603285</v>
      </c>
      <c r="AE109" s="129">
        <f>+Z109*(1+AE110)</f>
        <v>2288.5785229545368</v>
      </c>
      <c r="AF109" s="129">
        <f>+AA109*(1+AF110)</f>
        <v>2136.8897220485483</v>
      </c>
      <c r="AG109" s="136"/>
      <c r="AH109" s="129">
        <f>+AC109*(1+AH110)</f>
        <v>2116.9731384689499</v>
      </c>
      <c r="AI109" s="129">
        <f>+AD109*(1+AI110)</f>
        <v>2429.824388766147</v>
      </c>
      <c r="AJ109" s="129">
        <f>+AE109*(1+AJ110)</f>
        <v>2196.1054326449421</v>
      </c>
      <c r="AK109" s="129">
        <f>+AF109*(1+AK110)</f>
        <v>2047.6522832626229</v>
      </c>
      <c r="AL109" s="136"/>
      <c r="AM109" s="129">
        <f>+AH109*(1+AM110)</f>
        <v>2027.5033468394918</v>
      </c>
      <c r="AN109" s="129">
        <f>+AI109*(1+AN110)</f>
        <v>2324.6021351528252</v>
      </c>
      <c r="AO109" s="129">
        <f>+AJ109*(1+AO110)</f>
        <v>2098.5246072229215</v>
      </c>
      <c r="AP109" s="129">
        <f>+AK109*(1+AP110)</f>
        <v>1954.6061679790944</v>
      </c>
      <c r="AQ109" s="136"/>
    </row>
    <row r="110" spans="1:43" outlineLevel="2" x14ac:dyDescent="0.25">
      <c r="A110" s="53"/>
      <c r="B110" s="145" t="s">
        <v>204</v>
      </c>
      <c r="C110" s="128"/>
      <c r="D110" s="146">
        <f>+D109/816-1</f>
        <v>4.7794117647058876E-2</v>
      </c>
      <c r="E110" s="146">
        <f>+E109/917-1</f>
        <v>4.0348964013086075E-2</v>
      </c>
      <c r="F110" s="146">
        <f>+F109/830.5-1</f>
        <v>5.7194461167971111E-2</v>
      </c>
      <c r="G110" s="146">
        <f>+G109/850-1</f>
        <v>2.1764705882352908E-2</v>
      </c>
      <c r="H110" s="147"/>
      <c r="I110" s="146">
        <f>+I109/D109-1</f>
        <v>1.5403508771929824</v>
      </c>
      <c r="J110" s="146">
        <f>+J109/E109-1</f>
        <v>1.658280922431866</v>
      </c>
      <c r="K110" s="146">
        <f>+K109/F109-1</f>
        <v>1.8143507972665147</v>
      </c>
      <c r="L110" s="146">
        <f>+L109/G109-1</f>
        <v>1.768680483592401</v>
      </c>
      <c r="M110" s="147"/>
      <c r="N110" s="146">
        <f>+N109/I109-1</f>
        <v>3.0478821362799113E-2</v>
      </c>
      <c r="O110" s="146">
        <f>+O109/J109-1</f>
        <v>4.9881703470031624E-2</v>
      </c>
      <c r="P110" s="146">
        <f>+P109/K109-1</f>
        <v>-1.0522055847834832E-2</v>
      </c>
      <c r="Q110" s="146">
        <f>+Q109/L109-1</f>
        <v>-1.1477589402640542E-2</v>
      </c>
      <c r="R110" s="147"/>
      <c r="S110" s="146">
        <f>+S109/N109-1</f>
        <v>7.0056295237244326E-2</v>
      </c>
      <c r="T110" s="146">
        <f>+T109/O109-1</f>
        <v>2.8169014084507005E-3</v>
      </c>
      <c r="U110" s="146">
        <f>+U109/P109-1</f>
        <v>-1.4314928425357865E-2</v>
      </c>
      <c r="V110" s="142">
        <f>AVERAGE(U110,T110,S110,Q110)-6%</f>
        <v>-4.8229830295575843E-2</v>
      </c>
      <c r="W110" s="147"/>
      <c r="X110" s="142">
        <f>AVERAGE(V110,U110,T110,S110)-5%</f>
        <v>-4.7417890518809673E-2</v>
      </c>
      <c r="Y110" s="142">
        <f>AVERAGE(X110,V110,U110,T110)+0.517266152559589%</f>
        <v>-2.1613775432227283E-2</v>
      </c>
      <c r="Z110" s="142">
        <f>AVERAGE(Y110,X110,V110,U110)+1.69436323853812%</f>
        <v>-1.5950473782611468E-2</v>
      </c>
      <c r="AA110" s="142">
        <f>AVERAGE(Z110,Y110,X110,V110)+1.69436323853812%</f>
        <v>-1.6359360121924869E-2</v>
      </c>
      <c r="AB110" s="147"/>
      <c r="AC110" s="142">
        <f>AVERAGE(AA110,Z110,Y110,X110)-1%</f>
        <v>-3.5335374963893322E-2</v>
      </c>
      <c r="AD110" s="142">
        <f>AVERAGE(AC110,AA110,Z110,Y110)-1%</f>
        <v>-3.2314746075164234E-2</v>
      </c>
      <c r="AE110" s="142">
        <f>AVERAGE(AD110,AC110,AA110,Z110)-1%</f>
        <v>-3.4989988735898474E-2</v>
      </c>
      <c r="AF110" s="142">
        <f>AVERAGE(AE110,AD110,AC110,AA110)-1%</f>
        <v>-3.9749867474220227E-2</v>
      </c>
      <c r="AG110" s="147"/>
      <c r="AH110" s="177">
        <f>AVERAGE(AF110,AE110,AD110,AC110)-0.25%</f>
        <v>-3.8097494312294068E-2</v>
      </c>
      <c r="AI110" s="177">
        <f>AVERAGE(AH110,AF110,AE110,AD110)-0.25%</f>
        <v>-3.8788024149394258E-2</v>
      </c>
      <c r="AJ110" s="177">
        <f>AVERAGE(AI110,AH110,AF110,AE110)-0.25%</f>
        <v>-4.0406343667951761E-2</v>
      </c>
      <c r="AK110" s="177">
        <f>AVERAGE(AJ110,AI110,AH110,AF110)-0.25%</f>
        <v>-4.1760432400965081E-2</v>
      </c>
      <c r="AL110" s="147"/>
      <c r="AM110" s="177">
        <f>AVERAGE(AK110,AJ110,AI110,AH110)-0.25%</f>
        <v>-4.2263073632651291E-2</v>
      </c>
      <c r="AN110" s="177">
        <f>AVERAGE(AM110,AK110,AJ110,AI110)-0.25%</f>
        <v>-4.3304468462740602E-2</v>
      </c>
      <c r="AO110" s="177">
        <f>AVERAGE(AN110,AM110,AK110,AJ110)-0.25%</f>
        <v>-4.4433579541077184E-2</v>
      </c>
      <c r="AP110" s="177">
        <f>AVERAGE(AO110,AN110,AM110,AK110)-0.25%</f>
        <v>-4.5440388509358547E-2</v>
      </c>
      <c r="AQ110" s="147"/>
    </row>
    <row r="111" spans="1:43" outlineLevel="2" x14ac:dyDescent="0.25">
      <c r="A111" s="53"/>
      <c r="B111" s="127" t="s">
        <v>183</v>
      </c>
      <c r="C111" s="128"/>
      <c r="D111" s="130">
        <v>5.88</v>
      </c>
      <c r="E111" s="130">
        <v>5.59</v>
      </c>
      <c r="F111" s="130">
        <v>5.47</v>
      </c>
      <c r="G111" s="130">
        <v>5.6550000000000002</v>
      </c>
      <c r="H111" s="136"/>
      <c r="I111" s="130">
        <v>7.19</v>
      </c>
      <c r="J111" s="130">
        <v>6.81</v>
      </c>
      <c r="K111" s="130">
        <v>6.74</v>
      </c>
      <c r="L111" s="130">
        <v>6.9759900000000004</v>
      </c>
      <c r="M111" s="136"/>
      <c r="N111" s="130">
        <v>7.18</v>
      </c>
      <c r="O111" s="130">
        <v>7.24</v>
      </c>
      <c r="P111" s="130">
        <v>7.44</v>
      </c>
      <c r="Q111" s="130">
        <v>7.77</v>
      </c>
      <c r="R111" s="136"/>
      <c r="S111" s="130">
        <v>7.24</v>
      </c>
      <c r="T111" s="130">
        <v>7.15</v>
      </c>
      <c r="U111" s="130">
        <v>7.2140000000000004</v>
      </c>
      <c r="V111" s="130">
        <f>+Q111*(1+V112)</f>
        <v>7.4579755774368026</v>
      </c>
      <c r="W111" s="136"/>
      <c r="X111" s="130">
        <f>+S111*(1+X112)</f>
        <v>6.7429589395456615</v>
      </c>
      <c r="Y111" s="130">
        <f>+T111*(1+Y112)</f>
        <v>6.915969237454286</v>
      </c>
      <c r="Z111" s="130">
        <f>+U111*(1+Z112)</f>
        <v>7.0261780034808785</v>
      </c>
      <c r="AA111" s="130">
        <f>+V111*(1+AA112)</f>
        <v>7.2718944768847518</v>
      </c>
      <c r="AB111" s="136"/>
      <c r="AC111" s="130">
        <f>+X111*(1+AC112)</f>
        <v>6.4186731247428597</v>
      </c>
      <c r="AD111" s="130">
        <f>+Y111*(1+AD112)</f>
        <v>6.6189102634133583</v>
      </c>
      <c r="AE111" s="130">
        <f>+Z111*(1+AE112)</f>
        <v>6.7064315607483076</v>
      </c>
      <c r="AF111" s="130">
        <f>+AA111*(1+AF112)</f>
        <v>6.9055662105836833</v>
      </c>
      <c r="AG111" s="136"/>
      <c r="AH111" s="130">
        <f>+AC111*(1+AH112)</f>
        <v>6.102667553154677</v>
      </c>
      <c r="AI111" s="130">
        <f>+AD111*(1+AI112)</f>
        <v>6.2911606493017613</v>
      </c>
      <c r="AJ111" s="130">
        <f>+AE111*(1+AJ112)</f>
        <v>6.3633419815534893</v>
      </c>
      <c r="AK111" s="130">
        <f>+AF111*(1+AK112)</f>
        <v>6.5425344150975056</v>
      </c>
      <c r="AL111" s="136"/>
      <c r="AM111" s="130">
        <f>+AH111*(1+AM112)</f>
        <v>5.7784960353946575</v>
      </c>
      <c r="AN111" s="130">
        <f>+AI111*(1+AN112)</f>
        <v>5.9508623569040822</v>
      </c>
      <c r="AO111" s="130">
        <f>+AJ111*(1+AO112)</f>
        <v>6.0118622706195275</v>
      </c>
      <c r="AP111" s="130">
        <f>+AK111*(1+AP112)</f>
        <v>6.1744888609824127</v>
      </c>
      <c r="AQ111" s="136"/>
    </row>
    <row r="112" spans="1:43" outlineLevel="2" x14ac:dyDescent="0.25">
      <c r="A112" s="53"/>
      <c r="B112" s="145" t="s">
        <v>203</v>
      </c>
      <c r="C112" s="128"/>
      <c r="D112" s="146">
        <f>+D111/7.1-1</f>
        <v>-0.17183098591549295</v>
      </c>
      <c r="E112" s="146">
        <f>+E111/6.63-1</f>
        <v>-0.15686274509803921</v>
      </c>
      <c r="F112" s="146">
        <f>+F111/6.28-1</f>
        <v>-0.12898089171974525</v>
      </c>
      <c r="G112" s="146">
        <f>+G111/5.96-1</f>
        <v>-5.1174496644295298E-2</v>
      </c>
      <c r="H112" s="147"/>
      <c r="I112" s="146">
        <f>+I111/D111-1</f>
        <v>0.2227891156462587</v>
      </c>
      <c r="J112" s="146">
        <f>+J111/E111-1</f>
        <v>0.21824686940965998</v>
      </c>
      <c r="K112" s="146">
        <f>+K111/F111-1</f>
        <v>0.23217550274223053</v>
      </c>
      <c r="L112" s="146">
        <f>+L111/G111-1</f>
        <v>0.23359681697612733</v>
      </c>
      <c r="M112" s="147"/>
      <c r="N112" s="146">
        <f>+N111/I111-1</f>
        <v>-1.3908205841447474E-3</v>
      </c>
      <c r="O112" s="146">
        <f>+O111/J111-1</f>
        <v>6.3142437591776845E-2</v>
      </c>
      <c r="P112" s="146">
        <f>+P111/K111-1</f>
        <v>0.10385756676557856</v>
      </c>
      <c r="Q112" s="146">
        <f>+Q111/L111-1</f>
        <v>0.11382040398567073</v>
      </c>
      <c r="R112" s="147"/>
      <c r="S112" s="146">
        <f>+S111/N111-1</f>
        <v>8.3565459610028814E-3</v>
      </c>
      <c r="T112" s="146">
        <f>+T111/O111-1</f>
        <v>-1.2430939226519278E-2</v>
      </c>
      <c r="U112" s="146">
        <f>+U111/P111-1</f>
        <v>-3.0376344086021523E-2</v>
      </c>
      <c r="V112" s="142">
        <f>AVERAGE(U112,T112,S112,Q112)-6%</f>
        <v>-4.0157583341466796E-2</v>
      </c>
      <c r="W112" s="147"/>
      <c r="X112" s="142">
        <f>AVERAGE(V112,U112,T112,S112)-5%</f>
        <v>-6.8652080173251182E-2</v>
      </c>
      <c r="Y112" s="142">
        <f>AVERAGE(X112,V112,U112,T112)+0.517266152559589%</f>
        <v>-3.273157518121881E-2</v>
      </c>
      <c r="Z112" s="142">
        <f>AVERAGE(Y112,X112,V112,U112)+1.69436323853812%</f>
        <v>-2.603576331010838E-2</v>
      </c>
      <c r="AA112" s="142">
        <f>AVERAGE(Z112,Y112,X112,V112)+1.69436323853812%</f>
        <v>-2.4950618116130092E-2</v>
      </c>
      <c r="AB112" s="147"/>
      <c r="AC112" s="142">
        <f>AVERAGE(AA112,Z112,Y112,X112)-1%</f>
        <v>-4.8092509195177123E-2</v>
      </c>
      <c r="AD112" s="142">
        <f>AVERAGE(AC112,AA112,Z112,Y112)-1%</f>
        <v>-4.29526164506586E-2</v>
      </c>
      <c r="AE112" s="142">
        <f>AVERAGE(AD112,AC112,AA112,Z112)-1%</f>
        <v>-4.5507876768018547E-2</v>
      </c>
      <c r="AF112" s="142">
        <f>AVERAGE(AE112,AD112,AC112,AA112)-1%</f>
        <v>-5.0375905132496089E-2</v>
      </c>
      <c r="AG112" s="147"/>
      <c r="AH112" s="177">
        <f>AVERAGE(AF112,AE112,AD112,AC112)-0.25%</f>
        <v>-4.9232226886587592E-2</v>
      </c>
      <c r="AI112" s="177">
        <f>AVERAGE(AH112,AF112,AE112,AD112)-0.25%</f>
        <v>-4.9517156309440209E-2</v>
      </c>
      <c r="AJ112" s="177">
        <f>AVERAGE(AI112,AH112,AF112,AE112)-0.25%</f>
        <v>-5.1158291274135612E-2</v>
      </c>
      <c r="AK112" s="177">
        <f>AVERAGE(AJ112,AI112,AH112,AF112)-0.25%</f>
        <v>-5.2570894900664883E-2</v>
      </c>
      <c r="AL112" s="147"/>
      <c r="AM112" s="177">
        <f>AVERAGE(AK112,AJ112,AI112,AH112)-0.25%</f>
        <v>-5.311964234270708E-2</v>
      </c>
      <c r="AN112" s="177">
        <f>AVERAGE(AM112,AK112,AJ112,AI112)-0.25%</f>
        <v>-5.409149620673695E-2</v>
      </c>
      <c r="AO112" s="177">
        <f>AVERAGE(AN112,AM112,AK112,AJ112)-0.25%</f>
        <v>-5.523508118106113E-2</v>
      </c>
      <c r="AP112" s="177">
        <f>AVERAGE(AO112,AN112,AM112,AK112)-0.25%</f>
        <v>-5.6254278657792513E-2</v>
      </c>
      <c r="AQ112" s="147"/>
    </row>
    <row r="113" spans="1:43" ht="15.75" outlineLevel="2" thickBot="1" x14ac:dyDescent="0.3">
      <c r="A113" s="53"/>
      <c r="B113" s="135" t="s">
        <v>184</v>
      </c>
      <c r="C113" s="134"/>
      <c r="D113" s="149">
        <f>+D109*D111*D61/1000</f>
        <v>326.78100000000001</v>
      </c>
      <c r="E113" s="149">
        <f>+E109*E111*E61/1000</f>
        <v>335.97017999999997</v>
      </c>
      <c r="F113" s="149">
        <f>+F109*F111*F61/1000</f>
        <v>302.56758000000002</v>
      </c>
      <c r="G113" s="149">
        <f>+G109*G111*G61/1000</f>
        <v>319.23888750000003</v>
      </c>
      <c r="H113" s="138"/>
      <c r="I113" s="149">
        <f>+I109*I111*I61/1000</f>
        <v>1015.0842000000001</v>
      </c>
      <c r="J113" s="149">
        <f>+J109*J111*J61/1000</f>
        <v>1088.02008</v>
      </c>
      <c r="K113" s="149">
        <f>+K109*K111*K61/1000</f>
        <v>1032.5814800000001</v>
      </c>
      <c r="L113" s="149">
        <f>+L109*L111*L61/1000</f>
        <v>1090.3398075706502</v>
      </c>
      <c r="M113" s="138"/>
      <c r="N113" s="149">
        <f>+N109*N111*N61/1000</f>
        <v>1044.5679399999999</v>
      </c>
      <c r="O113" s="149">
        <f>+O109*O111*O61/1000</f>
        <v>1214.4195</v>
      </c>
      <c r="P113" s="149">
        <f>+P109*P111*P61/1000</f>
        <v>1127.8295999999998</v>
      </c>
      <c r="Q113" s="149">
        <f>+Q109*Q111*Q61/1000</f>
        <v>1200.5038499999998</v>
      </c>
      <c r="R113" s="138"/>
      <c r="S113" s="149">
        <f>+S109*S111*S61/1000</f>
        <v>1127.087</v>
      </c>
      <c r="T113" s="149">
        <f>+T109*T111*T61/1000</f>
        <v>1202.7014999999999</v>
      </c>
      <c r="U113" s="149">
        <f>+U109*U111*U61/1000</f>
        <v>1077.91588</v>
      </c>
      <c r="V113" s="149">
        <f>+V109*V111*V61/1000</f>
        <v>1096.7195476061247</v>
      </c>
      <c r="W113" s="138"/>
      <c r="X113" s="149">
        <f>+X109*X111*X61/1000</f>
        <v>999.93509275478061</v>
      </c>
      <c r="Y113" s="149">
        <f>+Y109*Y111*Y61/1000</f>
        <v>1138.1911199818455</v>
      </c>
      <c r="Z113" s="149">
        <f>+Z109*Z111*Z61/1000</f>
        <v>1033.1058881781014</v>
      </c>
      <c r="AA113" s="149">
        <f>+AA109*AA111*AA61/1000</f>
        <v>1051.8617417205762</v>
      </c>
      <c r="AB113" s="138"/>
      <c r="AC113" s="149">
        <f>+AC109*AC111*AC61/1000</f>
        <v>918.21188021399075</v>
      </c>
      <c r="AD113" s="149">
        <f>+AD109*AD111*AD61/1000</f>
        <v>1054.1022888988082</v>
      </c>
      <c r="AE113" s="149">
        <f>+AE109*AE111*AE61/1000</f>
        <v>951.58810460676909</v>
      </c>
      <c r="AF113" s="149">
        <f>+AF109*AF111*AF61/1000</f>
        <v>959.16817492093082</v>
      </c>
      <c r="AG113" s="138"/>
      <c r="AH113" s="149">
        <f>+AH109*AH111*AH61/1000</f>
        <v>839.74691339724143</v>
      </c>
      <c r="AI113" s="149">
        <f>+AI109*AI111*AI61/1000</f>
        <v>963.04418149711523</v>
      </c>
      <c r="AJ113" s="149">
        <f>+AJ109*AJ111*AJ61/1000</f>
        <v>866.42333351896934</v>
      </c>
      <c r="AK113" s="149">
        <f>+AK109*AK111*AK61/1000</f>
        <v>870.79430967091525</v>
      </c>
      <c r="AL113" s="138"/>
      <c r="AM113" s="149">
        <f>+AM109*AM111*AM61/1000</f>
        <v>761.53480334499113</v>
      </c>
      <c r="AN113" s="149">
        <f>+AN109*AN111*AN61/1000</f>
        <v>871.5034024741675</v>
      </c>
      <c r="AO113" s="149">
        <f>+AO109*AO111*AO61/1000</f>
        <v>782.194536428069</v>
      </c>
      <c r="AP113" s="149">
        <f>+AP109*AP111*AP61/1000</f>
        <v>784.4651107666383</v>
      </c>
      <c r="AQ113" s="138"/>
    </row>
    <row r="114" spans="1:43" ht="17.25" outlineLevel="1" x14ac:dyDescent="0.4">
      <c r="A114" s="53"/>
      <c r="B114" s="737" t="s">
        <v>185</v>
      </c>
      <c r="C114" s="738"/>
      <c r="D114" s="266"/>
      <c r="E114" s="266"/>
      <c r="F114" s="266"/>
      <c r="G114" s="266"/>
      <c r="H114" s="54"/>
      <c r="I114" s="266"/>
      <c r="J114" s="266"/>
      <c r="K114" s="266"/>
      <c r="L114" s="266"/>
      <c r="M114" s="54"/>
      <c r="N114" s="266"/>
      <c r="O114" s="266"/>
      <c r="P114" s="266"/>
      <c r="Q114" s="266"/>
      <c r="R114" s="50"/>
      <c r="S114" s="133"/>
      <c r="T114" s="133"/>
      <c r="U114" s="133"/>
      <c r="V114" s="133"/>
      <c r="W114" s="50"/>
      <c r="X114" s="133"/>
      <c r="Y114" s="133"/>
      <c r="Z114" s="133"/>
      <c r="AA114" s="133"/>
      <c r="AB114" s="50"/>
      <c r="AC114" s="133"/>
      <c r="AD114" s="133"/>
      <c r="AE114" s="133"/>
      <c r="AF114" s="133"/>
      <c r="AG114" s="50"/>
      <c r="AH114" s="133"/>
      <c r="AI114" s="133"/>
      <c r="AJ114" s="133"/>
      <c r="AK114" s="133"/>
      <c r="AL114" s="50"/>
      <c r="AM114" s="133"/>
      <c r="AN114" s="133"/>
      <c r="AO114" s="133"/>
      <c r="AP114" s="133"/>
      <c r="AQ114" s="50"/>
    </row>
    <row r="115" spans="1:43" outlineLevel="2" x14ac:dyDescent="0.25">
      <c r="A115" s="53"/>
      <c r="B115" s="123" t="s">
        <v>370</v>
      </c>
      <c r="C115" s="285"/>
      <c r="D115" s="262">
        <v>7277.5</v>
      </c>
      <c r="E115" s="262">
        <v>8212.5</v>
      </c>
      <c r="F115" s="262">
        <v>8340.4</v>
      </c>
      <c r="G115" s="262">
        <v>8885.4</v>
      </c>
      <c r="H115" s="54"/>
      <c r="I115" s="262">
        <v>8066.5</v>
      </c>
      <c r="J115" s="262">
        <v>8177.4</v>
      </c>
      <c r="K115" s="262">
        <v>8458.4</v>
      </c>
      <c r="L115" s="262">
        <v>8045.4</v>
      </c>
      <c r="M115" s="54"/>
      <c r="N115" s="262">
        <v>7727</v>
      </c>
      <c r="O115" s="262">
        <v>8474.5</v>
      </c>
      <c r="P115" s="262">
        <v>8757.4</v>
      </c>
      <c r="Q115" s="262">
        <v>8512</v>
      </c>
      <c r="R115" s="50"/>
      <c r="S115" s="262">
        <v>8309</v>
      </c>
      <c r="T115" s="124">
        <v>8917</v>
      </c>
      <c r="U115" s="124">
        <v>8905</v>
      </c>
      <c r="V115" s="124">
        <f>+Q115*(1+V116)</f>
        <v>8942.6773362260028</v>
      </c>
      <c r="W115" s="50"/>
      <c r="X115" s="124">
        <f>+S115*(1+X116)</f>
        <v>8714.0358824888772</v>
      </c>
      <c r="Y115" s="124">
        <f>+T115*(1+Y116)</f>
        <v>9158.6795132879142</v>
      </c>
      <c r="Z115" s="124">
        <f>+U115*(1+Z116)</f>
        <v>9090.4481531885413</v>
      </c>
      <c r="AA115" s="124">
        <f>+V115*(1+AA116)</f>
        <v>9137.7876431903987</v>
      </c>
      <c r="AB115" s="50"/>
      <c r="AC115" s="124">
        <f>+X115*(1+AC116)</f>
        <v>8972.1738024492097</v>
      </c>
      <c r="AD115" s="124">
        <f>+Y115*(1+AD116)</f>
        <v>9386.2029136243709</v>
      </c>
      <c r="AE115" s="124">
        <f>+Z115*(1+AE116)</f>
        <v>9311.13848718195</v>
      </c>
      <c r="AF115" s="124">
        <f>+AA115*(1+AF116)</f>
        <v>9367.5131476506049</v>
      </c>
      <c r="AG115" s="50"/>
      <c r="AH115" s="124">
        <f>+AC115*(1+AH116)</f>
        <v>9182.757334697746</v>
      </c>
      <c r="AI115" s="124">
        <f>+AD115*(1+AI116)</f>
        <v>9592.0668692196396</v>
      </c>
      <c r="AJ115" s="124">
        <f>+AE115*(1+AJ116)</f>
        <v>9508.5827718715464</v>
      </c>
      <c r="AK115" s="124">
        <f>+AF115*(1+AK116)</f>
        <v>9558.958624583538</v>
      </c>
      <c r="AL115" s="50"/>
      <c r="AM115" s="124">
        <f>+AH115*(1+AM116)</f>
        <v>9359.6303104664548</v>
      </c>
      <c r="AN115" s="124">
        <f>+AI115*(1+AN116)</f>
        <v>9766.7297243120593</v>
      </c>
      <c r="AO115" s="124">
        <f>+AJ115*(1+AO116)</f>
        <v>9672.8741120170507</v>
      </c>
      <c r="AP115" s="124">
        <f>+AK115*(1+AP116)</f>
        <v>9714.7359675246826</v>
      </c>
      <c r="AQ115" s="50"/>
    </row>
    <row r="116" spans="1:43" outlineLevel="2" x14ac:dyDescent="0.25">
      <c r="A116" s="53"/>
      <c r="B116" s="141" t="s">
        <v>204</v>
      </c>
      <c r="C116" s="285"/>
      <c r="D116" s="166">
        <f>+D115/7318-1</f>
        <v>-5.5342989887947613E-3</v>
      </c>
      <c r="E116" s="166">
        <f>+E115/8039-1</f>
        <v>2.1582286354024038E-2</v>
      </c>
      <c r="F116" s="166">
        <f>+F115/8145-1</f>
        <v>2.3990178023327147E-2</v>
      </c>
      <c r="G116" s="166">
        <f>+G115/7836-1</f>
        <v>0.13392036753445624</v>
      </c>
      <c r="H116" s="84"/>
      <c r="I116" s="166">
        <f>+I115/D115-1</f>
        <v>0.10841635176915143</v>
      </c>
      <c r="J116" s="166">
        <f>+J115/E115-1</f>
        <v>-4.2739726027397618E-3</v>
      </c>
      <c r="K116" s="166">
        <f>+K115/F115-1</f>
        <v>1.4148002493885148E-2</v>
      </c>
      <c r="L116" s="166">
        <f>+L115/G115-1</f>
        <v>-9.4537105814031963E-2</v>
      </c>
      <c r="M116" s="84"/>
      <c r="N116" s="166">
        <f>+N115/I115-1</f>
        <v>-4.2087646438976001E-2</v>
      </c>
      <c r="O116" s="166">
        <f>+O115/J115-1</f>
        <v>3.6331841416587185E-2</v>
      </c>
      <c r="P116" s="166">
        <f>+P115/K115-1</f>
        <v>3.5349475078028991E-2</v>
      </c>
      <c r="Q116" s="166">
        <f>+Q115/L115-1</f>
        <v>5.7995873418350996E-2</v>
      </c>
      <c r="R116" s="57"/>
      <c r="S116" s="166">
        <f>+S115/N115-1</f>
        <v>7.532030542254442E-2</v>
      </c>
      <c r="T116" s="166">
        <f>+T115/O115-1</f>
        <v>5.2215469939229431E-2</v>
      </c>
      <c r="U116" s="166">
        <f>+U115/P115-1</f>
        <v>1.685431749149302E-2</v>
      </c>
      <c r="V116" s="142">
        <f>AVERAGE(U116,T116,S116,Q116)</f>
        <v>5.0596491567904467E-2</v>
      </c>
      <c r="W116" s="57"/>
      <c r="X116" s="142">
        <f>AVERAGE(V116,U116,T116,S116)</f>
        <v>4.8746646105292835E-2</v>
      </c>
      <c r="Y116" s="142">
        <f>AVERAGE(X116,V116,U116,T116)-1.5%</f>
        <v>2.7103231275979939E-2</v>
      </c>
      <c r="Z116" s="142">
        <f>AVERAGE(Y116,X116,V116,U116)-1.5%</f>
        <v>2.0825171610167566E-2</v>
      </c>
      <c r="AA116" s="142">
        <f>AVERAGE(Z116,Y116,X116,V116)-1.5%</f>
        <v>2.18178851398362E-2</v>
      </c>
      <c r="AB116" s="57"/>
      <c r="AC116" s="142">
        <f>AVERAGE(AA116,Z116,Y116,X116)</f>
        <v>2.9623233532819135E-2</v>
      </c>
      <c r="AD116" s="142">
        <f>AVERAGE(AC116,AA116,Z116,Y116)</f>
        <v>2.484238038970071E-2</v>
      </c>
      <c r="AE116" s="142">
        <f>AVERAGE(AD116,AC116,AA116,Z116)</f>
        <v>2.42771676681309E-2</v>
      </c>
      <c r="AF116" s="142">
        <f>AVERAGE(AE116,AD116,AC116,AA116)</f>
        <v>2.5140166682621735E-2</v>
      </c>
      <c r="AG116" s="57"/>
      <c r="AH116" s="177">
        <f>AVERAGE(AF116,AE116,AD116,AC116)-0.25%</f>
        <v>2.347073706831812E-2</v>
      </c>
      <c r="AI116" s="177">
        <f>AVERAGE(AH116,AF116,AE116,AD116)-0.25%</f>
        <v>2.1932612952192867E-2</v>
      </c>
      <c r="AJ116" s="177">
        <f>AVERAGE(AI116,AH116,AF116,AE116)-0.25%</f>
        <v>2.1205171092815906E-2</v>
      </c>
      <c r="AK116" s="177">
        <f>AVERAGE(AJ116,AI116,AH116,AF116)-0.25%</f>
        <v>2.043717194898716E-2</v>
      </c>
      <c r="AL116" s="57"/>
      <c r="AM116" s="177">
        <f>AVERAGE(AK116,AJ116,AI116,AH116)-0.25%</f>
        <v>1.9261423265578514E-2</v>
      </c>
      <c r="AN116" s="177">
        <f>AVERAGE(AM116,AK116,AJ116,AI116)-0.25%</f>
        <v>1.8209094814893613E-2</v>
      </c>
      <c r="AO116" s="177">
        <f>AVERAGE(AN116,AM116,AK116,AJ116)-0.25%</f>
        <v>1.7278215280568797E-2</v>
      </c>
      <c r="AP116" s="177">
        <f>AVERAGE(AO116,AN116,AM116,AK116)-0.25%</f>
        <v>1.6296476327507022E-2</v>
      </c>
      <c r="AQ116" s="57"/>
    </row>
    <row r="117" spans="1:43" outlineLevel="2" x14ac:dyDescent="0.25">
      <c r="A117" s="53"/>
      <c r="B117" s="123" t="s">
        <v>186</v>
      </c>
      <c r="C117" s="285"/>
      <c r="D117" s="143">
        <v>1.212</v>
      </c>
      <c r="E117" s="143">
        <v>1.1180000000000001</v>
      </c>
      <c r="F117" s="143">
        <v>1.232</v>
      </c>
      <c r="G117" s="143">
        <v>1.1830000000000001</v>
      </c>
      <c r="H117" s="54"/>
      <c r="I117" s="143">
        <v>1.175</v>
      </c>
      <c r="J117" s="143">
        <v>1.19</v>
      </c>
      <c r="K117" s="143">
        <v>1.272</v>
      </c>
      <c r="L117" s="143">
        <v>1.21</v>
      </c>
      <c r="M117" s="54"/>
      <c r="N117" s="143">
        <v>1.22</v>
      </c>
      <c r="O117" s="143">
        <v>1.2889999999999999</v>
      </c>
      <c r="P117" s="143">
        <v>1.361</v>
      </c>
      <c r="Q117" s="143">
        <v>1.367</v>
      </c>
      <c r="R117" s="50"/>
      <c r="S117" s="143">
        <v>1.35</v>
      </c>
      <c r="T117" s="143">
        <v>1.41</v>
      </c>
      <c r="U117" s="143">
        <v>1.399</v>
      </c>
      <c r="V117" s="143">
        <f>+Q117*(1+V118)</f>
        <v>1.4893811219224433</v>
      </c>
      <c r="W117" s="50"/>
      <c r="X117" s="143">
        <f>+S117*(1+X118)</f>
        <v>1.4572826668916004</v>
      </c>
      <c r="Y117" s="143">
        <f>+T117*(1+Y118)</f>
        <v>1.491352006365309</v>
      </c>
      <c r="Z117" s="143">
        <f>+U117*(1+Z118)</f>
        <v>1.4670652231584711</v>
      </c>
      <c r="AA117" s="143">
        <f>+V117*(1+AA118)</f>
        <v>1.5695631446414948</v>
      </c>
      <c r="AB117" s="50"/>
      <c r="AC117" s="143">
        <f>+X117*(1+AC118)</f>
        <v>1.544593451028937</v>
      </c>
      <c r="AD117" s="143">
        <f>+Y117*(1+AD118)</f>
        <v>1.5734130699909583</v>
      </c>
      <c r="AE117" s="143">
        <f>+Z117*(1+AE118)</f>
        <v>1.5468099722903927</v>
      </c>
      <c r="AF117" s="143">
        <f>+AA117*(1+AF118)</f>
        <v>1.6571174873718368</v>
      </c>
      <c r="AG117" s="50"/>
      <c r="AH117" s="143">
        <f>+AC117*(1+AH118)</f>
        <v>1.6276451965430436</v>
      </c>
      <c r="AI117" s="143">
        <f>+AD117*(1+AI118)</f>
        <v>1.6555976278140452</v>
      </c>
      <c r="AJ117" s="143">
        <f>+AE117*(1+AJ118)</f>
        <v>1.6265255559177547</v>
      </c>
      <c r="AK117" s="143">
        <f>+AF117*(1+AK118)</f>
        <v>1.7413490660394142</v>
      </c>
      <c r="AL117" s="50"/>
      <c r="AM117" s="143">
        <f>+AH117*(1+AM118)</f>
        <v>1.7083634896769266</v>
      </c>
      <c r="AN117" s="143">
        <f>+AI117*(1+AN118)</f>
        <v>1.735973176600309</v>
      </c>
      <c r="AO117" s="143">
        <f>+AJ117*(1+AO118)</f>
        <v>1.7039910625376449</v>
      </c>
      <c r="AP117" s="143">
        <f>+AK117*(1+AP118)</f>
        <v>1.8225814209577273</v>
      </c>
      <c r="AQ117" s="50"/>
    </row>
    <row r="118" spans="1:43" outlineLevel="2" x14ac:dyDescent="0.25">
      <c r="A118" s="53"/>
      <c r="B118" s="141" t="s">
        <v>203</v>
      </c>
      <c r="C118" s="285"/>
      <c r="D118" s="166">
        <f>+D117/1.24-1</f>
        <v>-2.2580645161290325E-2</v>
      </c>
      <c r="E118" s="166">
        <f>+E117/1.16-1</f>
        <v>-3.6206896551723933E-2</v>
      </c>
      <c r="F118" s="166">
        <f>+F117/1.13-1</f>
        <v>9.0265486725663813E-2</v>
      </c>
      <c r="G118" s="166">
        <f>+G117/1.11-1</f>
        <v>6.576576576576576E-2</v>
      </c>
      <c r="H118" s="84"/>
      <c r="I118" s="166">
        <f>+I117/D117-1</f>
        <v>-3.0528052805280481E-2</v>
      </c>
      <c r="J118" s="166">
        <f>+J117/E117-1</f>
        <v>6.4400715563506017E-2</v>
      </c>
      <c r="K118" s="166">
        <f>+K117/F117-1</f>
        <v>3.2467532467532534E-2</v>
      </c>
      <c r="L118" s="166">
        <f>+L117/G117-1</f>
        <v>2.2823330515638229E-2</v>
      </c>
      <c r="M118" s="84"/>
      <c r="N118" s="166">
        <f>+N117/I117-1</f>
        <v>3.8297872340425476E-2</v>
      </c>
      <c r="O118" s="166">
        <f>+O117/J117-1</f>
        <v>8.3193277310924296E-2</v>
      </c>
      <c r="P118" s="166">
        <f>+P117/K117-1</f>
        <v>6.9968553459119454E-2</v>
      </c>
      <c r="Q118" s="166">
        <f>+Q117/L117-1</f>
        <v>0.12975206611570256</v>
      </c>
      <c r="R118" s="57"/>
      <c r="S118" s="166">
        <f>+S117/N117-1</f>
        <v>0.10655737704918034</v>
      </c>
      <c r="T118" s="166">
        <f>+T117/O117-1</f>
        <v>9.3871217998448442E-2</v>
      </c>
      <c r="U118" s="166">
        <f>+U117/P117-1</f>
        <v>2.7920646583394548E-2</v>
      </c>
      <c r="V118" s="142">
        <f>AVERAGE(U118,T118,S118,Q118)</f>
        <v>8.9525326936681471E-2</v>
      </c>
      <c r="W118" s="57"/>
      <c r="X118" s="142">
        <f>AVERAGE(V118,U118,T118,S118)</f>
        <v>7.9468642141926199E-2</v>
      </c>
      <c r="Y118" s="142">
        <f>AVERAGE(X118,V118,U118,T118)-1.5%</f>
        <v>5.7696458415112659E-2</v>
      </c>
      <c r="Z118" s="142">
        <f>AVERAGE(Y118,X118,V118,U118)-1.5%</f>
        <v>4.8652768519278716E-2</v>
      </c>
      <c r="AA118" s="142">
        <f>AVERAGE(Z118,Y118,X118,V118)-1.5%</f>
        <v>5.3835799003249765E-2</v>
      </c>
      <c r="AB118" s="57"/>
      <c r="AC118" s="142">
        <f>AVERAGE(AA118,Z118,Y118,X118)</f>
        <v>5.9913417019891835E-2</v>
      </c>
      <c r="AD118" s="142">
        <f>AVERAGE(AC118,AA118,Z118,Y118)</f>
        <v>5.5024610739383251E-2</v>
      </c>
      <c r="AE118" s="142">
        <f>AVERAGE(AD118,AC118,AA118,Z118)</f>
        <v>5.4356648820450888E-2</v>
      </c>
      <c r="AF118" s="142">
        <f>AVERAGE(AE118,AD118,AC118,AA118)</f>
        <v>5.578261889574393E-2</v>
      </c>
      <c r="AG118" s="57"/>
      <c r="AH118" s="177">
        <f>AVERAGE(AF118,AE118,AD118,AC118)-0.25%</f>
        <v>5.3769323868867472E-2</v>
      </c>
      <c r="AI118" s="177">
        <f>AVERAGE(AH118,AF118,AE118,AD118)-0.25%</f>
        <v>5.2233300581111385E-2</v>
      </c>
      <c r="AJ118" s="177">
        <f>AVERAGE(AI118,AH118,AF118,AE118)-0.25%</f>
        <v>5.1535473041543413E-2</v>
      </c>
      <c r="AK118" s="177">
        <f>AVERAGE(AJ118,AI118,AH118,AF118)-0.25%</f>
        <v>5.0830179096816544E-2</v>
      </c>
      <c r="AL118" s="57"/>
      <c r="AM118" s="177">
        <f>AVERAGE(AK118,AJ118,AI118,AH118)-0.25%</f>
        <v>4.9592069147084708E-2</v>
      </c>
      <c r="AN118" s="177">
        <f>AVERAGE(AM118,AK118,AJ118,AI118)-0.25%</f>
        <v>4.854775546663901E-2</v>
      </c>
      <c r="AO118" s="177">
        <f>AVERAGE(AN118,AM118,AK118,AJ118)-0.25%</f>
        <v>4.7626369188020913E-2</v>
      </c>
      <c r="AP118" s="177">
        <f>AVERAGE(AO118,AN118,AM118,AK118)-0.25%</f>
        <v>4.6649093224640295E-2</v>
      </c>
      <c r="AQ118" s="57"/>
    </row>
    <row r="119" spans="1:43" outlineLevel="2" x14ac:dyDescent="0.25">
      <c r="A119" s="53"/>
      <c r="B119" s="119" t="s">
        <v>187</v>
      </c>
      <c r="C119" s="120"/>
      <c r="D119" s="144">
        <f>+D115*D117*D61/1000</f>
        <v>573.32144999999991</v>
      </c>
      <c r="E119" s="144">
        <f>+E115*E117*E61/1000</f>
        <v>578.43922500000008</v>
      </c>
      <c r="F119" s="144">
        <f>+F115*F117*F61/1000</f>
        <v>647.34848639999996</v>
      </c>
      <c r="G119" s="144">
        <f>+G115*G117*G61/1000</f>
        <v>683.24283300000002</v>
      </c>
      <c r="H119" s="56"/>
      <c r="I119" s="144">
        <f>+I115*I117*I61/1000</f>
        <v>616.07893750000005</v>
      </c>
      <c r="J119" s="144">
        <f>+J115*J117*J61/1000</f>
        <v>613.05967799999996</v>
      </c>
      <c r="K119" s="144">
        <f>+K115*K117*K61/1000</f>
        <v>667.06325760000004</v>
      </c>
      <c r="L119" s="144">
        <f>+L115*L117*L61/1000</f>
        <v>632.77071000000001</v>
      </c>
      <c r="M119" s="56"/>
      <c r="N119" s="144">
        <f>+N115*N117*N61/1000</f>
        <v>612.75109999999995</v>
      </c>
      <c r="O119" s="144">
        <f>+O115*O117*O61/1000</f>
        <v>688.18872149999993</v>
      </c>
      <c r="P119" s="144">
        <f>+P115*P117*P61/1000</f>
        <v>738.9669267999999</v>
      </c>
      <c r="Q119" s="144">
        <f>+Q115*Q117*Q61/1000</f>
        <v>756.33375999999998</v>
      </c>
      <c r="R119" s="51"/>
      <c r="S119" s="144">
        <f>+S115*S117*S61/1000</f>
        <v>729.11475000000007</v>
      </c>
      <c r="T119" s="144">
        <f>+T115*T117*T61/1000</f>
        <v>792.09710999999993</v>
      </c>
      <c r="U119" s="144">
        <f>+U115*U117*U61/1000</f>
        <v>772.40188999999998</v>
      </c>
      <c r="V119" s="144">
        <f>+V115*V117*V61/1000</f>
        <v>865.73856226121495</v>
      </c>
      <c r="W119" s="51"/>
      <c r="X119" s="144">
        <f>+X115*X117*X61/1000</f>
        <v>825.42287426446194</v>
      </c>
      <c r="Y119" s="144">
        <f>+Y115*Y117*Y61/1000</f>
        <v>860.50534927132321</v>
      </c>
      <c r="Z119" s="144">
        <f>+Z115*Z117*Z61/1000</f>
        <v>826.84938160501963</v>
      </c>
      <c r="AA119" s="144">
        <f>+AA115*AA117*AA61/1000</f>
        <v>932.25175604028743</v>
      </c>
      <c r="AB119" s="51"/>
      <c r="AC119" s="144">
        <f>+AC115*AC117*AC61/1000</f>
        <v>900.79345828916894</v>
      </c>
      <c r="AD119" s="144">
        <f>+AD115*AD117*AD61/1000</f>
        <v>930.40758353867932</v>
      </c>
      <c r="AE119" s="144">
        <f>+AE115*AE117*AE61/1000</f>
        <v>892.95883565169515</v>
      </c>
      <c r="AF119" s="144">
        <f>+AF115*AF117*AF61/1000</f>
        <v>1008.999540260232</v>
      </c>
      <c r="AG119" s="51"/>
      <c r="AH119" s="144">
        <f>+AH115*AH117*AH61/1000</f>
        <v>971.50760634467724</v>
      </c>
      <c r="AI119" s="144">
        <f>+AI115*AI117*AI61/1000</f>
        <v>1000.477998734365</v>
      </c>
      <c r="AJ119" s="144">
        <f>+AJ115*AJ117*AJ61/1000</f>
        <v>958.88907849851773</v>
      </c>
      <c r="AK119" s="144">
        <f>+AK115*AK117*AK61/1000</f>
        <v>1081.9564387598166</v>
      </c>
      <c r="AL119" s="51"/>
      <c r="AM119" s="144">
        <f>+AM115*AM117*AM61/1000</f>
        <v>1039.3272954528366</v>
      </c>
      <c r="AN119" s="144">
        <f>+AN115*AN117*AN61/1000</f>
        <v>1068.1511919441718</v>
      </c>
      <c r="AO119" s="144">
        <f>+AO115*AO117*AO61/1000</f>
        <v>1021.9144442275863</v>
      </c>
      <c r="AP119" s="144">
        <f>+AP115*AP117*AP61/1000</f>
        <v>1150.8833234548183</v>
      </c>
      <c r="AQ119" s="51"/>
    </row>
    <row r="120" spans="1:43" ht="17.25" outlineLevel="1" x14ac:dyDescent="0.4">
      <c r="A120" s="53"/>
      <c r="B120" s="735" t="s">
        <v>188</v>
      </c>
      <c r="C120" s="736"/>
      <c r="D120" s="126"/>
      <c r="E120" s="126"/>
      <c r="F120" s="126"/>
      <c r="G120" s="126"/>
      <c r="H120" s="136"/>
      <c r="I120" s="126"/>
      <c r="J120" s="126"/>
      <c r="K120" s="126"/>
      <c r="L120" s="126"/>
      <c r="M120" s="136"/>
      <c r="N120" s="126"/>
      <c r="O120" s="126"/>
      <c r="P120" s="126"/>
      <c r="Q120" s="126"/>
      <c r="R120" s="136"/>
      <c r="S120" s="126"/>
      <c r="T120" s="126"/>
      <c r="U120" s="126"/>
      <c r="V120" s="126"/>
      <c r="W120" s="136"/>
      <c r="X120" s="126"/>
      <c r="Y120" s="126"/>
      <c r="Z120" s="126"/>
      <c r="AA120" s="126"/>
      <c r="AB120" s="136"/>
      <c r="AC120" s="126"/>
      <c r="AD120" s="126"/>
      <c r="AE120" s="126"/>
      <c r="AF120" s="126"/>
      <c r="AG120" s="136"/>
      <c r="AH120" s="126"/>
      <c r="AI120" s="126"/>
      <c r="AJ120" s="126"/>
      <c r="AK120" s="126"/>
      <c r="AL120" s="136"/>
      <c r="AM120" s="126"/>
      <c r="AN120" s="126"/>
      <c r="AO120" s="126"/>
      <c r="AP120" s="126"/>
      <c r="AQ120" s="136"/>
    </row>
    <row r="121" spans="1:43" outlineLevel="2" x14ac:dyDescent="0.25">
      <c r="A121" s="53"/>
      <c r="B121" s="127" t="s">
        <v>371</v>
      </c>
      <c r="C121" s="128"/>
      <c r="D121" s="129">
        <v>1701.4</v>
      </c>
      <c r="E121" s="129">
        <v>1762.5</v>
      </c>
      <c r="F121" s="129">
        <v>1621</v>
      </c>
      <c r="G121" s="129">
        <v>1722</v>
      </c>
      <c r="H121" s="136"/>
      <c r="I121" s="129">
        <v>4793</v>
      </c>
      <c r="J121" s="129">
        <v>5417.4</v>
      </c>
      <c r="K121" s="129">
        <v>5238</v>
      </c>
      <c r="L121" s="129">
        <v>5409.4</v>
      </c>
      <c r="M121" s="136"/>
      <c r="N121" s="129">
        <v>4905.5</v>
      </c>
      <c r="O121" s="129">
        <v>5706</v>
      </c>
      <c r="P121" s="129">
        <v>5430</v>
      </c>
      <c r="Q121" s="129">
        <v>5515</v>
      </c>
      <c r="R121" s="136"/>
      <c r="S121" s="129">
        <v>5315</v>
      </c>
      <c r="T121" s="129">
        <v>5684.4</v>
      </c>
      <c r="U121" s="129">
        <v>5030</v>
      </c>
      <c r="V121" s="129">
        <f>+Q121*(1+V122)</f>
        <v>5219.3256680759769</v>
      </c>
      <c r="W121" s="136"/>
      <c r="X121" s="129">
        <f>+S121*(1+X122)</f>
        <v>4986.0209824414369</v>
      </c>
      <c r="Y121" s="129">
        <f>+T121*(1+Y122)</f>
        <v>5424.3963948282344</v>
      </c>
      <c r="Z121" s="129">
        <f>+U121*(1+Z122)</f>
        <v>4810.0459434648201</v>
      </c>
      <c r="AA121" s="129">
        <f>+V121*(1+AA122)</f>
        <v>5030.1546301532153</v>
      </c>
      <c r="AB121" s="136"/>
      <c r="AC121" s="129">
        <f>+X121*(1+AC122)</f>
        <v>4702.3052073953368</v>
      </c>
      <c r="AD121" s="129">
        <f>+Y121*(1+AD122)</f>
        <v>5122.5085593441718</v>
      </c>
      <c r="AE121" s="129">
        <f>+Z121*(1+AE122)</f>
        <v>4530.4274541124751</v>
      </c>
      <c r="AF121" s="129">
        <f>+AA121*(1+AF122)</f>
        <v>4719.6274739139835</v>
      </c>
      <c r="AG121" s="136"/>
      <c r="AH121" s="129">
        <f>+AC121*(1+AH122)</f>
        <v>4417.3205047692027</v>
      </c>
      <c r="AI121" s="129">
        <f>+AD121*(1+AI122)</f>
        <v>4807.3150398886501</v>
      </c>
      <c r="AJ121" s="129">
        <f>+AE121*(1+AJ122)</f>
        <v>4245.0085819373544</v>
      </c>
      <c r="AK121" s="129">
        <f>+AF121*(1+AK122)</f>
        <v>4416.5448472260696</v>
      </c>
      <c r="AL121" s="136"/>
      <c r="AM121" s="129">
        <f>+AH121*(1+AM122)</f>
        <v>4130.9077124916812</v>
      </c>
      <c r="AN121" s="129">
        <f>+AI121*(1+AN122)</f>
        <v>4490.5278985721307</v>
      </c>
      <c r="AO121" s="129">
        <f>+AJ121*(1+AO122)</f>
        <v>3960.6424663390635</v>
      </c>
      <c r="AP121" s="129">
        <f>+AK121*(1+AP122)</f>
        <v>4116.284593539408</v>
      </c>
      <c r="AQ121" s="136"/>
    </row>
    <row r="122" spans="1:43" outlineLevel="2" x14ac:dyDescent="0.25">
      <c r="A122" s="53"/>
      <c r="B122" s="145" t="s">
        <v>204</v>
      </c>
      <c r="C122" s="128"/>
      <c r="D122" s="146">
        <f>+D121/1733-1</f>
        <v>-1.8234275822273438E-2</v>
      </c>
      <c r="E122" s="146">
        <f>+E121/1922-1</f>
        <v>-8.29864724245577E-2</v>
      </c>
      <c r="F122" s="146">
        <f>+F121/1875-1</f>
        <v>-0.13546666666666662</v>
      </c>
      <c r="G122" s="146">
        <f>+G121/1989-1</f>
        <v>-0.13423831070889891</v>
      </c>
      <c r="H122" s="147"/>
      <c r="I122" s="146">
        <f>+I121/D121-1</f>
        <v>1.8170918067473845</v>
      </c>
      <c r="J122" s="146">
        <f>+J121/E121-1</f>
        <v>2.0737021276595744</v>
      </c>
      <c r="K122" s="146">
        <f>+K121/F121-1</f>
        <v>2.231338679827267</v>
      </c>
      <c r="L122" s="146">
        <f>+L121/G121-1</f>
        <v>2.141347270615563</v>
      </c>
      <c r="M122" s="147"/>
      <c r="N122" s="146">
        <f>+N121/I121-1</f>
        <v>2.3471729605675007E-2</v>
      </c>
      <c r="O122" s="146">
        <f>+O121/J121-1</f>
        <v>5.3272787684129019E-2</v>
      </c>
      <c r="P122" s="146">
        <f>+P121/K121-1</f>
        <v>3.6655211912943964E-2</v>
      </c>
      <c r="Q122" s="146">
        <f>+Q121/L121-1</f>
        <v>1.9521573557141236E-2</v>
      </c>
      <c r="R122" s="147"/>
      <c r="S122" s="146">
        <f>+S121/N121-1</f>
        <v>8.347772907960449E-2</v>
      </c>
      <c r="T122" s="146">
        <f>+T121/O121-1</f>
        <v>-3.7854889589905572E-3</v>
      </c>
      <c r="U122" s="146">
        <f>+U121/P121-1</f>
        <v>-7.366482504604055E-2</v>
      </c>
      <c r="V122" s="142">
        <f>AVERAGE(U122,T122,S122,Q122)-6%</f>
        <v>-5.3612752842071343E-2</v>
      </c>
      <c r="W122" s="147"/>
      <c r="X122" s="142">
        <f>AVERAGE(V122,U122,T122,S122)-5%</f>
        <v>-6.1896334441874493E-2</v>
      </c>
      <c r="Y122" s="142">
        <f>AVERAGE(X122,V122,U122,T122)+0.25%</f>
        <v>-4.573985032224423E-2</v>
      </c>
      <c r="Z122" s="142">
        <f>AVERAGE(Y122,X122,V122,U122)+1.5%</f>
        <v>-4.3728440663057658E-2</v>
      </c>
      <c r="AA122" s="142">
        <f>AVERAGE(Z122,Y122,X122,V122)+1.5%</f>
        <v>-3.6244344567311931E-2</v>
      </c>
      <c r="AB122" s="147"/>
      <c r="AC122" s="142">
        <f>AVERAGE(AA122,Z122,Y122,X122)-1%</f>
        <v>-5.6902242498622073E-2</v>
      </c>
      <c r="AD122" s="142">
        <f>AVERAGE(AC122,AA122,Z122,Y122)-1%</f>
        <v>-5.565371951280898E-2</v>
      </c>
      <c r="AE122" s="142">
        <f>AVERAGE(AD122,AC122,AA122,Z122)-1%</f>
        <v>-5.8132186810450161E-2</v>
      </c>
      <c r="AF122" s="142">
        <f>AVERAGE(AE122,AD122,AC122,AA122)-1%</f>
        <v>-6.1733123347298288E-2</v>
      </c>
      <c r="AG122" s="147"/>
      <c r="AH122" s="177">
        <f>AVERAGE(AF122,AE122,AD122,AC122)-0.25%</f>
        <v>-6.0605318042294881E-2</v>
      </c>
      <c r="AI122" s="177">
        <f>AVERAGE(AH122,AF122,AE122,AD122)-0.25%</f>
        <v>-6.1531086928213082E-2</v>
      </c>
      <c r="AJ122" s="177">
        <f>AVERAGE(AI122,AH122,AF122,AE122)-0.25%</f>
        <v>-6.3000428782064091E-2</v>
      </c>
      <c r="AK122" s="177">
        <f>AVERAGE(AJ122,AI122,AH122,AF122)-0.25%</f>
        <v>-6.4217489274967593E-2</v>
      </c>
      <c r="AL122" s="147"/>
      <c r="AM122" s="177">
        <f>AVERAGE(AK122,AJ122,AI122,AH122)-0.25%</f>
        <v>-6.4838580756884909E-2</v>
      </c>
      <c r="AN122" s="177">
        <f>AVERAGE(AM122,AK122,AJ122,AI122)-0.25%</f>
        <v>-6.5896896435532412E-2</v>
      </c>
      <c r="AO122" s="177">
        <f>AVERAGE(AN122,AM122,AK122,AJ122)-0.25%</f>
        <v>-6.698834881236225E-2</v>
      </c>
      <c r="AP122" s="177">
        <f>AVERAGE(AO122,AN122,AM122,AK122)-0.25%</f>
        <v>-6.7985328819936797E-2</v>
      </c>
      <c r="AQ122" s="147"/>
    </row>
    <row r="123" spans="1:43" outlineLevel="2" x14ac:dyDescent="0.25">
      <c r="A123" s="53"/>
      <c r="B123" s="127" t="s">
        <v>189</v>
      </c>
      <c r="C123" s="128"/>
      <c r="D123" s="130">
        <v>2.2839999999999998</v>
      </c>
      <c r="E123" s="130">
        <v>2.31</v>
      </c>
      <c r="F123" s="130">
        <v>2.29</v>
      </c>
      <c r="G123" s="130">
        <v>2.29</v>
      </c>
      <c r="H123" s="136"/>
      <c r="I123" s="130">
        <v>1.44</v>
      </c>
      <c r="J123" s="130">
        <v>1.39</v>
      </c>
      <c r="K123" s="130">
        <v>1.45</v>
      </c>
      <c r="L123" s="130">
        <v>1.46</v>
      </c>
      <c r="M123" s="136"/>
      <c r="N123" s="130">
        <v>1.4750000000000001</v>
      </c>
      <c r="O123" s="130">
        <v>1.5589999999999999</v>
      </c>
      <c r="P123" s="130">
        <v>1.637</v>
      </c>
      <c r="Q123" s="130">
        <v>1.67</v>
      </c>
      <c r="R123" s="136"/>
      <c r="S123" s="130">
        <v>1.595</v>
      </c>
      <c r="T123" s="130">
        <v>1.5740000000000001</v>
      </c>
      <c r="U123" s="130">
        <v>1.53</v>
      </c>
      <c r="V123" s="130">
        <f>+Q123*(1+V124)</f>
        <v>1.640545221008084</v>
      </c>
      <c r="W123" s="136"/>
      <c r="X123" s="130">
        <f>+S123*(1+X124)</f>
        <v>1.5184305984750661</v>
      </c>
      <c r="Y123" s="130">
        <f>+T123*(1+Y124)</f>
        <v>1.53016984349909</v>
      </c>
      <c r="Z123" s="130">
        <f>+U123*(1+Z124)</f>
        <v>1.4921886099338117</v>
      </c>
      <c r="AA123" s="130">
        <f>+V123*(1+AA124)</f>
        <v>1.6166739901900837</v>
      </c>
      <c r="AB123" s="136"/>
      <c r="AC123" s="130">
        <f>+X123*(1+AC124)</f>
        <v>1.4595472403697372</v>
      </c>
      <c r="AD123" s="130">
        <f>+Y123*(1+AD124)</f>
        <v>1.474360892275965</v>
      </c>
      <c r="AE123" s="130">
        <f>+Z123*(1+AE124)</f>
        <v>1.4345470058106469</v>
      </c>
      <c r="AF123" s="130">
        <f>+AA123*(1+AF124)</f>
        <v>1.5485994166321129</v>
      </c>
      <c r="AG123" s="136"/>
      <c r="AH123" s="130">
        <f>+AC123*(1+AH124)</f>
        <v>1.3989803452772926</v>
      </c>
      <c r="AI123" s="130">
        <f>+AD123*(1+AI124)</f>
        <v>1.4121774637078004</v>
      </c>
      <c r="AJ123" s="130">
        <f>+AE123*(1+AJ124)</f>
        <v>1.3719970740943339</v>
      </c>
      <c r="AK123" s="130">
        <f>+AF123*(1+AK124)</f>
        <v>1.4791509525321178</v>
      </c>
      <c r="AL123" s="136"/>
      <c r="AM123" s="130">
        <f>+AH123*(1+AM124)</f>
        <v>1.3352840268455208</v>
      </c>
      <c r="AN123" s="130">
        <f>+AI123*(1+AN124)</f>
        <v>1.3464562732547916</v>
      </c>
      <c r="AO123" s="130">
        <f>+AJ123*(1+AO124)</f>
        <v>1.3066495445548696</v>
      </c>
      <c r="AP123" s="130">
        <f>+AK123*(1+AP124)</f>
        <v>1.4072106286106936</v>
      </c>
      <c r="AQ123" s="136"/>
    </row>
    <row r="124" spans="1:43" outlineLevel="2" x14ac:dyDescent="0.25">
      <c r="A124" s="53"/>
      <c r="B124" s="145" t="s">
        <v>203</v>
      </c>
      <c r="C124" s="128"/>
      <c r="D124" s="146">
        <f>+D123/2.47-1</f>
        <v>-7.5303643724696556E-2</v>
      </c>
      <c r="E124" s="146">
        <f>+E123/2.43-1</f>
        <v>-4.9382716049382713E-2</v>
      </c>
      <c r="F124" s="146">
        <f>+F123/2.31-1</f>
        <v>-8.6580086580086979E-3</v>
      </c>
      <c r="G124" s="146">
        <f>+G123/2.34-1</f>
        <v>-2.1367521367521292E-2</v>
      </c>
      <c r="H124" s="147"/>
      <c r="I124" s="146">
        <f>+I123/D123-1</f>
        <v>-0.3695271453590192</v>
      </c>
      <c r="J124" s="146">
        <f>+J123/E123-1</f>
        <v>-0.39826839826839833</v>
      </c>
      <c r="K124" s="146">
        <f>+K123/F123-1</f>
        <v>-0.36681222707423589</v>
      </c>
      <c r="L124" s="146">
        <f>+L123/G123-1</f>
        <v>-0.36244541484716164</v>
      </c>
      <c r="M124" s="147"/>
      <c r="N124" s="146">
        <f>+N123/I123-1</f>
        <v>2.430555555555558E-2</v>
      </c>
      <c r="O124" s="146">
        <f>+O123/J123-1</f>
        <v>0.12158273381294959</v>
      </c>
      <c r="P124" s="146">
        <f>+P123/K123-1</f>
        <v>0.12896551724137928</v>
      </c>
      <c r="Q124" s="146">
        <f>+Q123/L123-1</f>
        <v>0.14383561643835607</v>
      </c>
      <c r="R124" s="147"/>
      <c r="S124" s="146">
        <f>+S123/N123-1</f>
        <v>8.1355932203389658E-2</v>
      </c>
      <c r="T124" s="146">
        <f>+T123/O123-1</f>
        <v>9.6215522771008199E-3</v>
      </c>
      <c r="U124" s="146">
        <f>+U123/P123-1</f>
        <v>-6.536346976175933E-2</v>
      </c>
      <c r="V124" s="142">
        <f>AVERAGE(U124,T124,S124,Q124)-6%</f>
        <v>-1.7637592210728192E-2</v>
      </c>
      <c r="W124" s="147"/>
      <c r="X124" s="142">
        <f>AVERAGE(V124,U124,T124,S124)-5%</f>
        <v>-4.8005894372999264E-2</v>
      </c>
      <c r="Y124" s="142">
        <f>AVERAGE(X124,V124,U124,T124)+0.25%</f>
        <v>-2.7846351017096493E-2</v>
      </c>
      <c r="Z124" s="142">
        <f>AVERAGE(Y124,X124,V124,U124)+1.5%</f>
        <v>-2.4713326840645825E-2</v>
      </c>
      <c r="AA124" s="142">
        <f>AVERAGE(Z124,Y124,X124,V124)+1.5%</f>
        <v>-1.4550791110367445E-2</v>
      </c>
      <c r="AB124" s="147"/>
      <c r="AC124" s="142">
        <f>AVERAGE(AA124,Z124,Y124,X124)-1%</f>
        <v>-3.8779090835277259E-2</v>
      </c>
      <c r="AD124" s="142">
        <f>AVERAGE(AC124,AA124,Z124,Y124)-1%</f>
        <v>-3.6472389950846756E-2</v>
      </c>
      <c r="AE124" s="142">
        <f>AVERAGE(AD124,AC124,AA124,Z124)-1%</f>
        <v>-3.8628899684284318E-2</v>
      </c>
      <c r="AF124" s="142">
        <f>AVERAGE(AE124,AD124,AC124,AA124)-1%</f>
        <v>-4.2107792895193945E-2</v>
      </c>
      <c r="AG124" s="147"/>
      <c r="AH124" s="177">
        <f>AVERAGE(AF124,AE124,AD124,AC124)-0.25%</f>
        <v>-4.1497043341400572E-2</v>
      </c>
      <c r="AI124" s="177">
        <f>AVERAGE(AH124,AF124,AE124,AD124)-0.25%</f>
        <v>-4.2176531467931398E-2</v>
      </c>
      <c r="AJ124" s="177">
        <f>AVERAGE(AI124,AH124,AF124,AE124)-0.25%</f>
        <v>-4.360256684720256E-2</v>
      </c>
      <c r="AK124" s="177">
        <f>AVERAGE(AJ124,AI124,AH124,AF124)-0.25%</f>
        <v>-4.4845983637932123E-2</v>
      </c>
      <c r="AL124" s="147"/>
      <c r="AM124" s="177">
        <f>AVERAGE(AK124,AJ124,AI124,AH124)-0.25%</f>
        <v>-4.553053132361666E-2</v>
      </c>
      <c r="AN124" s="177">
        <f>AVERAGE(AM124,AK124,AJ124,AI124)-0.25%</f>
        <v>-4.6538903319170689E-2</v>
      </c>
      <c r="AO124" s="177">
        <f>AVERAGE(AN124,AM124,AK124,AJ124)-0.25%</f>
        <v>-4.7629496281980516E-2</v>
      </c>
      <c r="AP124" s="177">
        <f>AVERAGE(AO124,AN124,AM124,AK124)-0.25%</f>
        <v>-4.8636228640675003E-2</v>
      </c>
      <c r="AQ124" s="147"/>
    </row>
    <row r="125" spans="1:43" outlineLevel="2" x14ac:dyDescent="0.25">
      <c r="A125" s="53"/>
      <c r="B125" s="132" t="s">
        <v>190</v>
      </c>
      <c r="C125" s="131"/>
      <c r="D125" s="148">
        <f>+D121*D123*D61/1000</f>
        <v>252.58984399999997</v>
      </c>
      <c r="E125" s="148">
        <f>+E121*E123*E61/1000</f>
        <v>256.49662499999999</v>
      </c>
      <c r="F125" s="148">
        <f>+F121*F123*F61/1000</f>
        <v>233.86167</v>
      </c>
      <c r="G125" s="148">
        <f>+G121*G123*G61/1000</f>
        <v>256.31970000000001</v>
      </c>
      <c r="H125" s="137"/>
      <c r="I125" s="148">
        <f>+I121*I123*I61/1000</f>
        <v>448.62479999999999</v>
      </c>
      <c r="J125" s="148">
        <f>+J121*J123*J61/1000</f>
        <v>474.40171799999996</v>
      </c>
      <c r="K125" s="148">
        <f>+K121*K123*K61/1000</f>
        <v>470.89619999999996</v>
      </c>
      <c r="L125" s="148">
        <f>+L121*L123*L61/1000</f>
        <v>513.35205999999994</v>
      </c>
      <c r="M125" s="137"/>
      <c r="N125" s="148">
        <f>+N121*N123*N61/1000</f>
        <v>470.31481250000002</v>
      </c>
      <c r="O125" s="148">
        <f>+O121*O123*O61/1000</f>
        <v>560.4262020000001</v>
      </c>
      <c r="P125" s="148">
        <f>+P121*P123*P61/1000</f>
        <v>551.11242000000004</v>
      </c>
      <c r="Q125" s="148">
        <f>+Q121*Q123*Q61/1000</f>
        <v>598.65324999999996</v>
      </c>
      <c r="R125" s="137"/>
      <c r="S125" s="148">
        <f>+S121*S123*S61/1000</f>
        <v>551.03262500000005</v>
      </c>
      <c r="T125" s="148">
        <f>+T121*T123*T61/1000</f>
        <v>563.67647279999994</v>
      </c>
      <c r="U125" s="148">
        <f>+U121*U123*U61/1000</f>
        <v>477.14580000000007</v>
      </c>
      <c r="V125" s="148">
        <f>+V121*V123*V61/1000</f>
        <v>556.56508580704656</v>
      </c>
      <c r="W125" s="137"/>
      <c r="X125" s="148">
        <f>+X121*X123*X61/1000</f>
        <v>492.1102435845562</v>
      </c>
      <c r="Y125" s="148">
        <f>+Y121*Y123*Y61/1000</f>
        <v>522.9156103007349</v>
      </c>
      <c r="Z125" s="148">
        <f>+Z121*Z123*Z61/1000</f>
        <v>445.00473774598544</v>
      </c>
      <c r="AA125" s="148">
        <f>+AA121*AA123*AA61/1000</f>
        <v>528.58781021818993</v>
      </c>
      <c r="AB125" s="137"/>
      <c r="AC125" s="148">
        <f>+AC121*AC123*AC61/1000</f>
        <v>446.11037827395705</v>
      </c>
      <c r="AD125" s="148">
        <f>+AD121*AD123*AD61/1000</f>
        <v>475.80285628549427</v>
      </c>
      <c r="AE125" s="148">
        <f>+AE121*AE123*AE61/1000</f>
        <v>402.94489063904302</v>
      </c>
      <c r="AF125" s="148">
        <f>+AF121*AF123*AF61/1000</f>
        <v>475.0728029335657</v>
      </c>
      <c r="AG125" s="137"/>
      <c r="AH125" s="148">
        <f>+AH121*AH123*AH61/1000</f>
        <v>401.68339672256144</v>
      </c>
      <c r="AI125" s="148">
        <f>+AI121*AI123*AI61/1000</f>
        <v>427.69326349728198</v>
      </c>
      <c r="AJ125" s="148">
        <f>+AJ121*AJ123*AJ61/1000</f>
        <v>361.09663994325007</v>
      </c>
      <c r="AK125" s="148">
        <f>+AK121*AK123*AK61/1000</f>
        <v>424.62787364889175</v>
      </c>
      <c r="AL125" s="137"/>
      <c r="AM125" s="148">
        <f>+AM121*AM123*AM61/1000</f>
        <v>358.53578051610219</v>
      </c>
      <c r="AN125" s="148">
        <f>+AN121*AN123*AN61/1000</f>
        <v>380.9168659332604</v>
      </c>
      <c r="AO125" s="148">
        <f>+AO121*AO123*AO61/1000</f>
        <v>320.86064383677001</v>
      </c>
      <c r="AP125" s="148">
        <f>+AP121*AP123*AP61/1000</f>
        <v>376.51116297698172</v>
      </c>
      <c r="AQ125" s="137"/>
    </row>
    <row r="126" spans="1:43" ht="17.25" outlineLevel="1" x14ac:dyDescent="0.4">
      <c r="A126" s="53"/>
      <c r="B126" s="729" t="s">
        <v>191</v>
      </c>
      <c r="C126" s="730"/>
      <c r="D126" s="46"/>
      <c r="E126" s="46"/>
      <c r="F126" s="46"/>
      <c r="G126" s="46"/>
      <c r="H126" s="54"/>
      <c r="I126" s="46"/>
      <c r="J126" s="46"/>
      <c r="K126" s="46"/>
      <c r="L126" s="46"/>
      <c r="M126" s="54"/>
      <c r="N126" s="46"/>
      <c r="O126" s="46"/>
      <c r="P126" s="46"/>
      <c r="Q126" s="46"/>
      <c r="R126" s="50"/>
      <c r="S126" s="46"/>
      <c r="T126" s="47"/>
      <c r="U126" s="47"/>
      <c r="V126" s="47"/>
      <c r="W126" s="50"/>
      <c r="X126" s="47"/>
      <c r="Y126" s="47"/>
      <c r="Z126" s="47"/>
      <c r="AA126" s="47"/>
      <c r="AB126" s="50"/>
      <c r="AC126" s="47"/>
      <c r="AD126" s="47"/>
      <c r="AE126" s="47"/>
      <c r="AF126" s="47"/>
      <c r="AG126" s="50"/>
      <c r="AH126" s="47"/>
      <c r="AI126" s="47"/>
      <c r="AJ126" s="47"/>
      <c r="AK126" s="47"/>
      <c r="AL126" s="50"/>
      <c r="AM126" s="47"/>
      <c r="AN126" s="47"/>
      <c r="AO126" s="47"/>
      <c r="AP126" s="47"/>
      <c r="AQ126" s="50"/>
    </row>
    <row r="127" spans="1:43" outlineLevel="2" x14ac:dyDescent="0.25">
      <c r="A127" s="53"/>
      <c r="B127" s="123" t="s">
        <v>372</v>
      </c>
      <c r="C127" s="285"/>
      <c r="D127" s="262">
        <v>790</v>
      </c>
      <c r="E127" s="262">
        <v>842</v>
      </c>
      <c r="F127" s="262">
        <v>793</v>
      </c>
      <c r="G127" s="262">
        <v>808.49</v>
      </c>
      <c r="H127" s="54"/>
      <c r="I127" s="262">
        <v>11153.5</v>
      </c>
      <c r="J127" s="262">
        <v>12592.5</v>
      </c>
      <c r="K127" s="262">
        <v>12578</v>
      </c>
      <c r="L127" s="262">
        <v>12794.5</v>
      </c>
      <c r="M127" s="54"/>
      <c r="N127" s="262">
        <v>10281</v>
      </c>
      <c r="O127" s="262">
        <v>13230.5</v>
      </c>
      <c r="P127" s="262">
        <v>13209.4</v>
      </c>
      <c r="Q127" s="262">
        <v>13738</v>
      </c>
      <c r="R127" s="50"/>
      <c r="S127" s="262">
        <v>13459</v>
      </c>
      <c r="T127" s="124">
        <v>15373.3</v>
      </c>
      <c r="U127" s="124">
        <v>14067</v>
      </c>
      <c r="V127" s="124">
        <f>+Q127*(1+V128)</f>
        <v>15007.868926712654</v>
      </c>
      <c r="W127" s="50"/>
      <c r="X127" s="124">
        <f>+S127*(1+X128)</f>
        <v>14900.56403754416</v>
      </c>
      <c r="Y127" s="124">
        <f>+T127*(1+Y128)</f>
        <v>17050.623724317495</v>
      </c>
      <c r="Z127" s="124">
        <f>+U127*(1+Z128)</f>
        <v>15591.765523708304</v>
      </c>
      <c r="AA127" s="124">
        <f>+V127*(1+AA128)</f>
        <v>16797.714730059964</v>
      </c>
      <c r="AB127" s="50"/>
      <c r="AC127" s="124">
        <f>+X127*(1+AC128)</f>
        <v>16405.028080973472</v>
      </c>
      <c r="AD127" s="124">
        <f>+Y127*(1+AD128)</f>
        <v>18745.996157851423</v>
      </c>
      <c r="AE127" s="124">
        <f>+Z127*(1+AE128)</f>
        <v>17104.370212607693</v>
      </c>
      <c r="AF127" s="124">
        <f>+AA127*(1+AF128)</f>
        <v>18379.522571443948</v>
      </c>
      <c r="AG127" s="50"/>
      <c r="AH127" s="124">
        <f>+AC127*(1+AH128)</f>
        <v>17969.984506921719</v>
      </c>
      <c r="AI127" s="124">
        <f>+AD127*(1+AI128)</f>
        <v>20508.155914104136</v>
      </c>
      <c r="AJ127" s="124">
        <f>+AE127*(1+AJ128)</f>
        <v>18688.995771257174</v>
      </c>
      <c r="AK127" s="124">
        <f>+AF127*(1+AK128)</f>
        <v>20062.210936784966</v>
      </c>
      <c r="AL127" s="50"/>
      <c r="AM127" s="124">
        <f>+AH127*(1+AM128)</f>
        <v>19603.427704995691</v>
      </c>
      <c r="AN127" s="124">
        <f>+AI127*(1+AN128)</f>
        <v>22349.261125144709</v>
      </c>
      <c r="AO127" s="124">
        <f>+AJ127*(1+AO128)</f>
        <v>20347.03461148309</v>
      </c>
      <c r="AP127" s="124">
        <f>+AK127*(1+AP128)</f>
        <v>21822.381264041658</v>
      </c>
      <c r="AQ127" s="50"/>
    </row>
    <row r="128" spans="1:43" outlineLevel="2" x14ac:dyDescent="0.25">
      <c r="A128" s="53"/>
      <c r="B128" s="141" t="s">
        <v>204</v>
      </c>
      <c r="C128" s="285"/>
      <c r="D128" s="166">
        <f>+D127/1059-1</f>
        <v>-0.25401322001888571</v>
      </c>
      <c r="E128" s="166">
        <f>+E127/1061-1</f>
        <v>-0.20640904806786053</v>
      </c>
      <c r="F128" s="166">
        <f>+F127/948-1</f>
        <v>-0.1635021097046413</v>
      </c>
      <c r="G128" s="166">
        <f>+G127/964-1</f>
        <v>-0.16131742738589205</v>
      </c>
      <c r="H128" s="84"/>
      <c r="I128" s="166">
        <f>+I127/D127-1</f>
        <v>13.118354430379746</v>
      </c>
      <c r="J128" s="166">
        <f>+J127/E127-1</f>
        <v>13.955463182897862</v>
      </c>
      <c r="K128" s="166">
        <f>+K127/F127-1</f>
        <v>14.861286254728878</v>
      </c>
      <c r="L128" s="166">
        <f>+L127/G127-1</f>
        <v>14.825180274338582</v>
      </c>
      <c r="M128" s="84"/>
      <c r="N128" s="166">
        <f>+N127/I127-1</f>
        <v>-7.822656565203745E-2</v>
      </c>
      <c r="O128" s="166">
        <f>+O127/J127-1</f>
        <v>5.0665078419694254E-2</v>
      </c>
      <c r="P128" s="166">
        <f>+P127/K127-1</f>
        <v>5.0198759739227272E-2</v>
      </c>
      <c r="Q128" s="166">
        <f>+Q127/L127-1</f>
        <v>7.3742623783657146E-2</v>
      </c>
      <c r="R128" s="57"/>
      <c r="S128" s="166">
        <f>+S127/N127-1</f>
        <v>0.30911389942612577</v>
      </c>
      <c r="T128" s="166">
        <f>+T127/O127-1</f>
        <v>0.16195910963304483</v>
      </c>
      <c r="U128" s="166">
        <f>+U127/P127-1</f>
        <v>6.4923463594107167E-2</v>
      </c>
      <c r="V128" s="142">
        <f>AVERAGE(U128,T128,S128,Q128)-6%</f>
        <v>9.243477410923373E-2</v>
      </c>
      <c r="W128" s="84"/>
      <c r="X128" s="142">
        <f>AVERAGE(V128,U128,T128,S128)-5%</f>
        <v>0.10710781169062787</v>
      </c>
      <c r="Y128" s="142">
        <f>AVERAGE(X128,V128,U128,T128)+0.25%</f>
        <v>0.10910628975675341</v>
      </c>
      <c r="Z128" s="142">
        <f>AVERAGE(Y128,X128,V128,U128)+1.5%</f>
        <v>0.10839308478768055</v>
      </c>
      <c r="AA128" s="142">
        <f>AVERAGE(Z128,Y128,X128,V128)+1.5%</f>
        <v>0.11926049008607389</v>
      </c>
      <c r="AB128" s="57"/>
      <c r="AC128" s="142">
        <f>AVERAGE(AA128,Z128,Y128,X128)-1%</f>
        <v>0.10096691908028393</v>
      </c>
      <c r="AD128" s="142">
        <f>AVERAGE(AC128,AA128,Z128,Y128)-1%</f>
        <v>9.9431695927697947E-2</v>
      </c>
      <c r="AE128" s="142">
        <f>AVERAGE(AD128,AC128,AA128,Z128)-1%</f>
        <v>9.7013047470434099E-2</v>
      </c>
      <c r="AF128" s="142">
        <f>AVERAGE(AE128,AD128,AC128,AA128)-1%</f>
        <v>9.416803814112247E-2</v>
      </c>
      <c r="AG128" s="57"/>
      <c r="AH128" s="177">
        <f>AVERAGE(AF128,AE128,AD128,AC128)-0.25%</f>
        <v>9.5394925154884611E-2</v>
      </c>
      <c r="AI128" s="177">
        <f>AVERAGE(AH128,AF128,AE128,AD128)-0.25%</f>
        <v>9.4001926673534783E-2</v>
      </c>
      <c r="AJ128" s="177">
        <f>AVERAGE(AI128,AH128,AF128,AE128)-0.25%</f>
        <v>9.2644484359993992E-2</v>
      </c>
      <c r="AK128" s="177">
        <f>AVERAGE(AJ128,AI128,AH128,AF128)-0.25%</f>
        <v>9.1552343582383955E-2</v>
      </c>
      <c r="AL128" s="57"/>
      <c r="AM128" s="177">
        <f>AVERAGE(AK128,AJ128,AI128,AH128)-0.25%</f>
        <v>9.0898419942699343E-2</v>
      </c>
      <c r="AN128" s="177">
        <f>AVERAGE(AM128,AK128,AJ128,AI128)-0.25%</f>
        <v>8.9774293639653016E-2</v>
      </c>
      <c r="AO128" s="177">
        <f>AVERAGE(AN128,AM128,AK128,AJ128)-0.25%</f>
        <v>8.8717385381182581E-2</v>
      </c>
      <c r="AP128" s="177">
        <f>AVERAGE(AO128,AN128,AM128,AK128)-0.25%</f>
        <v>8.7735610636479722E-2</v>
      </c>
      <c r="AQ128" s="57"/>
    </row>
    <row r="129" spans="1:43" outlineLevel="2" x14ac:dyDescent="0.25">
      <c r="A129" s="53"/>
      <c r="B129" s="123" t="s">
        <v>192</v>
      </c>
      <c r="C129" s="285"/>
      <c r="D129" s="143">
        <v>1.89</v>
      </c>
      <c r="E129" s="143">
        <v>1.84</v>
      </c>
      <c r="F129" s="143">
        <v>1.83</v>
      </c>
      <c r="G129" s="143">
        <v>1.8744000000000001</v>
      </c>
      <c r="H129" s="54"/>
      <c r="I129" s="143">
        <v>0.56499999999999995</v>
      </c>
      <c r="J129" s="143">
        <v>0.52800000000000002</v>
      </c>
      <c r="K129" s="143">
        <v>0.56000000000000005</v>
      </c>
      <c r="L129" s="143">
        <v>0.56899999999999995</v>
      </c>
      <c r="M129" s="54"/>
      <c r="N129" s="143">
        <v>0.56999999999999995</v>
      </c>
      <c r="O129" s="143">
        <v>0.57699999999999996</v>
      </c>
      <c r="P129" s="143">
        <v>0.60099999999999998</v>
      </c>
      <c r="Q129" s="143">
        <v>0.63</v>
      </c>
      <c r="R129" s="50"/>
      <c r="S129" s="143">
        <v>0.59299999999999997</v>
      </c>
      <c r="T129" s="143">
        <v>0.57199999999999995</v>
      </c>
      <c r="U129" s="143">
        <v>0.56799999999999995</v>
      </c>
      <c r="V129" s="143">
        <f>+Q129*(1+V130)</f>
        <v>0.60542724437566786</v>
      </c>
      <c r="W129" s="54"/>
      <c r="X129" s="143">
        <f>+S129*(1+X130)</f>
        <v>0.55412477402399329</v>
      </c>
      <c r="Y129" s="143">
        <f>+T129*(1+Y130)</f>
        <v>0.54938666002034997</v>
      </c>
      <c r="Z129" s="143">
        <f>+U129*(1+Z130)</f>
        <v>0.548261496680857</v>
      </c>
      <c r="AA129" s="143">
        <f>+V129*(1+AA130)</f>
        <v>0.58743910116393472</v>
      </c>
      <c r="AB129" s="50"/>
      <c r="AC129" s="143">
        <f>+X129*(1+AC130)</f>
        <v>0.52509513894121229</v>
      </c>
      <c r="AD129" s="143">
        <f>+Y129*(1+AD130)</f>
        <v>0.52241391106858026</v>
      </c>
      <c r="AE129" s="143">
        <f>+Z129*(1+AE130)</f>
        <v>0.52003332854080297</v>
      </c>
      <c r="AF129" s="143">
        <f>+AA129*(1+AF130)</f>
        <v>0.55473599198617507</v>
      </c>
      <c r="AG129" s="50"/>
      <c r="AH129" s="143">
        <f>+AC129*(1+AH130)</f>
        <v>0.49639321539502557</v>
      </c>
      <c r="AI129" s="143">
        <f>+AD129*(1+AI130)</f>
        <v>0.49356179245895604</v>
      </c>
      <c r="AJ129" s="143">
        <f>+AE129*(1+AJ130)</f>
        <v>0.49051542880447063</v>
      </c>
      <c r="AK129" s="143">
        <f>+AF129*(1+AK130)</f>
        <v>0.5225167755582093</v>
      </c>
      <c r="AL129" s="50"/>
      <c r="AM129" s="143">
        <f>+AH129*(1+AM130)</f>
        <v>0.4672635318339024</v>
      </c>
      <c r="AN129" s="143">
        <f>+AI129*(1+AN130)</f>
        <v>0.46410195671568438</v>
      </c>
      <c r="AO129" s="143">
        <f>+AJ129*(1+AO130)</f>
        <v>0.46069052783585435</v>
      </c>
      <c r="AP129" s="143">
        <f>+AK129*(1+AP130)</f>
        <v>0.49021813555133287</v>
      </c>
      <c r="AQ129" s="50"/>
    </row>
    <row r="130" spans="1:43" outlineLevel="2" x14ac:dyDescent="0.25">
      <c r="A130" s="53"/>
      <c r="B130" s="141" t="s">
        <v>203</v>
      </c>
      <c r="C130" s="285"/>
      <c r="D130" s="166">
        <f>+D129/1.78-1</f>
        <v>6.1797752808988804E-2</v>
      </c>
      <c r="E130" s="166">
        <f>+E129/1.76-1</f>
        <v>4.5454545454545414E-2</v>
      </c>
      <c r="F130" s="166">
        <f>+F129/1.72-1</f>
        <v>6.3953488372093137E-2</v>
      </c>
      <c r="G130" s="166">
        <f>+G129/1.75-1</f>
        <v>7.1085714285714419E-2</v>
      </c>
      <c r="H130" s="84"/>
      <c r="I130" s="166">
        <f>+I129/D129-1</f>
        <v>-0.70105820105820105</v>
      </c>
      <c r="J130" s="166">
        <f>+J129/E129-1</f>
        <v>-0.71304347826086956</v>
      </c>
      <c r="K130" s="166">
        <f>+K129/F129-1</f>
        <v>-0.69398907103825136</v>
      </c>
      <c r="L130" s="166">
        <f>+L129/G129-1</f>
        <v>-0.6964361929150662</v>
      </c>
      <c r="M130" s="84"/>
      <c r="N130" s="166">
        <f>+N129/I129-1</f>
        <v>8.8495575221239076E-3</v>
      </c>
      <c r="O130" s="166">
        <f>+O129/J129-1</f>
        <v>9.2803030303030276E-2</v>
      </c>
      <c r="P130" s="166">
        <f>+P129/K129-1</f>
        <v>7.3214285714285676E-2</v>
      </c>
      <c r="Q130" s="166">
        <f>+Q129/L129-1</f>
        <v>0.10720562390158173</v>
      </c>
      <c r="R130" s="57"/>
      <c r="S130" s="166">
        <f>+S129/N129-1</f>
        <v>4.0350877192982582E-2</v>
      </c>
      <c r="T130" s="166">
        <f>+T129/O129-1</f>
        <v>-8.6655112651646826E-3</v>
      </c>
      <c r="U130" s="166">
        <f>+U129/P129-1</f>
        <v>-5.490848585690522E-2</v>
      </c>
      <c r="V130" s="142">
        <f>AVERAGE(U130,T130,S130,Q130)-6%</f>
        <v>-3.9004374006876397E-2</v>
      </c>
      <c r="W130" s="84"/>
      <c r="X130" s="142">
        <f>AVERAGE(V130,U130,T130,S130)-5%</f>
        <v>-6.5556873483990932E-2</v>
      </c>
      <c r="Y130" s="142">
        <f>AVERAGE(X130,V130,U130,T130)+0.25%</f>
        <v>-3.9533811153234302E-2</v>
      </c>
      <c r="Z130" s="142">
        <f>AVERAGE(Y130,X130,V130,U130)+1.5%</f>
        <v>-3.4750886125251713E-2</v>
      </c>
      <c r="AA130" s="142">
        <f>AVERAGE(Z130,Y130,X130,V130)+1.5%</f>
        <v>-2.9711486192338335E-2</v>
      </c>
      <c r="AB130" s="57"/>
      <c r="AC130" s="142">
        <f>AVERAGE(AA130,Z130,Y130,X130)-1%</f>
        <v>-5.2388264238703824E-2</v>
      </c>
      <c r="AD130" s="142">
        <f>AVERAGE(AC130,AA130,Z130,Y130)-1%</f>
        <v>-4.9096111927382051E-2</v>
      </c>
      <c r="AE130" s="142">
        <f>AVERAGE(AD130,AC130,AA130,Z130)-1%</f>
        <v>-5.1486687120918986E-2</v>
      </c>
      <c r="AF130" s="142">
        <f>AVERAGE(AE130,AD130,AC130,AA130)-1%</f>
        <v>-5.5670637369835803E-2</v>
      </c>
      <c r="AG130" s="57"/>
      <c r="AH130" s="177">
        <f>AVERAGE(AF130,AE130,AD130,AC130)-0.25%</f>
        <v>-5.4660425164210172E-2</v>
      </c>
      <c r="AI130" s="177">
        <f>AVERAGE(AH130,AF130,AE130,AD130)-0.25%</f>
        <v>-5.5228465395586762E-2</v>
      </c>
      <c r="AJ130" s="177">
        <f>AVERAGE(AI130,AH130,AF130,AE130)-0.25%</f>
        <v>-5.6761553762637931E-2</v>
      </c>
      <c r="AK130" s="177">
        <f>AVERAGE(AJ130,AI130,AH130,AF130)-0.25%</f>
        <v>-5.8080270423067668E-2</v>
      </c>
      <c r="AL130" s="57"/>
      <c r="AM130" s="177">
        <f>AVERAGE(AK130,AJ130,AI130,AH130)-0.25%</f>
        <v>-5.8682678686375639E-2</v>
      </c>
      <c r="AN130" s="177">
        <f>AVERAGE(AM130,AK130,AJ130,AI130)-0.25%</f>
        <v>-5.9688242066917002E-2</v>
      </c>
      <c r="AO130" s="177">
        <f>AVERAGE(AN130,AM130,AK130,AJ130)-0.25%</f>
        <v>-6.0803186234749562E-2</v>
      </c>
      <c r="AP130" s="177">
        <f>AVERAGE(AO130,AN130,AM130,AK130)-0.25%</f>
        <v>-6.1813594352777473E-2</v>
      </c>
      <c r="AQ130" s="57"/>
    </row>
    <row r="131" spans="1:43" outlineLevel="2" x14ac:dyDescent="0.25">
      <c r="A131" s="53"/>
      <c r="B131" s="119" t="s">
        <v>193</v>
      </c>
      <c r="C131" s="120"/>
      <c r="D131" s="144">
        <f>+D127*D129*D61/1000</f>
        <v>97.051500000000004</v>
      </c>
      <c r="E131" s="144">
        <f>+E127*E129*E61/1000</f>
        <v>97.604640000000003</v>
      </c>
      <c r="F131" s="144">
        <f>+F127*F129*F61/1000</f>
        <v>91.424970000000002</v>
      </c>
      <c r="G131" s="144">
        <f>+G127*G129*G61/1000</f>
        <v>98.503187640000007</v>
      </c>
      <c r="H131" s="56"/>
      <c r="I131" s="144">
        <f>+I127*I129*I61/1000</f>
        <v>409.61228749999992</v>
      </c>
      <c r="J131" s="144">
        <f>+J127*J129*J61/1000</f>
        <v>418.87691999999998</v>
      </c>
      <c r="K131" s="144">
        <f>+K127*K129*K61/1000</f>
        <v>436.70816000000002</v>
      </c>
      <c r="L131" s="144">
        <f>+L127*L129*L61/1000</f>
        <v>473.20458249999996</v>
      </c>
      <c r="M131" s="56"/>
      <c r="N131" s="144">
        <f>+N127*N129*N61/1000</f>
        <v>380.91104999999993</v>
      </c>
      <c r="O131" s="144">
        <f>+O127*O129*O61/1000</f>
        <v>480.94190550000002</v>
      </c>
      <c r="P131" s="144">
        <f>+P127*P129*P61/1000</f>
        <v>492.20866279999996</v>
      </c>
      <c r="Q131" s="144">
        <f>+Q127*Q129*Q61/1000</f>
        <v>562.5711</v>
      </c>
      <c r="R131" s="51"/>
      <c r="S131" s="144">
        <f>+S127*S129*S61/1000</f>
        <v>518.77715499999999</v>
      </c>
      <c r="T131" s="144">
        <f>+T127*T129*T61/1000</f>
        <v>553.99223879999988</v>
      </c>
      <c r="U131" s="144">
        <f>+U127*U129*U61/1000</f>
        <v>495.38347199999993</v>
      </c>
      <c r="V131" s="144">
        <f>+V127*V129*V61/1000</f>
        <v>590.60122733630556</v>
      </c>
      <c r="W131" s="51"/>
      <c r="X131" s="144">
        <f>+X127*X129*X61/1000</f>
        <v>536.690159208723</v>
      </c>
      <c r="Y131" s="144">
        <f>+Y127*Y129*Y61/1000</f>
        <v>590.14526880749133</v>
      </c>
      <c r="Z131" s="144">
        <f>+Z127*Z129*Z61/1000</f>
        <v>529.99861151936864</v>
      </c>
      <c r="AA131" s="144">
        <f>+AA127*AA129*AA61/1000</f>
        <v>641.39623877124973</v>
      </c>
      <c r="AB131" s="51"/>
      <c r="AC131" s="144">
        <f>+AC127*AC129*AC61/1000</f>
        <v>559.9230324683615</v>
      </c>
      <c r="AD131" s="144">
        <f>+AD127*AD129*AD61/1000</f>
        <v>616.96965769108363</v>
      </c>
      <c r="AE131" s="144">
        <f>+AE127*AE129*AE61/1000</f>
        <v>551.4802396039056</v>
      </c>
      <c r="AF131" s="144">
        <f>+AF127*AF129*AF61/1000</f>
        <v>662.72587458364637</v>
      </c>
      <c r="AG131" s="51"/>
      <c r="AH131" s="144">
        <f>+AH127*AH129*AH61/1000</f>
        <v>579.81159534932829</v>
      </c>
      <c r="AI131" s="144">
        <f>+AI127*AI129*AI61/1000</f>
        <v>637.68865815855759</v>
      </c>
      <c r="AJ131" s="144">
        <f>+AJ127*AJ129*AJ61/1000</f>
        <v>568.3689280291153</v>
      </c>
      <c r="AK131" s="144">
        <f>+AK127*AK129*AK61/1000</f>
        <v>681.38471500173898</v>
      </c>
      <c r="AL131" s="51"/>
      <c r="AM131" s="144">
        <f>+AM127*AM129*AM61/1000</f>
        <v>595.39784625664572</v>
      </c>
      <c r="AN131" s="144">
        <f>+AN127*AN129*AN61/1000</f>
        <v>653.45715661775444</v>
      </c>
      <c r="AO131" s="144">
        <f>+AO127*AO129*AO61/1000</f>
        <v>581.16853913362968</v>
      </c>
      <c r="AP131" s="144">
        <f>+AP127*AP129*AP61/1000</f>
        <v>695.35225867567453</v>
      </c>
      <c r="AQ131" s="51"/>
    </row>
    <row r="132" spans="1:43" ht="17.25" outlineLevel="1" x14ac:dyDescent="0.4">
      <c r="A132" s="53"/>
      <c r="B132" s="735" t="s">
        <v>194</v>
      </c>
      <c r="C132" s="736"/>
      <c r="D132" s="126"/>
      <c r="E132" s="126"/>
      <c r="F132" s="126"/>
      <c r="G132" s="126"/>
      <c r="H132" s="136"/>
      <c r="I132" s="126"/>
      <c r="J132" s="126"/>
      <c r="K132" s="126"/>
      <c r="L132" s="126"/>
      <c r="M132" s="136"/>
      <c r="N132" s="126"/>
      <c r="O132" s="126"/>
      <c r="P132" s="126"/>
      <c r="Q132" s="126"/>
      <c r="R132" s="136"/>
      <c r="S132" s="126"/>
      <c r="T132" s="126"/>
      <c r="U132" s="126"/>
      <c r="V132" s="126"/>
      <c r="W132" s="136"/>
      <c r="X132" s="126"/>
      <c r="Y132" s="126"/>
      <c r="Z132" s="126"/>
      <c r="AA132" s="126"/>
      <c r="AB132" s="136"/>
      <c r="AC132" s="126"/>
      <c r="AD132" s="126"/>
      <c r="AE132" s="126"/>
      <c r="AF132" s="126"/>
      <c r="AG132" s="136"/>
      <c r="AH132" s="126"/>
      <c r="AI132" s="126"/>
      <c r="AJ132" s="126"/>
      <c r="AK132" s="126"/>
      <c r="AL132" s="136"/>
      <c r="AM132" s="126"/>
      <c r="AN132" s="126"/>
      <c r="AO132" s="126"/>
      <c r="AP132" s="126"/>
      <c r="AQ132" s="136"/>
    </row>
    <row r="133" spans="1:43" outlineLevel="2" x14ac:dyDescent="0.25">
      <c r="A133" s="53"/>
      <c r="B133" s="127" t="s">
        <v>373</v>
      </c>
      <c r="C133" s="128"/>
      <c r="D133" s="129">
        <v>609</v>
      </c>
      <c r="E133" s="129">
        <v>678</v>
      </c>
      <c r="F133" s="129">
        <v>622</v>
      </c>
      <c r="G133" s="129">
        <v>586</v>
      </c>
      <c r="H133" s="136"/>
      <c r="I133" s="129">
        <v>1869.4</v>
      </c>
      <c r="J133" s="129">
        <v>1958.5</v>
      </c>
      <c r="K133" s="129">
        <v>1995</v>
      </c>
      <c r="L133" s="129">
        <v>1787</v>
      </c>
      <c r="M133" s="136"/>
      <c r="N133" s="129">
        <v>1853</v>
      </c>
      <c r="O133" s="129">
        <v>2145</v>
      </c>
      <c r="P133" s="129">
        <v>1951</v>
      </c>
      <c r="Q133" s="129">
        <v>1811</v>
      </c>
      <c r="R133" s="136"/>
      <c r="S133" s="129">
        <v>1717</v>
      </c>
      <c r="T133" s="129">
        <v>1759</v>
      </c>
      <c r="U133" s="129">
        <v>1615</v>
      </c>
      <c r="V133" s="129">
        <f>+Q133*(1+V134)</f>
        <v>1515.7450095227036</v>
      </c>
      <c r="W133" s="136"/>
      <c r="X133" s="129">
        <f>+S133*(1+X134)</f>
        <v>1378.4928147028002</v>
      </c>
      <c r="Y133" s="129">
        <f>+T133*(1+Y134)</f>
        <v>1450.1383533110782</v>
      </c>
      <c r="Z133" s="129">
        <f>+U133*(1+Z134)</f>
        <v>1353.3726997523902</v>
      </c>
      <c r="AA133" s="129">
        <f>+V133*(1+AA134)</f>
        <v>1274.0699768108968</v>
      </c>
      <c r="AB133" s="136"/>
      <c r="AC133" s="129">
        <f>+X133*(1+AC134)</f>
        <v>1125.4769706601796</v>
      </c>
      <c r="AD133" s="129">
        <f>+Y133*(1+AD134)</f>
        <v>1188.9046262946474</v>
      </c>
      <c r="AE133" s="129">
        <f>+Z133*(1+AE134)</f>
        <v>1108.0296854667397</v>
      </c>
      <c r="AF133" s="129">
        <f>+AA133*(1+AF134)</f>
        <v>1036.9607720854835</v>
      </c>
      <c r="AG133" s="136"/>
      <c r="AH133" s="129">
        <f>+AC133*(1+AH134)</f>
        <v>916.96106217902548</v>
      </c>
      <c r="AI133" s="129">
        <f>+AD133*(1+AI134)</f>
        <v>968.1252306458631</v>
      </c>
      <c r="AJ133" s="129">
        <f>+AE133*(1+AJ134)</f>
        <v>900.72974567863969</v>
      </c>
      <c r="AK133" s="129">
        <f>+AF133*(1+AK134)</f>
        <v>841.45184808237877</v>
      </c>
      <c r="AL133" s="136"/>
      <c r="AM133" s="129">
        <f>+AH133*(1+AM134)</f>
        <v>743.51836183304579</v>
      </c>
      <c r="AN133" s="129">
        <f>+AI133*(1+AN134)</f>
        <v>784.06564111838213</v>
      </c>
      <c r="AO133" s="129">
        <f>+AJ133*(1+AO134)</f>
        <v>728.48810456609817</v>
      </c>
      <c r="AP133" s="129">
        <f>+AK133*(1+AP134)</f>
        <v>679.67558666321895</v>
      </c>
      <c r="AQ133" s="136"/>
    </row>
    <row r="134" spans="1:43" outlineLevel="2" x14ac:dyDescent="0.25">
      <c r="A134" s="53"/>
      <c r="B134" s="145" t="s">
        <v>204</v>
      </c>
      <c r="C134" s="128"/>
      <c r="D134" s="146">
        <f>+D133/670-1</f>
        <v>-9.1044776119402981E-2</v>
      </c>
      <c r="E134" s="146">
        <f>+E133/630-1</f>
        <v>7.6190476190476142E-2</v>
      </c>
      <c r="F134" s="146">
        <f>+F133/718-1</f>
        <v>-0.13370473537604455</v>
      </c>
      <c r="G134" s="146">
        <f>+G133/716.4-1</f>
        <v>-0.18202121719709652</v>
      </c>
      <c r="H134" s="147"/>
      <c r="I134" s="146">
        <f>+I133/D133-1</f>
        <v>2.0696223316912974</v>
      </c>
      <c r="J134" s="146">
        <f>+J133/E133-1</f>
        <v>1.8886430678466075</v>
      </c>
      <c r="K134" s="146">
        <f>+K133/F133-1</f>
        <v>2.207395498392283</v>
      </c>
      <c r="L134" s="146">
        <f>+L133/G133-1</f>
        <v>2.0494880546075085</v>
      </c>
      <c r="M134" s="147"/>
      <c r="N134" s="146">
        <f>+N133/I133-1</f>
        <v>-8.7728682999893559E-3</v>
      </c>
      <c r="O134" s="146">
        <f>+O133/J133-1</f>
        <v>9.5225938218024053E-2</v>
      </c>
      <c r="P134" s="146">
        <f>+P133/K133-1</f>
        <v>-2.205513784461155E-2</v>
      </c>
      <c r="Q134" s="146">
        <f>+Q133/L133-1</f>
        <v>1.3430330162283122E-2</v>
      </c>
      <c r="R134" s="147"/>
      <c r="S134" s="146">
        <f>+S133/N133-1</f>
        <v>-7.3394495412844041E-2</v>
      </c>
      <c r="T134" s="146">
        <f>+T133/O133-1</f>
        <v>-0.1799533799533799</v>
      </c>
      <c r="U134" s="146">
        <f>+U133/P133-1</f>
        <v>-0.17221937467965143</v>
      </c>
      <c r="V134" s="142">
        <f>AVERAGE(U134,T134,S134,Q134)-6%</f>
        <v>-0.16303422997089806</v>
      </c>
      <c r="W134" s="147"/>
      <c r="X134" s="142">
        <f>AVERAGE(V134,U134,T134,S134)-5%</f>
        <v>-0.19715037000419333</v>
      </c>
      <c r="Y134" s="142">
        <f>AVERAGE(X134,V134,U134,T134)+0.25%</f>
        <v>-0.17558933865203069</v>
      </c>
      <c r="Z134" s="142">
        <f>AVERAGE(Y134,X134,V134,U134)+1.5%</f>
        <v>-0.16199832832669336</v>
      </c>
      <c r="AA134" s="142">
        <f>AVERAGE(Z134,Y134,X134,V134)+1.5%</f>
        <v>-0.15944306673845382</v>
      </c>
      <c r="AB134" s="147"/>
      <c r="AC134" s="142">
        <f>AVERAGE(AA134,Z134,Y134,X134)-1%</f>
        <v>-0.18354527593034281</v>
      </c>
      <c r="AD134" s="142">
        <f>AVERAGE(AC134,AA134,Z134,Y134)-1%</f>
        <v>-0.18014400241188017</v>
      </c>
      <c r="AE134" s="142">
        <f>AVERAGE(AD134,AC134,AA134,Z134)-1%</f>
        <v>-0.18128266835184256</v>
      </c>
      <c r="AF134" s="142">
        <f>AVERAGE(AE134,AD134,AC134,AA134)-1%</f>
        <v>-0.18610375335812984</v>
      </c>
      <c r="AG134" s="147"/>
      <c r="AH134" s="177">
        <f>AVERAGE(AF134,AE134,AD134,AC134)-0.25%</f>
        <v>-0.18526892501304887</v>
      </c>
      <c r="AI134" s="177">
        <f>AVERAGE(AH134,AF134,AE134,AD134)-0.25%</f>
        <v>-0.18569983728372536</v>
      </c>
      <c r="AJ134" s="177">
        <f>AVERAGE(AI134,AH134,AF134,AE134)-0.25%</f>
        <v>-0.18708879600168668</v>
      </c>
      <c r="AK134" s="177">
        <f>AVERAGE(AJ134,AI134,AH134,AF134)-0.25%</f>
        <v>-0.18854032791414765</v>
      </c>
      <c r="AL134" s="147"/>
      <c r="AM134" s="177">
        <f>AVERAGE(AK134,AJ134,AI134,AH134)-0.25%</f>
        <v>-0.18914947155315215</v>
      </c>
      <c r="AN134" s="177">
        <f>AVERAGE(AM134,AK134,AJ134,AI134)-0.25%</f>
        <v>-0.19011960818817797</v>
      </c>
      <c r="AO134" s="177">
        <f>AVERAGE(AN134,AM134,AK134,AJ134)-0.25%</f>
        <v>-0.19122455091429114</v>
      </c>
      <c r="AP134" s="177">
        <f>AVERAGE(AO134,AN134,AM134,AK134)-0.25%</f>
        <v>-0.19225848964244222</v>
      </c>
      <c r="AQ134" s="147"/>
    </row>
    <row r="135" spans="1:43" outlineLevel="2" x14ac:dyDescent="0.25">
      <c r="A135" s="53"/>
      <c r="B135" s="127" t="s">
        <v>195</v>
      </c>
      <c r="C135" s="128"/>
      <c r="D135" s="130">
        <v>0.92</v>
      </c>
      <c r="E135" s="130">
        <v>0.75</v>
      </c>
      <c r="F135" s="130">
        <v>0.76</v>
      </c>
      <c r="G135" s="130">
        <v>0.73</v>
      </c>
      <c r="H135" s="136"/>
      <c r="I135" s="130">
        <v>0.76400000000000001</v>
      </c>
      <c r="J135" s="130">
        <v>0.755</v>
      </c>
      <c r="K135" s="130">
        <v>0.68</v>
      </c>
      <c r="L135" s="130">
        <v>0.73</v>
      </c>
      <c r="M135" s="136"/>
      <c r="N135" s="130">
        <v>0.69</v>
      </c>
      <c r="O135" s="130">
        <v>0.67</v>
      </c>
      <c r="P135" s="130">
        <v>0.71</v>
      </c>
      <c r="Q135" s="130">
        <v>0.78</v>
      </c>
      <c r="R135" s="136"/>
      <c r="S135" s="130">
        <v>0.76</v>
      </c>
      <c r="T135" s="130">
        <v>0.75</v>
      </c>
      <c r="U135" s="130">
        <v>0.76</v>
      </c>
      <c r="V135" s="130">
        <f>+Q135*(1+V136)</f>
        <v>0.80335474953496322</v>
      </c>
      <c r="W135" s="136"/>
      <c r="X135" s="130">
        <f>+S135*(1+X136)</f>
        <v>0.78303118862398491</v>
      </c>
      <c r="Y135" s="130">
        <f>+T135*(1+Y136)</f>
        <v>0.79876344420507306</v>
      </c>
      <c r="Z135" s="130">
        <f>+U135*(1+Z136)</f>
        <v>0.80858046216224655</v>
      </c>
      <c r="AA135" s="130">
        <f>+V135*(1+AA136)</f>
        <v>0.85340089219274629</v>
      </c>
      <c r="AB135" s="136"/>
      <c r="AC135" s="130">
        <f>+X135*(1+AC136)</f>
        <v>0.81856910297459284</v>
      </c>
      <c r="AD135" s="130">
        <f>+Y135*(1+AD136)</f>
        <v>0.83802687786473695</v>
      </c>
      <c r="AE135" s="130">
        <f>+Z135*(1+AE136)</f>
        <v>0.84511989587691783</v>
      </c>
      <c r="AF135" s="130">
        <f>+AA135*(1+AF136)</f>
        <v>0.88796925581078245</v>
      </c>
      <c r="AG135" s="136"/>
      <c r="AH135" s="130">
        <f>+AC135*(1+AH136)</f>
        <v>0.85340669364459243</v>
      </c>
      <c r="AI135" s="130">
        <f>+AD135*(1+AI136)</f>
        <v>0.87310052452289022</v>
      </c>
      <c r="AJ135" s="130">
        <f>+AE135*(1+AJ136)</f>
        <v>0.87894750680866018</v>
      </c>
      <c r="AK135" s="130">
        <f>+AF135*(1+AK136)</f>
        <v>0.92236593790418975</v>
      </c>
      <c r="AL135" s="136"/>
      <c r="AM135" s="130">
        <f>+AH135*(1+AM136)</f>
        <v>0.88608686250802449</v>
      </c>
      <c r="AN135" s="130">
        <f>+AI135*(1+AN136)</f>
        <v>0.90560382449353616</v>
      </c>
      <c r="AO135" s="130">
        <f>+AJ135*(1+AO136)</f>
        <v>0.91065214615376777</v>
      </c>
      <c r="AP135" s="130">
        <f>+AK135*(1+AP136)</f>
        <v>0.95472454302444421</v>
      </c>
      <c r="AQ135" s="136"/>
    </row>
    <row r="136" spans="1:43" outlineLevel="2" x14ac:dyDescent="0.25">
      <c r="A136" s="53"/>
      <c r="B136" s="145" t="s">
        <v>203</v>
      </c>
      <c r="C136" s="128"/>
      <c r="D136" s="146">
        <f>+D135/1.07-1</f>
        <v>-0.14018691588785048</v>
      </c>
      <c r="E136" s="146">
        <f>+E135/1.07-1</f>
        <v>-0.2990654205607477</v>
      </c>
      <c r="F136" s="146">
        <f>+F135/1-1</f>
        <v>-0.24</v>
      </c>
      <c r="G136" s="146">
        <f>+G135/1.01-1</f>
        <v>-0.27722772277227725</v>
      </c>
      <c r="H136" s="147"/>
      <c r="I136" s="146">
        <f>+I135/D135-1</f>
        <v>-0.16956521739130437</v>
      </c>
      <c r="J136" s="146">
        <f>+J135/E135-1</f>
        <v>6.6666666666665986E-3</v>
      </c>
      <c r="K136" s="146">
        <f>+K135/F135-1</f>
        <v>-0.10526315789473684</v>
      </c>
      <c r="L136" s="146">
        <f>+L135/G135-1</f>
        <v>0</v>
      </c>
      <c r="M136" s="147"/>
      <c r="N136" s="146">
        <f>+N135/I135-1</f>
        <v>-9.6858638743455572E-2</v>
      </c>
      <c r="O136" s="146">
        <f>+O135/J135-1</f>
        <v>-0.11258278145695355</v>
      </c>
      <c r="P136" s="146">
        <f>+P135/K135-1</f>
        <v>4.4117647058823373E-2</v>
      </c>
      <c r="Q136" s="146">
        <f>+Q135/L135-1</f>
        <v>6.8493150684931559E-2</v>
      </c>
      <c r="R136" s="147"/>
      <c r="S136" s="146">
        <f>+S135/N135-1</f>
        <v>0.10144927536231885</v>
      </c>
      <c r="T136" s="146">
        <f>+T135/O135-1</f>
        <v>0.11940298507462677</v>
      </c>
      <c r="U136" s="146">
        <f>+U135/P135-1</f>
        <v>7.0422535211267734E-2</v>
      </c>
      <c r="V136" s="142">
        <f>AVERAGE(U136,T136,S136,Q136)-6%</f>
        <v>2.9941986583286229E-2</v>
      </c>
      <c r="W136" s="147"/>
      <c r="X136" s="142">
        <f>AVERAGE(V136,U136,T136,S136)-5%</f>
        <v>3.0304195557874891E-2</v>
      </c>
      <c r="Y136" s="142">
        <f>AVERAGE(X136,V136,U136,T136)+0.25%</f>
        <v>6.5017925606763907E-2</v>
      </c>
      <c r="Z136" s="142">
        <f>AVERAGE(Y136,X136,V136,U136)+1.5%</f>
        <v>6.3921660739798186E-2</v>
      </c>
      <c r="AA136" s="142">
        <f>AVERAGE(Z136,Y136,X136,V136)+1.5%</f>
        <v>6.2296442121930806E-2</v>
      </c>
      <c r="AB136" s="147"/>
      <c r="AC136" s="142">
        <f>AVERAGE(AA136,Z136,Y136,X136)-1%</f>
        <v>4.5385056006591949E-2</v>
      </c>
      <c r="AD136" s="142">
        <f>AVERAGE(AC136,AA136,Z136,Y136)-1%</f>
        <v>4.9155271118771209E-2</v>
      </c>
      <c r="AE136" s="142">
        <f>AVERAGE(AD136,AC136,AA136,Z136)-1%</f>
        <v>4.5189607496773032E-2</v>
      </c>
      <c r="AF136" s="142">
        <f>AVERAGE(AE136,AD136,AC136,AA136)-1%</f>
        <v>4.0506594186016751E-2</v>
      </c>
      <c r="AG136" s="147"/>
      <c r="AH136" s="177">
        <f>AVERAGE(AF136,AE136,AD136,AC136)-0.25%</f>
        <v>4.2559132202038233E-2</v>
      </c>
      <c r="AI136" s="177">
        <f>AVERAGE(AH136,AF136,AE136,AD136)-0.25%</f>
        <v>4.1852651250899806E-2</v>
      </c>
      <c r="AJ136" s="177">
        <f>AVERAGE(AI136,AH136,AF136,AE136)-0.25%</f>
        <v>4.0026996283931957E-2</v>
      </c>
      <c r="AK136" s="177">
        <f>AVERAGE(AJ136,AI136,AH136,AF136)-0.25%</f>
        <v>3.8736343480721684E-2</v>
      </c>
      <c r="AL136" s="147"/>
      <c r="AM136" s="177">
        <f>AVERAGE(AK136,AJ136,AI136,AH136)-0.25%</f>
        <v>3.8293780804397916E-2</v>
      </c>
      <c r="AN136" s="177">
        <f>AVERAGE(AM136,AK136,AJ136,AI136)-0.25%</f>
        <v>3.7227442954987838E-2</v>
      </c>
      <c r="AO136" s="177">
        <f>AVERAGE(AN136,AM136,AK136,AJ136)-0.25%</f>
        <v>3.607114088100985E-2</v>
      </c>
      <c r="AP136" s="177">
        <f>AVERAGE(AO136,AN136,AM136,AK136)-0.25%</f>
        <v>3.508217703027932E-2</v>
      </c>
      <c r="AQ136" s="147"/>
    </row>
    <row r="137" spans="1:43" outlineLevel="2" x14ac:dyDescent="0.25">
      <c r="A137" s="53"/>
      <c r="B137" s="741" t="s">
        <v>336</v>
      </c>
      <c r="C137" s="742"/>
      <c r="D137" s="146"/>
      <c r="E137" s="146"/>
      <c r="F137" s="146"/>
      <c r="G137" s="146"/>
      <c r="H137" s="147"/>
      <c r="I137" s="146"/>
      <c r="J137" s="146"/>
      <c r="K137" s="146"/>
      <c r="L137" s="146"/>
      <c r="M137" s="147"/>
      <c r="N137" s="146"/>
      <c r="O137" s="168">
        <v>9</v>
      </c>
      <c r="P137" s="168">
        <v>7</v>
      </c>
      <c r="Q137" s="146"/>
      <c r="R137" s="147"/>
      <c r="S137" s="168">
        <v>0</v>
      </c>
      <c r="T137" s="168"/>
      <c r="U137" s="168"/>
      <c r="V137" s="142"/>
      <c r="W137" s="147"/>
      <c r="X137" s="142"/>
      <c r="Y137" s="142"/>
      <c r="Z137" s="142"/>
      <c r="AA137" s="142"/>
      <c r="AB137" s="147"/>
      <c r="AC137" s="142"/>
      <c r="AD137" s="142"/>
      <c r="AE137" s="142"/>
      <c r="AF137" s="142"/>
      <c r="AG137" s="147"/>
      <c r="AH137" s="142"/>
      <c r="AI137" s="142"/>
      <c r="AJ137" s="142"/>
      <c r="AK137" s="142"/>
      <c r="AL137" s="147"/>
      <c r="AM137" s="142"/>
      <c r="AN137" s="142"/>
      <c r="AO137" s="142"/>
      <c r="AP137" s="142"/>
      <c r="AQ137" s="147"/>
    </row>
    <row r="138" spans="1:43" outlineLevel="2" x14ac:dyDescent="0.25">
      <c r="A138" s="53"/>
      <c r="B138" s="132" t="s">
        <v>196</v>
      </c>
      <c r="C138" s="131"/>
      <c r="D138" s="148">
        <f>+D133*D135*D61/1000</f>
        <v>36.418199999999999</v>
      </c>
      <c r="E138" s="148">
        <f>+E133*E135*E61/1000</f>
        <v>32.035499999999999</v>
      </c>
      <c r="F138" s="148">
        <f>+F133*F135*F61/1000</f>
        <v>29.781359999999999</v>
      </c>
      <c r="G138" s="148">
        <f>+G133*G135*G61/1000</f>
        <v>27.805699999999998</v>
      </c>
      <c r="H138" s="137"/>
      <c r="I138" s="148">
        <f>+I133*I135*I61/1000</f>
        <v>92.834404000000006</v>
      </c>
      <c r="J138" s="148">
        <f>+J133*J135*J61/1000</f>
        <v>93.156052500000001</v>
      </c>
      <c r="K138" s="148">
        <f>+K133*K135*K61/1000</f>
        <v>84.109200000000016</v>
      </c>
      <c r="L138" s="148">
        <f>+L133*L135*L61/1000</f>
        <v>84.793149999999997</v>
      </c>
      <c r="M138" s="137"/>
      <c r="N138" s="148">
        <f>+N133*N135*N61/1000</f>
        <v>83.107050000000001</v>
      </c>
      <c r="O138" s="148">
        <f>+O133*O135*O61/1000+O137</f>
        <v>99.540450000000007</v>
      </c>
      <c r="P138" s="148">
        <f>+P133*P135*P61/1000+P137</f>
        <v>92.883020000000002</v>
      </c>
      <c r="Q138" s="148">
        <f>+Q133*Q135*Q61/1000</f>
        <v>91.817700000000016</v>
      </c>
      <c r="R138" s="137"/>
      <c r="S138" s="148">
        <f>+S133*S135*S61/1000</f>
        <v>84.819800000000001</v>
      </c>
      <c r="T138" s="148">
        <f>+T133*T135*T61/1000</f>
        <v>83.112750000000005</v>
      </c>
      <c r="U138" s="148">
        <f>+U133*U135*U61/1000</f>
        <v>76.098799999999997</v>
      </c>
      <c r="V138" s="148">
        <f>+V133*V135*V61/1000</f>
        <v>79.149261911458836</v>
      </c>
      <c r="W138" s="137"/>
      <c r="X138" s="148">
        <f>+X133*X135*X61/1000</f>
        <v>70.161186368413155</v>
      </c>
      <c r="Y138" s="148">
        <f>+Y133*Y135*Y61/1000</f>
        <v>72.974002856871678</v>
      </c>
      <c r="Z138" s="148">
        <f>+Z133*Z135*Z61/1000</f>
        <v>67.847264828700418</v>
      </c>
      <c r="AA138" s="148">
        <f>+AA133*AA135*AA61/1000</f>
        <v>70.674009570216711</v>
      </c>
      <c r="AB138" s="137"/>
      <c r="AC138" s="148">
        <f>+AC133*AC135*AC61/1000</f>
        <v>59.883243828971246</v>
      </c>
      <c r="AD138" s="148">
        <f>+AD133*AD135*AD61/1000</f>
        <v>62.769044019316645</v>
      </c>
      <c r="AE138" s="148">
        <f>+AE133*AE135*AE61/1000</f>
        <v>58.057911809431467</v>
      </c>
      <c r="AF138" s="148">
        <f>+AF133*AF135*AF61/1000</f>
        <v>59.85130353109188</v>
      </c>
      <c r="AG138" s="137"/>
      <c r="AH138" s="148">
        <f>+AH133*AH135*AH61/1000</f>
        <v>50.865146037877317</v>
      </c>
      <c r="AI138" s="148">
        <f>+AI133*AI135*AI61/1000</f>
        <v>53.252050740887071</v>
      </c>
      <c r="AJ138" s="148">
        <f>+AJ133*AJ135*AJ61/1000</f>
        <v>49.08503818490361</v>
      </c>
      <c r="AK138" s="148">
        <f>+AK133*AK135*AK61/1000</f>
        <v>50.448223998751615</v>
      </c>
      <c r="AL138" s="137"/>
      <c r="AM138" s="148">
        <f>+AM133*AM135*AM61/1000</f>
        <v>42.823420409493728</v>
      </c>
      <c r="AN138" s="148">
        <f>+AN133*AN135*AN61/1000</f>
        <v>44.73332912479934</v>
      </c>
      <c r="AO138" s="148">
        <f>+AO133*AO135*AO61/1000</f>
        <v>41.130753863977674</v>
      </c>
      <c r="AP138" s="148">
        <f>+AP133*AP135*AP61/1000</f>
        <v>42.178692652324322</v>
      </c>
      <c r="AQ138" s="137"/>
    </row>
    <row r="139" spans="1:43" ht="15.75" x14ac:dyDescent="0.25">
      <c r="A139" s="53"/>
      <c r="B139" s="713" t="s">
        <v>206</v>
      </c>
      <c r="C139" s="714"/>
      <c r="D139" s="90" t="s">
        <v>71</v>
      </c>
      <c r="E139" s="90" t="s">
        <v>74</v>
      </c>
      <c r="F139" s="90" t="s">
        <v>75</v>
      </c>
      <c r="G139" s="90" t="s">
        <v>78</v>
      </c>
      <c r="H139" s="400"/>
      <c r="I139" s="90" t="s">
        <v>80</v>
      </c>
      <c r="J139" s="90" t="s">
        <v>91</v>
      </c>
      <c r="K139" s="90" t="s">
        <v>109</v>
      </c>
      <c r="L139" s="90" t="s">
        <v>113</v>
      </c>
      <c r="M139" s="400"/>
      <c r="N139" s="90" t="s">
        <v>115</v>
      </c>
      <c r="O139" s="90" t="s">
        <v>116</v>
      </c>
      <c r="P139" s="90" t="s">
        <v>117</v>
      </c>
      <c r="Q139" s="90" t="s">
        <v>118</v>
      </c>
      <c r="R139" s="400"/>
      <c r="S139" s="90" t="s">
        <v>507</v>
      </c>
      <c r="T139" s="90" t="s">
        <v>749</v>
      </c>
      <c r="U139" s="90" t="s">
        <v>769</v>
      </c>
      <c r="V139" s="92" t="s">
        <v>378</v>
      </c>
      <c r="W139" s="404"/>
      <c r="X139" s="92" t="s">
        <v>380</v>
      </c>
      <c r="Y139" s="92" t="s">
        <v>381</v>
      </c>
      <c r="Z139" s="92" t="s">
        <v>382</v>
      </c>
      <c r="AA139" s="92" t="s">
        <v>383</v>
      </c>
      <c r="AB139" s="404"/>
      <c r="AC139" s="92" t="s">
        <v>385</v>
      </c>
      <c r="AD139" s="92" t="s">
        <v>386</v>
      </c>
      <c r="AE139" s="92" t="s">
        <v>387</v>
      </c>
      <c r="AF139" s="92" t="s">
        <v>388</v>
      </c>
      <c r="AG139" s="404"/>
      <c r="AH139" s="92" t="s">
        <v>390</v>
      </c>
      <c r="AI139" s="92" t="s">
        <v>391</v>
      </c>
      <c r="AJ139" s="92" t="s">
        <v>392</v>
      </c>
      <c r="AK139" s="92" t="s">
        <v>393</v>
      </c>
      <c r="AL139" s="404"/>
      <c r="AM139" s="92" t="s">
        <v>395</v>
      </c>
      <c r="AN139" s="92" t="s">
        <v>396</v>
      </c>
      <c r="AO139" s="92" t="s">
        <v>397</v>
      </c>
      <c r="AP139" s="92" t="s">
        <v>398</v>
      </c>
      <c r="AQ139" s="404"/>
    </row>
    <row r="140" spans="1:43" ht="15.75" x14ac:dyDescent="0.25">
      <c r="A140" s="53"/>
      <c r="B140" s="293" t="s">
        <v>208</v>
      </c>
      <c r="C140" s="150"/>
      <c r="D140" s="157">
        <f>ROUND((3460-D148),0)</f>
        <v>0</v>
      </c>
      <c r="E140" s="157">
        <f>ROUND((3677-E148),0)</f>
        <v>0</v>
      </c>
      <c r="F140" s="157">
        <f>ROUND((4025-F148),0)</f>
        <v>0</v>
      </c>
      <c r="G140" s="157">
        <f>ROUND((3889-G148),0)</f>
        <v>0</v>
      </c>
      <c r="H140" s="187"/>
      <c r="I140" s="157">
        <f>ROUND((3893-I148),0)</f>
        <v>0</v>
      </c>
      <c r="J140" s="157">
        <f>ROUND((4017-J148),0)</f>
        <v>0</v>
      </c>
      <c r="K140" s="157">
        <f>ROUND((4297-K148),0)</f>
        <v>0</v>
      </c>
      <c r="L140" s="157">
        <f>ROUND((4296-L148),0)</f>
        <v>0</v>
      </c>
      <c r="M140" s="54"/>
      <c r="N140" s="157">
        <f>ROUND((4245-N148),0)</f>
        <v>0</v>
      </c>
      <c r="O140" s="157">
        <f>ROUND((4525-O148),0)</f>
        <v>0</v>
      </c>
      <c r="P140" s="157">
        <f>ROUND((4828-P148),0)</f>
        <v>0</v>
      </c>
      <c r="Q140" s="157">
        <f>ROUND((4797-Q148),0)</f>
        <v>0</v>
      </c>
      <c r="R140" s="54"/>
      <c r="S140" s="157"/>
      <c r="T140" s="157"/>
      <c r="U140" s="157"/>
      <c r="V140" s="49"/>
      <c r="W140" s="54"/>
      <c r="X140" s="49"/>
      <c r="Y140" s="49"/>
      <c r="Z140" s="49"/>
      <c r="AA140" s="49"/>
      <c r="AB140" s="54"/>
      <c r="AC140" s="49"/>
      <c r="AD140" s="49"/>
      <c r="AE140" s="49"/>
      <c r="AF140" s="49"/>
      <c r="AG140" s="54"/>
      <c r="AH140" s="49"/>
      <c r="AI140" s="49"/>
      <c r="AJ140" s="49"/>
      <c r="AK140" s="49"/>
      <c r="AL140" s="54"/>
      <c r="AM140" s="49"/>
      <c r="AN140" s="49"/>
      <c r="AO140" s="49"/>
      <c r="AP140" s="49"/>
      <c r="AQ140" s="54"/>
    </row>
    <row r="141" spans="1:43" outlineLevel="1" x14ac:dyDescent="0.25">
      <c r="A141" s="53"/>
      <c r="B141" s="723" t="s">
        <v>374</v>
      </c>
      <c r="C141" s="724"/>
      <c r="D141" s="262">
        <v>6717.4</v>
      </c>
      <c r="E141" s="262">
        <v>7623.4</v>
      </c>
      <c r="F141" s="262">
        <v>8339.4</v>
      </c>
      <c r="G141" s="262">
        <v>7453.4</v>
      </c>
      <c r="H141" s="54"/>
      <c r="I141" s="262">
        <v>7389.4</v>
      </c>
      <c r="J141" s="262">
        <v>8005.4</v>
      </c>
      <c r="K141" s="262">
        <v>8522.4</v>
      </c>
      <c r="L141" s="262">
        <v>7700.4</v>
      </c>
      <c r="M141" s="54"/>
      <c r="N141" s="262">
        <v>7688.4</v>
      </c>
      <c r="O141" s="262">
        <v>8576.4</v>
      </c>
      <c r="P141" s="262">
        <v>8993.4</v>
      </c>
      <c r="Q141" s="262">
        <v>8125.4</v>
      </c>
      <c r="R141" s="54"/>
      <c r="S141" s="262">
        <v>8221</v>
      </c>
      <c r="T141" s="124">
        <v>9237</v>
      </c>
      <c r="U141" s="124">
        <v>9550</v>
      </c>
      <c r="V141" s="124">
        <f>+Q141*(1+V142)</f>
        <v>8660.4175409056425</v>
      </c>
      <c r="W141" s="50"/>
      <c r="X141" s="124">
        <f>+S141*(1+X142)</f>
        <v>8619.7871813900329</v>
      </c>
      <c r="Y141" s="124">
        <f>+T141*(1+Y142)</f>
        <v>9637.1204709942613</v>
      </c>
      <c r="Z141" s="124">
        <f>+U141*(1+Z142)</f>
        <v>9978.7004576546697</v>
      </c>
      <c r="AA141" s="124">
        <f>+V141*(1+AA142)</f>
        <v>9098.9825381134142</v>
      </c>
      <c r="AB141" s="50"/>
      <c r="AC141" s="124">
        <f>+X141*(1+AC142)</f>
        <v>9023.5288926151588</v>
      </c>
      <c r="AD141" s="124">
        <f>+Y141*(1+AD142)</f>
        <v>10084.490914855962</v>
      </c>
      <c r="AE141" s="124">
        <f>+Z141*(1+AE142)</f>
        <v>10449.67216522283</v>
      </c>
      <c r="AF141" s="124">
        <f>+AA141*(1+AF142)</f>
        <v>9533.682785201865</v>
      </c>
      <c r="AG141" s="50"/>
      <c r="AH141" s="124">
        <f>+AC141*(1+AH142)</f>
        <v>9425.6011653770165</v>
      </c>
      <c r="AI141" s="124">
        <f>+AD141*(1+AI142)</f>
        <v>10528.087742141641</v>
      </c>
      <c r="AJ141" s="124">
        <f>+AE141*(1+AJ142)</f>
        <v>10902.975105161324</v>
      </c>
      <c r="AK141" s="124">
        <f>+AF141*(1+AK142)</f>
        <v>9938.1503823175062</v>
      </c>
      <c r="AL141" s="50"/>
      <c r="AM141" s="124">
        <f>+AH141*(1+AM142)</f>
        <v>9812.8778624088682</v>
      </c>
      <c r="AN141" s="124">
        <f>+AI141*(1+AN142)</f>
        <v>10951.528793035503</v>
      </c>
      <c r="AO141" s="124">
        <f>+AJ141*(1+AO142)</f>
        <v>11331.22385922268</v>
      </c>
      <c r="AP141" s="124">
        <f>+AK141*(1+AP142)</f>
        <v>10318.312327028856</v>
      </c>
      <c r="AQ141" s="50"/>
    </row>
    <row r="142" spans="1:43" outlineLevel="1" x14ac:dyDescent="0.25">
      <c r="A142" s="53"/>
      <c r="B142" s="141" t="s">
        <v>204</v>
      </c>
      <c r="C142" s="285"/>
      <c r="D142" s="166">
        <f>+D141/6456-1</f>
        <v>4.0489467162329484E-2</v>
      </c>
      <c r="E142" s="166">
        <f>+E141/6967-1</f>
        <v>9.4215587770920095E-2</v>
      </c>
      <c r="F142" s="166">
        <f>+F141/7496-1</f>
        <v>0.11251334044823902</v>
      </c>
      <c r="G142" s="166">
        <f>+G141/6746-1</f>
        <v>0.10486214052772014</v>
      </c>
      <c r="H142" s="84"/>
      <c r="I142" s="166">
        <f>+I141/D141-1</f>
        <v>0.10003870545151394</v>
      </c>
      <c r="J142" s="166">
        <f>+J141/E141-1</f>
        <v>5.0108875304982092E-2</v>
      </c>
      <c r="K142" s="166">
        <f>+K141/F141-1</f>
        <v>2.1944024749982027E-2</v>
      </c>
      <c r="L142" s="166">
        <f>+L141/G141-1</f>
        <v>3.3139238468349985E-2</v>
      </c>
      <c r="M142" s="84"/>
      <c r="N142" s="166">
        <f>+N141/I141-1</f>
        <v>4.0463366443824977E-2</v>
      </c>
      <c r="O142" s="166">
        <f>+O141/J141-1</f>
        <v>7.132685437329811E-2</v>
      </c>
      <c r="P142" s="166">
        <f>+P141/K141-1</f>
        <v>5.5266122219093106E-2</v>
      </c>
      <c r="Q142" s="166">
        <f>+Q141/L141-1</f>
        <v>5.5191938081138536E-2</v>
      </c>
      <c r="R142" s="84"/>
      <c r="S142" s="166">
        <f>+S141/N141-1</f>
        <v>6.927319078091676E-2</v>
      </c>
      <c r="T142" s="166">
        <f>+T141/O141-1</f>
        <v>7.7025325311319559E-2</v>
      </c>
      <c r="U142" s="166">
        <f>+U141/P141-1</f>
        <v>6.1889830320012607E-2</v>
      </c>
      <c r="V142" s="177">
        <f>AVERAGE(U142,T142,S142,Q142)</f>
        <v>6.5845071123346866E-2</v>
      </c>
      <c r="W142" s="76"/>
      <c r="X142" s="177">
        <f>AVERAGE(V142,U142,T142,S142)-2%</f>
        <v>4.8508354383898944E-2</v>
      </c>
      <c r="Y142" s="177">
        <f>AVERAGE(X142,V142,U142,T142)-2%</f>
        <v>4.331714528464449E-2</v>
      </c>
      <c r="Z142" s="177">
        <f>AVERAGE(Y142,X142,V142,U142)-1%</f>
        <v>4.4890100277975721E-2</v>
      </c>
      <c r="AA142" s="177">
        <f>AVERAGE(Z142,Y142,X142,V142)</f>
        <v>5.0640167767466507E-2</v>
      </c>
      <c r="AB142" s="57"/>
      <c r="AC142" s="142">
        <f>AVERAGE(AA142,Z142,Y142,X142)</f>
        <v>4.6838941928496414E-2</v>
      </c>
      <c r="AD142" s="142">
        <f>AVERAGE(AC142,AA142,Z142,Y142)</f>
        <v>4.6421588814645781E-2</v>
      </c>
      <c r="AE142" s="142">
        <f>AVERAGE(AD142,AC142,AA142,Z142)</f>
        <v>4.7197699697146107E-2</v>
      </c>
      <c r="AF142" s="142">
        <f>AVERAGE(AE142,AD142,AC142,AA142)</f>
        <v>4.7774599551938704E-2</v>
      </c>
      <c r="AG142" s="57"/>
      <c r="AH142" s="177">
        <f>AVERAGE(AF142,AE142,AD142,AC142)-0.25%</f>
        <v>4.4558207498056751E-2</v>
      </c>
      <c r="AI142" s="177">
        <f>AVERAGE(AH142,AF142,AE142,AD142)-0.25%</f>
        <v>4.3988023890446835E-2</v>
      </c>
      <c r="AJ142" s="177">
        <f>AVERAGE(AI142,AH142,AF142,AE142)-0.25%</f>
        <v>4.3379632659397094E-2</v>
      </c>
      <c r="AK142" s="177">
        <f>AVERAGE(AJ142,AI142,AH142,AF142)-0.25%</f>
        <v>4.2425115899959842E-2</v>
      </c>
      <c r="AL142" s="57"/>
      <c r="AM142" s="177">
        <f>AVERAGE(AK142,AJ142,AI142,AH142)-0.25%</f>
        <v>4.108774498696513E-2</v>
      </c>
      <c r="AN142" s="177">
        <f>AVERAGE(AM142,AK142,AJ142,AI142)-0.25%</f>
        <v>4.0220129359192225E-2</v>
      </c>
      <c r="AO142" s="177">
        <f>AVERAGE(AN142,AM142,AK142,AJ142)-0.25%</f>
        <v>3.9278155726378571E-2</v>
      </c>
      <c r="AP142" s="177">
        <f>AVERAGE(AO142,AN142,AM142,AK142)-0.25%</f>
        <v>3.8252786493123941E-2</v>
      </c>
      <c r="AQ142" s="57"/>
    </row>
    <row r="143" spans="1:43" outlineLevel="1" x14ac:dyDescent="0.25">
      <c r="A143" s="53"/>
      <c r="B143" s="123" t="s">
        <v>207</v>
      </c>
      <c r="C143" s="285"/>
      <c r="D143" s="143">
        <v>7.9139999999999997</v>
      </c>
      <c r="E143" s="143">
        <v>7.6440000000000001</v>
      </c>
      <c r="F143" s="143">
        <v>7.6539999999999999</v>
      </c>
      <c r="G143" s="143">
        <v>8.0139999999999993</v>
      </c>
      <c r="H143" s="54"/>
      <c r="I143" s="143">
        <v>8.0939999999999994</v>
      </c>
      <c r="J143" s="143">
        <v>7.9539999999999997</v>
      </c>
      <c r="K143" s="143">
        <v>8.1240000000000006</v>
      </c>
      <c r="L143" s="143">
        <v>8.5739999999999998</v>
      </c>
      <c r="M143" s="54"/>
      <c r="N143" s="143">
        <v>8.4749999998999996</v>
      </c>
      <c r="O143" s="143">
        <v>8.3549999999000004</v>
      </c>
      <c r="P143" s="143">
        <v>8.6449999000000002</v>
      </c>
      <c r="Q143" s="143">
        <v>9.0500000000000007</v>
      </c>
      <c r="R143" s="54"/>
      <c r="S143" s="143">
        <v>8.9600000000000009</v>
      </c>
      <c r="T143" s="143">
        <v>8.81</v>
      </c>
      <c r="U143" s="143">
        <v>8.8699999999999992</v>
      </c>
      <c r="V143" s="143">
        <f>+Q143*(1+V144)</f>
        <v>9.4871802549780551</v>
      </c>
      <c r="W143" s="50"/>
      <c r="X143" s="143">
        <f>+S143*(1+X144)</f>
        <v>9.1974833980830706</v>
      </c>
      <c r="Y143" s="143">
        <f>+T143*(1+Y144)</f>
        <v>8.9758418165519949</v>
      </c>
      <c r="Z143" s="143">
        <f>+U143*(1+Z144)</f>
        <v>9.0466525708458434</v>
      </c>
      <c r="AA143" s="143">
        <f>+V143*(1+AA144)</f>
        <v>9.7565024678604608</v>
      </c>
      <c r="AB143" s="50"/>
      <c r="AC143" s="143">
        <f>+X143*(1+AC144)</f>
        <v>9.4127800742494703</v>
      </c>
      <c r="AD143" s="143">
        <f>+Y143*(1+AD144)</f>
        <v>9.1790015485595404</v>
      </c>
      <c r="AE143" s="143">
        <f>+Z143*(1+AE144)</f>
        <v>9.260031497235147</v>
      </c>
      <c r="AF143" s="143">
        <f>+AA143*(1+AF144)</f>
        <v>9.9955777447351792</v>
      </c>
      <c r="AG143" s="50"/>
      <c r="AH143" s="143">
        <f>+AC143*(1+AH144)</f>
        <v>9.6107613829263929</v>
      </c>
      <c r="AI143" s="143">
        <f>+AD143*(1+AI144)</f>
        <v>9.3666157709098332</v>
      </c>
      <c r="AJ143" s="143">
        <f>+AE143*(1+AJ144)</f>
        <v>9.4442215154488505</v>
      </c>
      <c r="AK143" s="143">
        <f>+AF143*(1+AK144)</f>
        <v>10.18516339062681</v>
      </c>
      <c r="AL143" s="50"/>
      <c r="AM143" s="143">
        <f>+AH143*(1+AM144)</f>
        <v>9.7797439462509814</v>
      </c>
      <c r="AN143" s="143">
        <f>+AI143*(1+AN144)</f>
        <v>9.5232254884821685</v>
      </c>
      <c r="AO143" s="143">
        <f>+AJ143*(1+AO144)</f>
        <v>9.5933468248471758</v>
      </c>
      <c r="AP143" s="143">
        <f>+AK143*(1+AP144)</f>
        <v>10.335546548272639</v>
      </c>
      <c r="AQ143" s="50"/>
    </row>
    <row r="144" spans="1:43" outlineLevel="1" x14ac:dyDescent="0.25">
      <c r="A144" s="53"/>
      <c r="B144" s="141" t="s">
        <v>203</v>
      </c>
      <c r="C144" s="285"/>
      <c r="D144" s="166">
        <f>+D143/7.15-1</f>
        <v>0.10685314685314684</v>
      </c>
      <c r="E144" s="166">
        <f>+E143/6.96-1</f>
        <v>9.8275862068965436E-2</v>
      </c>
      <c r="F144" s="166">
        <f>+F143/7.06-1</f>
        <v>8.4135977337110424E-2</v>
      </c>
      <c r="G144" s="166">
        <f>+G143/7.49-1</f>
        <v>6.9959946595460565E-2</v>
      </c>
      <c r="H144" s="84"/>
      <c r="I144" s="166">
        <f>+I143/D143-1</f>
        <v>2.2744503411675554E-2</v>
      </c>
      <c r="J144" s="166">
        <f>+J143/E143-1</f>
        <v>4.055468341182622E-2</v>
      </c>
      <c r="K144" s="166">
        <f>+K143/F143-1</f>
        <v>6.14058008884244E-2</v>
      </c>
      <c r="L144" s="166">
        <f>+L143/G143-1</f>
        <v>6.9877714000499136E-2</v>
      </c>
      <c r="M144" s="84"/>
      <c r="N144" s="166">
        <f>+N143/I143-1</f>
        <v>4.707190510254522E-2</v>
      </c>
      <c r="O144" s="166">
        <f>+O143/J143-1</f>
        <v>5.0414885579582736E-2</v>
      </c>
      <c r="P144" s="166">
        <f>+P143/K143-1</f>
        <v>6.4130957656326926E-2</v>
      </c>
      <c r="Q144" s="166">
        <f>+Q143/L143-1</f>
        <v>5.5516678329834424E-2</v>
      </c>
      <c r="R144" s="84"/>
      <c r="S144" s="166">
        <f>+S143/N143-1</f>
        <v>5.7227138655542742E-2</v>
      </c>
      <c r="T144" s="166">
        <f>+T143/O143-1</f>
        <v>5.4458408151459636E-2</v>
      </c>
      <c r="U144" s="166">
        <f>+U143/P143-1</f>
        <v>2.6026616842413031E-2</v>
      </c>
      <c r="V144" s="177">
        <f>AVERAGE(U144,T144,S144,Q144)</f>
        <v>4.8307210494812458E-2</v>
      </c>
      <c r="W144" s="76"/>
      <c r="X144" s="177">
        <f>AVERAGE(V144,U144,T144,S144)-2%</f>
        <v>2.6504843536056966E-2</v>
      </c>
      <c r="Y144" s="177">
        <f>AVERAGE(X144,V144,U144,T144)-2%</f>
        <v>1.8824269756185525E-2</v>
      </c>
      <c r="Z144" s="177">
        <f>AVERAGE(Y144,X144,V144,U144)-1%</f>
        <v>1.9915735157366991E-2</v>
      </c>
      <c r="AA144" s="177">
        <f>AVERAGE(Z144,Y144,X144,V144)</f>
        <v>2.8388014736105485E-2</v>
      </c>
      <c r="AB144" s="57"/>
      <c r="AC144" s="142">
        <f>AVERAGE(AA144,Z144,Y144,X144)</f>
        <v>2.3408215796428742E-2</v>
      </c>
      <c r="AD144" s="142">
        <f>AVERAGE(AC144,AA144,Z144,Y144)</f>
        <v>2.2634058861521682E-2</v>
      </c>
      <c r="AE144" s="142">
        <f>AVERAGE(AD144,AC144,AA144,Z144)</f>
        <v>2.3586506137855727E-2</v>
      </c>
      <c r="AF144" s="142">
        <f>AVERAGE(AE144,AD144,AC144,AA144)</f>
        <v>2.4504198882977907E-2</v>
      </c>
      <c r="AG144" s="57"/>
      <c r="AH144" s="177">
        <f>AVERAGE(AF144,AE144,AD144,AC144)-0.25%</f>
        <v>2.1033244919696017E-2</v>
      </c>
      <c r="AI144" s="177">
        <f>AVERAGE(AH144,AF144,AE144,AD144)-0.25%</f>
        <v>2.0439502200512834E-2</v>
      </c>
      <c r="AJ144" s="177">
        <f>AVERAGE(AI144,AH144,AF144,AE144)-0.25%</f>
        <v>1.9890863035260619E-2</v>
      </c>
      <c r="AK144" s="177">
        <f>AVERAGE(AJ144,AI144,AH144,AF144)-0.25%</f>
        <v>1.8966952259611845E-2</v>
      </c>
      <c r="AL144" s="57"/>
      <c r="AM144" s="177">
        <f>AVERAGE(AK144,AJ144,AI144,AH144)-0.25%</f>
        <v>1.7582640603770329E-2</v>
      </c>
      <c r="AN144" s="177">
        <f>AVERAGE(AM144,AK144,AJ144,AI144)-0.25%</f>
        <v>1.6719989524788908E-2</v>
      </c>
      <c r="AO144" s="177">
        <f>AVERAGE(AN144,AM144,AK144,AJ144)-0.25%</f>
        <v>1.5790111355857925E-2</v>
      </c>
      <c r="AP144" s="177">
        <f>AVERAGE(AO144,AN144,AM144,AK144)-0.25%</f>
        <v>1.4764923436007252E-2</v>
      </c>
      <c r="AQ144" s="57"/>
    </row>
    <row r="145" spans="1:43" outlineLevel="1" x14ac:dyDescent="0.25">
      <c r="A145" s="53"/>
      <c r="B145" s="123" t="s">
        <v>328</v>
      </c>
      <c r="C145" s="285"/>
      <c r="D145" s="139">
        <v>5</v>
      </c>
      <c r="E145" s="139">
        <v>6</v>
      </c>
      <c r="F145" s="139">
        <v>4</v>
      </c>
      <c r="G145" s="139">
        <v>6</v>
      </c>
      <c r="H145" s="54"/>
      <c r="I145" s="139">
        <v>5</v>
      </c>
      <c r="J145" s="139">
        <v>5</v>
      </c>
      <c r="K145" s="139">
        <v>4</v>
      </c>
      <c r="L145" s="139">
        <v>4</v>
      </c>
      <c r="M145" s="54"/>
      <c r="N145" s="139">
        <v>10</v>
      </c>
      <c r="O145" s="139">
        <v>11</v>
      </c>
      <c r="P145" s="139">
        <v>8</v>
      </c>
      <c r="Q145" s="139">
        <v>17</v>
      </c>
      <c r="R145" s="54"/>
      <c r="S145" s="262">
        <v>11</v>
      </c>
      <c r="T145" s="262">
        <f>5142-5127</f>
        <v>15</v>
      </c>
      <c r="U145" s="124">
        <f>5261-5252</f>
        <v>9</v>
      </c>
      <c r="V145" s="124">
        <f>+Q145*(1+V146)</f>
        <v>17</v>
      </c>
      <c r="W145" s="50"/>
      <c r="X145" s="124">
        <f>+S145*(1+X146)</f>
        <v>12.39875</v>
      </c>
      <c r="Y145" s="124">
        <f>+T145*(1+Y146)</f>
        <v>17.009232954545457</v>
      </c>
      <c r="Z145" s="124">
        <f>+U145*(1+Z146)</f>
        <v>9.7787428977272715</v>
      </c>
      <c r="AA145" s="124">
        <f>+V145*(1+AA146)</f>
        <v>18.477448508522727</v>
      </c>
      <c r="AB145" s="50"/>
      <c r="AC145" s="124">
        <f>+X145*(1+AC146)</f>
        <v>13.745699609929863</v>
      </c>
      <c r="AD145" s="124">
        <f>+Y145*(1+AD146)</f>
        <v>18.778280387358237</v>
      </c>
      <c r="AE145" s="124">
        <f>+Z145*(1+AE146)</f>
        <v>10.722579268641706</v>
      </c>
      <c r="AF145" s="124">
        <f>+AA145*(1+AF146)</f>
        <v>20.307034532640504</v>
      </c>
      <c r="AG145" s="50"/>
      <c r="AH145" s="124">
        <f>+AC145*(1+AH146)</f>
        <v>15.114006629144836</v>
      </c>
      <c r="AI145" s="124">
        <f>+AD145*(1+AI146)</f>
        <v>20.604871579994224</v>
      </c>
      <c r="AJ145" s="124">
        <f>+AE145*(1+AJ146)</f>
        <v>11.747529955895169</v>
      </c>
      <c r="AK145" s="124">
        <f>+AF145*(1+AK146)</f>
        <v>22.243417755350709</v>
      </c>
      <c r="AL145" s="50"/>
      <c r="AM145" s="124">
        <f>+AH145*(1+AM146)</f>
        <v>16.541370467678291</v>
      </c>
      <c r="AN145" s="124">
        <f>+AI145*(1+AN146)</f>
        <v>22.524496902739759</v>
      </c>
      <c r="AO145" s="124">
        <f>+AJ145*(1+AO146)</f>
        <v>12.829908699047829</v>
      </c>
      <c r="AP145" s="124">
        <f>+AK145*(1+AP146)</f>
        <v>24.273660518907867</v>
      </c>
      <c r="AQ145" s="50"/>
    </row>
    <row r="146" spans="1:43" outlineLevel="1" x14ac:dyDescent="0.25">
      <c r="A146" s="53"/>
      <c r="B146" s="141" t="s">
        <v>326</v>
      </c>
      <c r="C146" s="285"/>
      <c r="D146" s="166"/>
      <c r="E146" s="166"/>
      <c r="F146" s="166"/>
      <c r="G146" s="166"/>
      <c r="H146" s="84"/>
      <c r="I146" s="166">
        <f>+I145/D145-1</f>
        <v>0</v>
      </c>
      <c r="J146" s="166">
        <f>+J145/E145-1</f>
        <v>-0.16666666666666663</v>
      </c>
      <c r="K146" s="166">
        <f>+K145/F145-1</f>
        <v>0</v>
      </c>
      <c r="L146" s="166">
        <f>+L145/G145-1</f>
        <v>-0.33333333333333337</v>
      </c>
      <c r="M146" s="84"/>
      <c r="N146" s="166">
        <f>+N145/I145-1</f>
        <v>1</v>
      </c>
      <c r="O146" s="166">
        <f>+O145/J145-1</f>
        <v>1.2000000000000002</v>
      </c>
      <c r="P146" s="166">
        <f>+P145/K145-1</f>
        <v>1</v>
      </c>
      <c r="Q146" s="166">
        <f>+Q145/L145-1</f>
        <v>3.25</v>
      </c>
      <c r="R146" s="84"/>
      <c r="S146" s="166">
        <f>+S145/N145-1</f>
        <v>0.10000000000000009</v>
      </c>
      <c r="T146" s="166">
        <f>+T145/O145-1</f>
        <v>0.36363636363636354</v>
      </c>
      <c r="U146" s="166">
        <f>+U145/P145-1</f>
        <v>0.125</v>
      </c>
      <c r="V146" s="142">
        <v>0</v>
      </c>
      <c r="W146" s="57"/>
      <c r="X146" s="142">
        <f>AVERAGE(V146,U146,T146,S146)-2%</f>
        <v>0.12715909090909092</v>
      </c>
      <c r="Y146" s="142">
        <f>AVERAGE(X146,V146,U146,T146)-2%</f>
        <v>0.13394886363636363</v>
      </c>
      <c r="Z146" s="142">
        <f>AVERAGE(Y146,X146,V146,U146)-1%</f>
        <v>8.6526988636363641E-2</v>
      </c>
      <c r="AA146" s="142">
        <f>AVERAGE(Z146,Y146,X146,V146)</f>
        <v>8.690873579545455E-2</v>
      </c>
      <c r="AB146" s="57"/>
      <c r="AC146" s="142">
        <f>AVERAGE(AA146,Z146,Y146,X146)</f>
        <v>0.10863591974431819</v>
      </c>
      <c r="AD146" s="142">
        <f>AVERAGE(AC146,AA146,Z146,Y146)</f>
        <v>0.104005126953125</v>
      </c>
      <c r="AE146" s="142">
        <f>AVERAGE(AD146,AC146,AA146,Z146)</f>
        <v>9.6519192782315355E-2</v>
      </c>
      <c r="AF146" s="142">
        <f>AVERAGE(AE146,AD146,AC146,AA146)</f>
        <v>9.901724381880328E-2</v>
      </c>
      <c r="AG146" s="57"/>
      <c r="AH146" s="177">
        <f>AVERAGE(AF146,AE146,AD146,AC146)-0.25%</f>
        <v>9.954437082464046E-2</v>
      </c>
      <c r="AI146" s="177">
        <f>AVERAGE(AH146,AF146,AE146,AD146)-0.25%</f>
        <v>9.7271483594721014E-2</v>
      </c>
      <c r="AJ146" s="177">
        <f>AVERAGE(AI146,AH146,AF146,AE146)-0.25%</f>
        <v>9.5588072755120018E-2</v>
      </c>
      <c r="AK146" s="177">
        <f>AVERAGE(AJ146,AI146,AH146,AF146)-0.25%</f>
        <v>9.5355292748321191E-2</v>
      </c>
      <c r="AL146" s="57"/>
      <c r="AM146" s="177">
        <f>AVERAGE(AK146,AJ146,AI146,AH146)-0.25%</f>
        <v>9.4439804980700662E-2</v>
      </c>
      <c r="AN146" s="177">
        <f>AVERAGE(AM146,AK146,AJ146,AI146)-0.25%</f>
        <v>9.3163663519715723E-2</v>
      </c>
      <c r="AO146" s="177">
        <f>AVERAGE(AN146,AM146,AK146,AJ146)-0.25%</f>
        <v>9.2136708500964393E-2</v>
      </c>
      <c r="AP146" s="177">
        <f>AVERAGE(AO146,AN146,AM146,AK146)-0.25%</f>
        <v>9.1273867437425493E-2</v>
      </c>
      <c r="AQ146" s="57"/>
    </row>
    <row r="147" spans="1:43" x14ac:dyDescent="0.25">
      <c r="A147" s="53"/>
      <c r="B147" s="289" t="s">
        <v>332</v>
      </c>
      <c r="C147" s="290"/>
      <c r="D147" s="139">
        <v>65</v>
      </c>
      <c r="E147" s="139">
        <v>63</v>
      </c>
      <c r="F147" s="139">
        <v>63</v>
      </c>
      <c r="G147" s="139">
        <v>65</v>
      </c>
      <c r="H147" s="54"/>
      <c r="I147" s="139">
        <v>65</v>
      </c>
      <c r="J147" s="139">
        <v>63</v>
      </c>
      <c r="K147" s="139">
        <v>62</v>
      </c>
      <c r="L147" s="139">
        <v>65</v>
      </c>
      <c r="M147" s="54"/>
      <c r="N147" s="139">
        <v>65</v>
      </c>
      <c r="O147" s="139">
        <v>63</v>
      </c>
      <c r="P147" s="139">
        <v>62</v>
      </c>
      <c r="Q147" s="139">
        <v>65</v>
      </c>
      <c r="R147" s="54"/>
      <c r="S147" s="139">
        <v>65</v>
      </c>
      <c r="T147" s="139">
        <v>63</v>
      </c>
      <c r="U147" s="139">
        <v>62</v>
      </c>
      <c r="V147" s="140">
        <v>65</v>
      </c>
      <c r="W147" s="54"/>
      <c r="X147" s="140">
        <v>65</v>
      </c>
      <c r="Y147" s="140">
        <v>63</v>
      </c>
      <c r="Z147" s="140">
        <v>62</v>
      </c>
      <c r="AA147" s="140">
        <v>65</v>
      </c>
      <c r="AB147" s="54"/>
      <c r="AC147" s="140">
        <v>65</v>
      </c>
      <c r="AD147" s="140">
        <v>63</v>
      </c>
      <c r="AE147" s="140">
        <v>62</v>
      </c>
      <c r="AF147" s="140">
        <v>65</v>
      </c>
      <c r="AG147" s="54"/>
      <c r="AH147" s="140">
        <v>65</v>
      </c>
      <c r="AI147" s="140">
        <v>63</v>
      </c>
      <c r="AJ147" s="140">
        <v>62</v>
      </c>
      <c r="AK147" s="140">
        <v>65</v>
      </c>
      <c r="AL147" s="54"/>
      <c r="AM147" s="140">
        <v>65</v>
      </c>
      <c r="AN147" s="140">
        <v>63</v>
      </c>
      <c r="AO147" s="140">
        <v>62</v>
      </c>
      <c r="AP147" s="140">
        <v>65</v>
      </c>
      <c r="AQ147" s="54"/>
    </row>
    <row r="148" spans="1:43" outlineLevel="1" x14ac:dyDescent="0.25">
      <c r="A148" s="53"/>
      <c r="B148" s="119" t="s">
        <v>260</v>
      </c>
      <c r="C148" s="120"/>
      <c r="D148" s="144">
        <f>(D141*D143*D147/1000)+D145</f>
        <v>3460.4977339999996</v>
      </c>
      <c r="E148" s="144">
        <f>(E141*E143*E147/1000)+E145</f>
        <v>3677.2159847999997</v>
      </c>
      <c r="F148" s="144">
        <f>(F141*F143*F147/1000)+F145</f>
        <v>4025.2753588</v>
      </c>
      <c r="G148" s="144">
        <f>(G141*G143*G147/1000)+G145</f>
        <v>3888.5505939999994</v>
      </c>
      <c r="H148" s="56"/>
      <c r="I148" s="144">
        <f>(I141*I143*I147/1000)+I145</f>
        <v>3892.6372339999998</v>
      </c>
      <c r="J148" s="144">
        <f>(J141*J143*J147/1000)+J145</f>
        <v>4016.5219507999996</v>
      </c>
      <c r="K148" s="144">
        <f>(K141*K143*K147/1000)+K145</f>
        <v>4296.6306112000002</v>
      </c>
      <c r="L148" s="144">
        <f>(L141*L143*L147/1000)+L145</f>
        <v>4295.509924</v>
      </c>
      <c r="M148" s="56"/>
      <c r="N148" s="144">
        <f>(N141*N143*N147/1000)+N145</f>
        <v>4245.3473499500251</v>
      </c>
      <c r="O148" s="144">
        <f>(O141*O143*O147/1000)+O145</f>
        <v>4525.3167859459691</v>
      </c>
      <c r="P148" s="144">
        <f>(P141*P143*P147/1000)+P145</f>
        <v>4828.3724102409205</v>
      </c>
      <c r="Q148" s="144">
        <f>(Q141*Q143*Q147/1000)+Q145</f>
        <v>4796.7665499999994</v>
      </c>
      <c r="R148" s="56"/>
      <c r="S148" s="144">
        <f>(S141*S143*S147/1000)+S145</f>
        <v>4798.9104000000007</v>
      </c>
      <c r="T148" s="144">
        <f>(T141*T143*T147/1000)+T145</f>
        <v>5141.8121100000008</v>
      </c>
      <c r="U148" s="144">
        <f>(U141*U143*U147/1000)+U145</f>
        <v>5260.9269999999988</v>
      </c>
      <c r="V148" s="144">
        <f>(V141*V143*V147/1000)+V145</f>
        <v>5357.5912491064646</v>
      </c>
      <c r="W148" s="51"/>
      <c r="X148" s="144">
        <f>(X141*X143*X147/1000)+X145</f>
        <v>5165.6214672298656</v>
      </c>
      <c r="Y148" s="144">
        <f>(Y141*Y143*Y147/1000)+Y145</f>
        <v>5466.5891745806157</v>
      </c>
      <c r="Z148" s="144">
        <f>(Z141*Z143*Z147/1000)+Z145</f>
        <v>5606.7565841321439</v>
      </c>
      <c r="AA148" s="144">
        <f>(AA141*AA143*AA147/1000)+AA145</f>
        <v>5788.8034117365023</v>
      </c>
      <c r="AB148" s="51"/>
      <c r="AC148" s="144">
        <f>(AC141*AC143*AC147/1000)+AC145</f>
        <v>5534.6177419983833</v>
      </c>
      <c r="AD148" s="144">
        <f>(AD141*AD143*AD147/1000)+AD145</f>
        <v>5850.4084169929001</v>
      </c>
      <c r="AE148" s="144">
        <f>(AE141*AE143*AE147/1000)+AE145</f>
        <v>6010.1087691848179</v>
      </c>
      <c r="AF148" s="144">
        <f>(AF141*AF143*AF147/1000)+AF145</f>
        <v>6214.4604202860037</v>
      </c>
      <c r="AG148" s="51"/>
      <c r="AH148" s="144">
        <f>(AH141*AH143*AH147/1000)+AH145</f>
        <v>5903.2822465487889</v>
      </c>
      <c r="AI148" s="144">
        <f>(AI141*AI143*AI147/1000)+AI145</f>
        <v>6233.1956906131763</v>
      </c>
      <c r="AJ148" s="144">
        <f>(AJ141*AJ143*AJ147/1000)+AJ145</f>
        <v>6395.8944783310972</v>
      </c>
      <c r="AK148" s="144">
        <f>(AK141*AK143*AK147/1000)+AK145</f>
        <v>6601.6529716494179</v>
      </c>
      <c r="AL148" s="51"/>
      <c r="AM148" s="144">
        <f>(AM141*AM143*AM147/1000)+AM145</f>
        <v>6254.4245070302495</v>
      </c>
      <c r="AN148" s="144">
        <f>(AN141*AN143*AN147/1000)+AN145</f>
        <v>6593.0388197027096</v>
      </c>
      <c r="AO148" s="144">
        <f>(AO141*AO143*AO147/1000)+AO145</f>
        <v>6752.500255452449</v>
      </c>
      <c r="AP148" s="144">
        <f>(AP141*AP143*AP147/1000)+AP145</f>
        <v>6956.2244886343451</v>
      </c>
      <c r="AQ148" s="51"/>
    </row>
    <row r="149" spans="1:43" outlineLevel="1" x14ac:dyDescent="0.25">
      <c r="A149" s="53"/>
      <c r="B149" s="135" t="s">
        <v>261</v>
      </c>
      <c r="C149" s="134"/>
      <c r="D149" s="318">
        <f>ROUND((524-D154),0)</f>
        <v>0</v>
      </c>
      <c r="E149" s="318">
        <f>ROUND((511-E154),0)</f>
        <v>0</v>
      </c>
      <c r="F149" s="318">
        <f>ROUND((549-F154),0)</f>
        <v>0</v>
      </c>
      <c r="G149" s="318">
        <f>ROUND((656-G154),0)</f>
        <v>0</v>
      </c>
      <c r="H149" s="136"/>
      <c r="I149" s="318">
        <f>ROUND((596-I154),0)</f>
        <v>0</v>
      </c>
      <c r="J149" s="318">
        <f>ROUND((450-J154),0)</f>
        <v>0</v>
      </c>
      <c r="K149" s="318">
        <f>ROUND((501-K154),0)</f>
        <v>0</v>
      </c>
      <c r="L149" s="318">
        <f>ROUND((696-L154),0)</f>
        <v>0</v>
      </c>
      <c r="M149" s="136"/>
      <c r="N149" s="318">
        <f>ROUND((606-N154),0)</f>
        <v>0</v>
      </c>
      <c r="O149" s="318">
        <f>ROUND((496-O154),0)</f>
        <v>0</v>
      </c>
      <c r="P149" s="318">
        <f>ROUND((614-P154),0)</f>
        <v>0</v>
      </c>
      <c r="Q149" s="318">
        <f>ROUND((813-Q154),0)</f>
        <v>1</v>
      </c>
      <c r="R149" s="147"/>
      <c r="S149" s="319"/>
      <c r="T149" s="319"/>
      <c r="U149" s="319"/>
      <c r="V149" s="319"/>
      <c r="W149" s="136"/>
      <c r="X149" s="319"/>
      <c r="Y149" s="319"/>
      <c r="Z149" s="319"/>
      <c r="AA149" s="319"/>
      <c r="AB149" s="136"/>
      <c r="AC149" s="319"/>
      <c r="AD149" s="319"/>
      <c r="AE149" s="319"/>
      <c r="AF149" s="319"/>
      <c r="AG149" s="136"/>
      <c r="AH149" s="319"/>
      <c r="AI149" s="319"/>
      <c r="AJ149" s="319"/>
      <c r="AK149" s="319"/>
      <c r="AL149" s="136"/>
      <c r="AM149" s="319"/>
      <c r="AN149" s="319"/>
      <c r="AO149" s="319"/>
      <c r="AP149" s="319"/>
      <c r="AQ149" s="136"/>
    </row>
    <row r="150" spans="1:43" outlineLevel="1" x14ac:dyDescent="0.25">
      <c r="A150" s="53"/>
      <c r="B150" s="127" t="s">
        <v>158</v>
      </c>
      <c r="C150" s="134"/>
      <c r="D150" s="168">
        <v>3</v>
      </c>
      <c r="E150" s="168">
        <v>2</v>
      </c>
      <c r="F150" s="168">
        <v>3</v>
      </c>
      <c r="G150" s="168">
        <v>2</v>
      </c>
      <c r="H150" s="136"/>
      <c r="I150" s="168">
        <v>2</v>
      </c>
      <c r="J150" s="168">
        <v>3</v>
      </c>
      <c r="K150" s="168">
        <v>3</v>
      </c>
      <c r="L150" s="168">
        <v>2</v>
      </c>
      <c r="M150" s="136"/>
      <c r="N150" s="168">
        <v>2</v>
      </c>
      <c r="O150" s="168">
        <v>4</v>
      </c>
      <c r="P150" s="168">
        <v>4</v>
      </c>
      <c r="Q150" s="168">
        <v>3</v>
      </c>
      <c r="R150" s="136"/>
      <c r="S150" s="168">
        <v>3</v>
      </c>
      <c r="T150" s="168">
        <v>4</v>
      </c>
      <c r="U150" s="168">
        <v>4</v>
      </c>
      <c r="V150" s="140">
        <f>+U150/U141*V141</f>
        <v>3.6274000171332532</v>
      </c>
      <c r="W150" s="136"/>
      <c r="X150" s="140">
        <f>+V150/V141*X141</f>
        <v>3.6103820655036785</v>
      </c>
      <c r="Y150" s="140">
        <f>+X150/X141*Y141</f>
        <v>4.0364902496311039</v>
      </c>
      <c r="Z150" s="140">
        <f>+Y150/Y141*Z141</f>
        <v>4.1795604011119032</v>
      </c>
      <c r="AA150" s="140">
        <f>+Z150/Z141*AA141</f>
        <v>3.811092162560592</v>
      </c>
      <c r="AB150" s="136"/>
      <c r="AC150" s="140">
        <f>(AA150/AA141*AC141)*(1+0.5%)</f>
        <v>3.7983859841165373</v>
      </c>
      <c r="AD150" s="140">
        <f>(AC150/AC141*AD141)*(1+0.5%)</f>
        <v>4.2662148424198483</v>
      </c>
      <c r="AE150" s="140">
        <f>(AD150/AD141*AE141)*(1+0.5%)</f>
        <v>4.4428072374125982</v>
      </c>
      <c r="AF150" s="140">
        <f>(AE150/AE141*AF141)*(1+0.5%)</f>
        <v>4.0736298496852861</v>
      </c>
      <c r="AG150" s="136"/>
      <c r="AH150" s="140">
        <f>(AF150/AF141*AH141)*(1+0.5%)</f>
        <v>4.0475850916392435</v>
      </c>
      <c r="AI150" s="140">
        <f>(AH150/AH141*AI141)*(1+0.5%)</f>
        <v>4.5436250581892885</v>
      </c>
      <c r="AJ150" s="140">
        <f>(AI150/AI141*AJ141)*(1+0.5%)</f>
        <v>4.7289429258670301</v>
      </c>
      <c r="AK150" s="140">
        <f>(AJ150/AJ141*AK141)*(1+0.5%)</f>
        <v>4.3320222435468496</v>
      </c>
      <c r="AL150" s="136"/>
      <c r="AM150" s="140">
        <f>(AK150/AK141*AM141)*(1+0.5%)</f>
        <v>4.2988032536761631</v>
      </c>
      <c r="AN150" s="140">
        <f>(AM150/AM141*AN141)*(1+0.5%)</f>
        <v>4.8216089723810871</v>
      </c>
      <c r="AO150" s="140">
        <f>(AN150/AN141*AO141)*(1+0.5%)</f>
        <v>5.013720487658599</v>
      </c>
      <c r="AP150" s="140">
        <f>(AO150/AO141*AP141)*(1+0.5%)</f>
        <v>4.5883657606259565</v>
      </c>
      <c r="AQ150" s="136"/>
    </row>
    <row r="151" spans="1:43" outlineLevel="1" x14ac:dyDescent="0.25">
      <c r="A151" s="53"/>
      <c r="B151" s="127" t="s">
        <v>157</v>
      </c>
      <c r="C151" s="134"/>
      <c r="D151" s="168">
        <v>132</v>
      </c>
      <c r="E151" s="168">
        <v>136</v>
      </c>
      <c r="F151" s="168">
        <v>145</v>
      </c>
      <c r="G151" s="168">
        <v>143</v>
      </c>
      <c r="H151" s="136"/>
      <c r="I151" s="168">
        <v>145</v>
      </c>
      <c r="J151" s="168">
        <v>155</v>
      </c>
      <c r="K151" s="168">
        <v>165</v>
      </c>
      <c r="L151" s="168">
        <v>162</v>
      </c>
      <c r="M151" s="136"/>
      <c r="N151" s="168">
        <v>161</v>
      </c>
      <c r="O151" s="168">
        <v>166</v>
      </c>
      <c r="P151" s="168">
        <v>177</v>
      </c>
      <c r="Q151" s="168">
        <v>177</v>
      </c>
      <c r="R151" s="136"/>
      <c r="S151" s="168">
        <v>173</v>
      </c>
      <c r="T151" s="168">
        <v>180</v>
      </c>
      <c r="U151" s="168">
        <v>185</v>
      </c>
      <c r="V151" s="168">
        <f>U151/(U69+U151+U168+U182)*V18</f>
        <v>187.3610665251617</v>
      </c>
      <c r="W151" s="136"/>
      <c r="X151" s="168">
        <f>V151/(V69+V151+V168+V182)*X18</f>
        <v>192.86548251040804</v>
      </c>
      <c r="Y151" s="168">
        <f>X151/(X69+X151+X168+X182)*Y18</f>
        <v>197.16454451359812</v>
      </c>
      <c r="Z151" s="168">
        <f>Y151/(Y69+Y151+Y168+Y182)*Z18</f>
        <v>199.26070852385178</v>
      </c>
      <c r="AA151" s="168">
        <f>Z151/(Z69+Z151+Z168+Z182)*AA18</f>
        <v>203.76419108456886</v>
      </c>
      <c r="AB151" s="136"/>
      <c r="AC151" s="168">
        <f>AA151/(AA69+AA151+AA168+AA182)*AC18</f>
        <v>210.3014849287039</v>
      </c>
      <c r="AD151" s="168">
        <f>AC151/(AC69+AC151+AC168+AC182)*AD18</f>
        <v>214.70614522077253</v>
      </c>
      <c r="AE151" s="168">
        <f>AD151/(AD69+AD151+AD168+AD182)*AE18</f>
        <v>216.87515345042669</v>
      </c>
      <c r="AF151" s="168">
        <f>AE151/(AE69+AE151+AE168+AE182)*AF18</f>
        <v>221.42874575417511</v>
      </c>
      <c r="AG151" s="136"/>
      <c r="AH151" s="168">
        <f>AF151/(AF69+AF151+AF168+AF182)*AH18</f>
        <v>228.10124545921872</v>
      </c>
      <c r="AI151" s="168">
        <f>AH151/(AH69+AH151+AH168+AH182)*AI18</f>
        <v>232.59036124026784</v>
      </c>
      <c r="AJ151" s="168">
        <f>AI151/(AI69+AI151+AI168+AI182)*AJ18</f>
        <v>234.79949151169694</v>
      </c>
      <c r="AK151" s="168">
        <f>AJ151/(AJ69+AJ151+AJ168+AJ182)*AK18</f>
        <v>239.42171925384309</v>
      </c>
      <c r="AL151" s="136"/>
      <c r="AM151" s="168">
        <f>AK151/(AK69+AK151+AK168+AK182)*AM18</f>
        <v>246.20191443674065</v>
      </c>
      <c r="AN151" s="168">
        <f>AM151/(AM69+AM151+AM168+AM182)*AN18</f>
        <v>250.75763521321903</v>
      </c>
      <c r="AO151" s="168">
        <f>AN151/(AN69+AN151+AN168+AN182)*AO18</f>
        <v>252.99721352266178</v>
      </c>
      <c r="AP151" s="168">
        <f>AO151/(AO69+AO151+AO168+AO182)*AP18</f>
        <v>257.67689836725032</v>
      </c>
      <c r="AQ151" s="136"/>
    </row>
    <row r="152" spans="1:43" outlineLevel="1" x14ac:dyDescent="0.25">
      <c r="A152" s="53"/>
      <c r="B152" s="127" t="s">
        <v>253</v>
      </c>
      <c r="C152" s="134"/>
      <c r="D152" s="168">
        <v>2801</v>
      </c>
      <c r="E152" s="168">
        <v>3028</v>
      </c>
      <c r="F152" s="168">
        <v>3328</v>
      </c>
      <c r="G152" s="168">
        <v>3088</v>
      </c>
      <c r="H152" s="136"/>
      <c r="I152" s="168">
        <f>3141+9</f>
        <v>3150</v>
      </c>
      <c r="J152" s="168">
        <f>3400+9</f>
        <v>3409</v>
      </c>
      <c r="K152" s="168">
        <f>3618+10</f>
        <v>3628</v>
      </c>
      <c r="L152" s="168">
        <f>3428+8</f>
        <v>3436</v>
      </c>
      <c r="M152" s="136"/>
      <c r="N152" s="168">
        <f>3457+19</f>
        <v>3476</v>
      </c>
      <c r="O152" s="168">
        <f>3840+19</f>
        <v>3859</v>
      </c>
      <c r="P152" s="168">
        <f>4014+19</f>
        <v>4033</v>
      </c>
      <c r="Q152" s="168">
        <f>3786+19</f>
        <v>3805</v>
      </c>
      <c r="R152" s="136"/>
      <c r="S152" s="168">
        <v>3956</v>
      </c>
      <c r="T152" s="168">
        <f>891+2342+200+84+394+461</f>
        <v>4372</v>
      </c>
      <c r="U152" s="168">
        <v>4495</v>
      </c>
      <c r="V152" s="168">
        <f>+V153*V148</f>
        <v>4383.8098739988227</v>
      </c>
      <c r="W152" s="136"/>
      <c r="X152" s="168">
        <f>+X153*X148</f>
        <v>4180.8153379229698</v>
      </c>
      <c r="Y152" s="168">
        <f>+Y153*Y148</f>
        <v>4730.1515433126651</v>
      </c>
      <c r="Z152" s="168">
        <f>+Z153*Z148</f>
        <v>4874.5823506222996</v>
      </c>
      <c r="AA152" s="168">
        <f>+AA153*AA148</f>
        <v>4823.4781249579755</v>
      </c>
      <c r="AB152" s="136"/>
      <c r="AC152" s="168">
        <f>+AC153*AC148</f>
        <v>4424.1176958196775</v>
      </c>
      <c r="AD152" s="168">
        <f>+AD153*AD148</f>
        <v>5003.7600660844946</v>
      </c>
      <c r="AE152" s="168">
        <f>+AE153*AE148</f>
        <v>5165.160557249601</v>
      </c>
      <c r="AF152" s="168">
        <f>+AF153*AF148</f>
        <v>5116.00911144989</v>
      </c>
      <c r="AG152" s="136"/>
      <c r="AH152" s="168">
        <f>+AH153*AH148</f>
        <v>4733.5692722221465</v>
      </c>
      <c r="AI152" s="168">
        <f>+AI153*AI148</f>
        <v>5346.7348435463855</v>
      </c>
      <c r="AJ152" s="168">
        <f>+AJ153*AJ148</f>
        <v>5512.699222917332</v>
      </c>
      <c r="AK152" s="168">
        <f>+AK153*AK148</f>
        <v>5451.2666812964471</v>
      </c>
      <c r="AL152" s="136"/>
      <c r="AM152" s="168">
        <f>+AM153*AM148</f>
        <v>5030.7700876339786</v>
      </c>
      <c r="AN152" s="168">
        <f>+AN153*AN148</f>
        <v>5671.8850794780819</v>
      </c>
      <c r="AO152" s="168">
        <f>+AO153*AO148</f>
        <v>5836.9433290697498</v>
      </c>
      <c r="AP152" s="168">
        <f>+AP153*AP148</f>
        <v>5761.4420806452854</v>
      </c>
      <c r="AQ152" s="136"/>
    </row>
    <row r="153" spans="1:43" outlineLevel="1" x14ac:dyDescent="0.25">
      <c r="A153" s="53"/>
      <c r="B153" s="127" t="s">
        <v>255</v>
      </c>
      <c r="C153" s="134"/>
      <c r="D153" s="319">
        <f>+D152/D148</f>
        <v>0.80942113398303428</v>
      </c>
      <c r="E153" s="319">
        <f>+E152/E148</f>
        <v>0.82344904746319658</v>
      </c>
      <c r="F153" s="319">
        <f>+F152/F148</f>
        <v>0.82677573665224502</v>
      </c>
      <c r="G153" s="319">
        <f>+G152/G148</f>
        <v>0.79412622398812505</v>
      </c>
      <c r="H153" s="136"/>
      <c r="I153" s="319">
        <f>+I152/I148</f>
        <v>0.80922002504793389</v>
      </c>
      <c r="J153" s="319">
        <f>+J152/J148</f>
        <v>0.84874427222313698</v>
      </c>
      <c r="K153" s="319">
        <f>+K152/K148</f>
        <v>0.84438257050604137</v>
      </c>
      <c r="L153" s="319">
        <f>+L152/L148</f>
        <v>0.7999050312518845</v>
      </c>
      <c r="M153" s="320"/>
      <c r="N153" s="146">
        <f>+N152/N148</f>
        <v>0.8187787037121752</v>
      </c>
      <c r="O153" s="146">
        <f>+O152/O148</f>
        <v>0.85275797972523981</v>
      </c>
      <c r="P153" s="146">
        <f>+P152/P148</f>
        <v>0.83527111360467032</v>
      </c>
      <c r="Q153" s="146">
        <f>+Q152/Q148</f>
        <v>0.79324268970312939</v>
      </c>
      <c r="R153" s="179"/>
      <c r="S153" s="146">
        <f>+S152/S148</f>
        <v>0.82435379497812655</v>
      </c>
      <c r="T153" s="146">
        <f>+T152/T148</f>
        <v>0.85028388950602851</v>
      </c>
      <c r="U153" s="146">
        <f>+U152/U148</f>
        <v>0.85441215968212469</v>
      </c>
      <c r="V153" s="177">
        <f>+Q153+2.5%</f>
        <v>0.81824268970312941</v>
      </c>
      <c r="W153" s="136"/>
      <c r="X153" s="177">
        <f>+S153-1.5%</f>
        <v>0.80935379497812654</v>
      </c>
      <c r="Y153" s="177">
        <f>+T153+1.5%</f>
        <v>0.86528388950602853</v>
      </c>
      <c r="Z153" s="177">
        <f>+U153+1.5%</f>
        <v>0.86941215968212471</v>
      </c>
      <c r="AA153" s="177">
        <f>+V153+1.5%</f>
        <v>0.83324268970312942</v>
      </c>
      <c r="AB153" s="136"/>
      <c r="AC153" s="177">
        <f>+X153-1%</f>
        <v>0.79935379497812653</v>
      </c>
      <c r="AD153" s="177">
        <f>+Y153-1%</f>
        <v>0.85528388950602852</v>
      </c>
      <c r="AE153" s="177">
        <f>+Z153-1%</f>
        <v>0.8594121596821247</v>
      </c>
      <c r="AF153" s="177">
        <f>+AA153-1%</f>
        <v>0.82324268970312942</v>
      </c>
      <c r="AG153" s="136"/>
      <c r="AH153" s="177">
        <f>+AC153+0.25%</f>
        <v>0.80185379497812648</v>
      </c>
      <c r="AI153" s="177">
        <f>+AD153+0.25%</f>
        <v>0.85778388950602846</v>
      </c>
      <c r="AJ153" s="177">
        <f>+AE153+0.25%</f>
        <v>0.86191215968212465</v>
      </c>
      <c r="AK153" s="177">
        <f>+AF153+0.25%</f>
        <v>0.82574268970312936</v>
      </c>
      <c r="AL153" s="136"/>
      <c r="AM153" s="177">
        <f>+AH153+0.25%</f>
        <v>0.80435379497812642</v>
      </c>
      <c r="AN153" s="177">
        <f>+AI153+0.25%</f>
        <v>0.86028388950602841</v>
      </c>
      <c r="AO153" s="177">
        <f>+AJ153+0.25%</f>
        <v>0.86441215968212459</v>
      </c>
      <c r="AP153" s="177">
        <f>+AK153+0.25%</f>
        <v>0.82824268970312931</v>
      </c>
      <c r="AQ153" s="136"/>
    </row>
    <row r="154" spans="1:43" s="55" customFormat="1" outlineLevel="1" x14ac:dyDescent="0.25">
      <c r="A154" s="196"/>
      <c r="B154" s="172" t="s">
        <v>327</v>
      </c>
      <c r="C154" s="134"/>
      <c r="D154" s="169">
        <f>+D148-D151-D152-D150</f>
        <v>524.49773399999958</v>
      </c>
      <c r="E154" s="169">
        <f>+E148-E151-E152-E150</f>
        <v>511.21598479999966</v>
      </c>
      <c r="F154" s="169">
        <f>+F148-F151-F152-F150</f>
        <v>549.27535880000005</v>
      </c>
      <c r="G154" s="169">
        <f>+G148-G151-G152-G150</f>
        <v>655.55059399999936</v>
      </c>
      <c r="H154" s="173"/>
      <c r="I154" s="169">
        <f>+I148-I151-I152-I150</f>
        <v>595.63723399999981</v>
      </c>
      <c r="J154" s="169">
        <f>+J148-J151-J152-J150</f>
        <v>449.52195079999956</v>
      </c>
      <c r="K154" s="169">
        <f>+K148-K151-K152-K150</f>
        <v>500.6306112000002</v>
      </c>
      <c r="L154" s="169">
        <f>+L148-L151-L152-L150</f>
        <v>695.50992399999996</v>
      </c>
      <c r="M154" s="173"/>
      <c r="N154" s="169">
        <f>+N148-N151-N152-N150</f>
        <v>606.34734995002509</v>
      </c>
      <c r="O154" s="169">
        <f>+O148-O151-O152-O150</f>
        <v>496.31678594596906</v>
      </c>
      <c r="P154" s="169">
        <f>+P148-P151-P152-P150</f>
        <v>614.37241024092054</v>
      </c>
      <c r="Q154" s="169">
        <f>+Q148-Q151-Q152-Q150</f>
        <v>811.76654999999937</v>
      </c>
      <c r="R154" s="173"/>
      <c r="S154" s="169">
        <f>+S148-S151-S152-S150</f>
        <v>666.91040000000066</v>
      </c>
      <c r="T154" s="169">
        <f>+T148-T151-T152-T150</f>
        <v>585.81211000000076</v>
      </c>
      <c r="U154" s="169">
        <f>+U148-U151-U152-U150</f>
        <v>576.92699999999877</v>
      </c>
      <c r="V154" s="169">
        <f>+V148-V151-V152-V150</f>
        <v>782.79290856534692</v>
      </c>
      <c r="W154" s="173"/>
      <c r="X154" s="169">
        <f>+X148-X151-X152-X150</f>
        <v>788.33026473098448</v>
      </c>
      <c r="Y154" s="169">
        <f>+Y148-Y151-Y152-Y150</f>
        <v>535.23659650472121</v>
      </c>
      <c r="Z154" s="169">
        <f>+Z148-Z151-Z152-Z150</f>
        <v>528.73396458488094</v>
      </c>
      <c r="AA154" s="169">
        <f>+AA148-AA151-AA152-AA150</f>
        <v>757.75000353139751</v>
      </c>
      <c r="AB154" s="173"/>
      <c r="AC154" s="169">
        <f>+AC148-AC151-AC152-AC150</f>
        <v>896.40017526588554</v>
      </c>
      <c r="AD154" s="169">
        <f>+AD148-AD151-AD152-AD150</f>
        <v>627.67599084521305</v>
      </c>
      <c r="AE154" s="169">
        <f>+AE148-AE151-AE152-AE150</f>
        <v>623.63025124737806</v>
      </c>
      <c r="AF154" s="169">
        <f>+AF148-AF151-AF152-AF150</f>
        <v>872.94893323225335</v>
      </c>
      <c r="AG154" s="173"/>
      <c r="AH154" s="169">
        <f>+AH148-AH151-AH152-AH150</f>
        <v>937.56414377578392</v>
      </c>
      <c r="AI154" s="169">
        <f>+AI148-AI151-AI152-AI150</f>
        <v>649.32686076833352</v>
      </c>
      <c r="AJ154" s="169">
        <f>+AJ148-AJ151-AJ152-AJ150</f>
        <v>643.66682097620117</v>
      </c>
      <c r="AK154" s="169">
        <f>+AK148-AK151-AK152-AK150</f>
        <v>906.63254885558126</v>
      </c>
      <c r="AL154" s="173"/>
      <c r="AM154" s="169">
        <f>+AM148-AM151-AM152-AM150</f>
        <v>973.15370170585425</v>
      </c>
      <c r="AN154" s="169">
        <f>+AN148-AN151-AN152-AN150</f>
        <v>665.57449603902739</v>
      </c>
      <c r="AO154" s="169">
        <f>+AO148-AO151-AO152-AO150</f>
        <v>657.54599237237892</v>
      </c>
      <c r="AP154" s="169">
        <f>+AP148-AP151-AP152-AP150</f>
        <v>932.51714386118374</v>
      </c>
      <c r="AQ154" s="173"/>
    </row>
    <row r="155" spans="1:43" s="55" customFormat="1" outlineLevel="1" x14ac:dyDescent="0.25">
      <c r="A155" s="196"/>
      <c r="B155" s="172" t="s">
        <v>263</v>
      </c>
      <c r="C155" s="134"/>
      <c r="D155" s="321">
        <f>+D154/D148</f>
        <v>0.15156713696030399</v>
      </c>
      <c r="E155" s="321">
        <f>+E154/E148</f>
        <v>0.13902256133801838</v>
      </c>
      <c r="F155" s="321">
        <f>+F154/F148</f>
        <v>0.13645659236682581</v>
      </c>
      <c r="G155" s="321">
        <f>+G154/G148</f>
        <v>0.16858481795543778</v>
      </c>
      <c r="H155" s="322"/>
      <c r="I155" s="321">
        <f>+I154/I148</f>
        <v>0.15301637378316252</v>
      </c>
      <c r="J155" s="321">
        <f>+J154/J148</f>
        <v>0.11191821090644483</v>
      </c>
      <c r="K155" s="321">
        <f>+K154/K148</f>
        <v>0.1165170238034914</v>
      </c>
      <c r="L155" s="321">
        <f>+L154/L148</f>
        <v>0.16191556679080785</v>
      </c>
      <c r="M155" s="322"/>
      <c r="N155" s="321">
        <f>+N154/N148</f>
        <v>0.14282632255218478</v>
      </c>
      <c r="O155" s="321">
        <f>+O154/O148</f>
        <v>0.10967558944985978</v>
      </c>
      <c r="P155" s="321">
        <f>+P154/P148</f>
        <v>0.12724213421024524</v>
      </c>
      <c r="Q155" s="321">
        <f>+Q154/Q148</f>
        <v>0.16923203194034939</v>
      </c>
      <c r="R155" s="322"/>
      <c r="S155" s="321">
        <f>+S154/S148</f>
        <v>0.13897121313204777</v>
      </c>
      <c r="T155" s="321">
        <f>+T154/T148</f>
        <v>0.11393106116434905</v>
      </c>
      <c r="U155" s="321">
        <f>+U154/U148</f>
        <v>0.1096626126916414</v>
      </c>
      <c r="V155" s="321">
        <f>+V154/V148</f>
        <v>0.14610911362375781</v>
      </c>
      <c r="W155" s="322"/>
      <c r="X155" s="321">
        <f>+X154/X148</f>
        <v>0.15261092391923509</v>
      </c>
      <c r="Y155" s="321">
        <f>+Y154/Y148</f>
        <v>9.7910521425964542E-2</v>
      </c>
      <c r="Z155" s="321">
        <f>+Z154/Z148</f>
        <v>9.430299972024242E-2</v>
      </c>
      <c r="AA155" s="321">
        <f>+AA154/AA148</f>
        <v>0.13089924629243727</v>
      </c>
      <c r="AB155" s="322"/>
      <c r="AC155" s="321">
        <f>+AC154/AC148</f>
        <v>0.16196243662208593</v>
      </c>
      <c r="AD155" s="321">
        <f>+AD154/AD148</f>
        <v>0.10728755090364057</v>
      </c>
      <c r="AE155" s="321">
        <f>+AE154/AE148</f>
        <v>0.10376355490351039</v>
      </c>
      <c r="AF155" s="321">
        <f>+AF154/AF148</f>
        <v>0.14047059184457372</v>
      </c>
      <c r="AG155" s="322"/>
      <c r="AH155" s="321">
        <f>+AH154/AH148</f>
        <v>0.15882082282681098</v>
      </c>
      <c r="AI155" s="321">
        <f>+AI154/AI148</f>
        <v>0.10417238492065656</v>
      </c>
      <c r="AJ155" s="321">
        <f>+AJ154/AJ148</f>
        <v>0.10063749850109399</v>
      </c>
      <c r="AK155" s="321">
        <f>+AK154/AK148</f>
        <v>0.13733417263056466</v>
      </c>
      <c r="AL155" s="322"/>
      <c r="AM155" s="321">
        <f>+AM154/AM148</f>
        <v>0.15559444367934835</v>
      </c>
      <c r="AN155" s="321">
        <f>+AN154/AN148</f>
        <v>0.10095109618496667</v>
      </c>
      <c r="AO155" s="321">
        <f>+AO154/AO148</f>
        <v>9.7378151424937678E-2</v>
      </c>
      <c r="AP155" s="321">
        <f>+AP154/AP148</f>
        <v>0.13405506757075011</v>
      </c>
      <c r="AQ155" s="322"/>
    </row>
    <row r="156" spans="1:43" ht="15.75" x14ac:dyDescent="0.25">
      <c r="A156" s="53"/>
      <c r="B156" s="713" t="s">
        <v>244</v>
      </c>
      <c r="C156" s="714"/>
      <c r="D156" s="90" t="s">
        <v>71</v>
      </c>
      <c r="E156" s="90" t="s">
        <v>74</v>
      </c>
      <c r="F156" s="90" t="s">
        <v>75</v>
      </c>
      <c r="G156" s="90" t="s">
        <v>78</v>
      </c>
      <c r="H156" s="400"/>
      <c r="I156" s="90" t="s">
        <v>80</v>
      </c>
      <c r="J156" s="90" t="s">
        <v>91</v>
      </c>
      <c r="K156" s="90" t="s">
        <v>109</v>
      </c>
      <c r="L156" s="90" t="s">
        <v>113</v>
      </c>
      <c r="M156" s="400"/>
      <c r="N156" s="90" t="s">
        <v>115</v>
      </c>
      <c r="O156" s="90" t="s">
        <v>116</v>
      </c>
      <c r="P156" s="90" t="s">
        <v>117</v>
      </c>
      <c r="Q156" s="90" t="s">
        <v>118</v>
      </c>
      <c r="R156" s="400"/>
      <c r="S156" s="90" t="s">
        <v>507</v>
      </c>
      <c r="T156" s="90" t="s">
        <v>749</v>
      </c>
      <c r="U156" s="90" t="s">
        <v>769</v>
      </c>
      <c r="V156" s="92" t="s">
        <v>378</v>
      </c>
      <c r="W156" s="404"/>
      <c r="X156" s="92" t="s">
        <v>380</v>
      </c>
      <c r="Y156" s="92" t="s">
        <v>381</v>
      </c>
      <c r="Z156" s="92" t="s">
        <v>382</v>
      </c>
      <c r="AA156" s="92" t="s">
        <v>383</v>
      </c>
      <c r="AB156" s="404"/>
      <c r="AC156" s="92" t="s">
        <v>385</v>
      </c>
      <c r="AD156" s="92" t="s">
        <v>386</v>
      </c>
      <c r="AE156" s="92" t="s">
        <v>387</v>
      </c>
      <c r="AF156" s="92" t="s">
        <v>388</v>
      </c>
      <c r="AG156" s="404"/>
      <c r="AH156" s="92" t="s">
        <v>390</v>
      </c>
      <c r="AI156" s="92" t="s">
        <v>391</v>
      </c>
      <c r="AJ156" s="92" t="s">
        <v>392</v>
      </c>
      <c r="AK156" s="92" t="s">
        <v>393</v>
      </c>
      <c r="AL156" s="404"/>
      <c r="AM156" s="92" t="s">
        <v>395</v>
      </c>
      <c r="AN156" s="92" t="s">
        <v>396</v>
      </c>
      <c r="AO156" s="92" t="s">
        <v>397</v>
      </c>
      <c r="AP156" s="92" t="s">
        <v>398</v>
      </c>
      <c r="AQ156" s="404"/>
    </row>
    <row r="157" spans="1:43" ht="15.75" outlineLevel="1" x14ac:dyDescent="0.25">
      <c r="A157" s="53"/>
      <c r="B157" s="299" t="s">
        <v>245</v>
      </c>
      <c r="C157" s="175"/>
      <c r="D157" s="157">
        <f>ROUND((1502-D165),0)</f>
        <v>0</v>
      </c>
      <c r="E157" s="157">
        <f>ROUND((1447-E165),0)</f>
        <v>0</v>
      </c>
      <c r="F157" s="157">
        <f>ROUND((1361-F165),0)</f>
        <v>0</v>
      </c>
      <c r="G157" s="157">
        <f>ROUND((1516-G165),0)</f>
        <v>0</v>
      </c>
      <c r="H157" s="54"/>
      <c r="I157" s="157">
        <f>ROUND((1562-I165),0)</f>
        <v>0</v>
      </c>
      <c r="J157" s="157">
        <f>ROUND((1502-J165),0)</f>
        <v>0</v>
      </c>
      <c r="K157" s="157">
        <f>ROUND((1406-K165),0)</f>
        <v>0</v>
      </c>
      <c r="L157" s="157">
        <f>ROUND((1600-L165),0)</f>
        <v>0</v>
      </c>
      <c r="M157" s="54"/>
      <c r="N157" s="157">
        <f>ROUND((1664-N165),0)</f>
        <v>0</v>
      </c>
      <c r="O157" s="157">
        <f>ROUND((1673-O165),0)</f>
        <v>0</v>
      </c>
      <c r="P157" s="157">
        <f>ROUND((1613-P165),0)</f>
        <v>0</v>
      </c>
      <c r="Q157" s="157">
        <f>ROUND((1862-Q165),0)</f>
        <v>0</v>
      </c>
      <c r="R157" s="54"/>
      <c r="S157" s="49"/>
      <c r="T157" s="49"/>
      <c r="U157" s="49"/>
      <c r="V157" s="49"/>
      <c r="W157" s="54"/>
      <c r="X157" s="49"/>
      <c r="Y157" s="49"/>
      <c r="Z157" s="49"/>
      <c r="AA157" s="49"/>
      <c r="AB157" s="54"/>
      <c r="AC157" s="49"/>
      <c r="AD157" s="49"/>
      <c r="AE157" s="49"/>
      <c r="AF157" s="49"/>
      <c r="AG157" s="54"/>
      <c r="AH157" s="49"/>
      <c r="AI157" s="49"/>
      <c r="AJ157" s="49"/>
      <c r="AK157" s="49"/>
      <c r="AL157" s="54"/>
      <c r="AM157" s="49"/>
      <c r="AN157" s="49"/>
      <c r="AO157" s="49"/>
      <c r="AP157" s="49"/>
      <c r="AQ157" s="54"/>
    </row>
    <row r="158" spans="1:43" outlineLevel="1" x14ac:dyDescent="0.25">
      <c r="A158" s="53"/>
      <c r="B158" s="295" t="s">
        <v>375</v>
      </c>
      <c r="C158" s="290"/>
      <c r="D158" s="139">
        <v>97.153000000000006</v>
      </c>
      <c r="E158" s="139">
        <v>100.32899999999999</v>
      </c>
      <c r="F158" s="139">
        <v>94.744</v>
      </c>
      <c r="G158" s="139">
        <v>102.845</v>
      </c>
      <c r="H158" s="54"/>
      <c r="I158" s="139">
        <f>104811.4/1000</f>
        <v>104.81139999999999</v>
      </c>
      <c r="J158" s="139">
        <f>104125/1000</f>
        <v>104.125</v>
      </c>
      <c r="K158" s="139">
        <f>94583/1000</f>
        <v>94.582999999999998</v>
      </c>
      <c r="L158" s="139">
        <f>102709/1000</f>
        <v>102.709</v>
      </c>
      <c r="M158" s="54"/>
      <c r="N158" s="139">
        <f>106080/1000</f>
        <v>106.08</v>
      </c>
      <c r="O158" s="139">
        <f>108638/1000</f>
        <v>108.63800000000001</v>
      </c>
      <c r="P158" s="139">
        <f>100340/1000</f>
        <v>100.34</v>
      </c>
      <c r="Q158" s="262">
        <f>110560/1000</f>
        <v>110.56</v>
      </c>
      <c r="R158" s="54"/>
      <c r="S158" s="262">
        <f>115745/1000</f>
        <v>115.745</v>
      </c>
      <c r="T158" s="262">
        <v>117.05</v>
      </c>
      <c r="U158" s="262">
        <v>105.91200000000001</v>
      </c>
      <c r="V158" s="262">
        <f>+Q158*(1+V159)</f>
        <v>118.86616292067738</v>
      </c>
      <c r="W158" s="54"/>
      <c r="X158" s="262">
        <f>+S158*(1+X159)</f>
        <v>122.0878621100408</v>
      </c>
      <c r="Y158" s="262">
        <f>+T158*(1+Y159)</f>
        <v>122.40185014778696</v>
      </c>
      <c r="Z158" s="262">
        <f>+U158*(1+Z159)</f>
        <v>110.97412697557661</v>
      </c>
      <c r="AA158" s="262">
        <f>+V158*(1+AA159)</f>
        <v>125.50622817592843</v>
      </c>
      <c r="AB158" s="54"/>
      <c r="AC158" s="262">
        <f>+X158*(1+AC159)</f>
        <v>128.31984831881257</v>
      </c>
      <c r="AD158" s="262">
        <f>+Y158*(1+AD159)</f>
        <v>128.53495245053676</v>
      </c>
      <c r="AE158" s="262">
        <f>+Z158*(1+AE159)</f>
        <v>116.65624277279264</v>
      </c>
      <c r="AF158" s="262">
        <f>+AA158*(1+AF159)</f>
        <v>132.03930557692007</v>
      </c>
      <c r="AG158" s="54"/>
      <c r="AH158" s="262">
        <f>+AC158*(1+AH159)</f>
        <v>134.55642897621442</v>
      </c>
      <c r="AI158" s="262">
        <f>+AD158*(1+AI159)</f>
        <v>134.70347671005092</v>
      </c>
      <c r="AJ158" s="262">
        <f>+AE158*(1+AJ159)</f>
        <v>122.19300595242868</v>
      </c>
      <c r="AK158" s="262">
        <f>+AF158*(1+AK159)</f>
        <v>138.18272761424808</v>
      </c>
      <c r="AL158" s="54"/>
      <c r="AM158" s="262">
        <f>+AH158*(1+AM159)</f>
        <v>140.63105626147748</v>
      </c>
      <c r="AN158" s="262">
        <f>+AI158*(1+AN159)</f>
        <v>140.66834982486824</v>
      </c>
      <c r="AO158" s="262">
        <f>+AJ158*(1+AO159)</f>
        <v>127.49057726853937</v>
      </c>
      <c r="AP158" s="262">
        <f>+AK158*(1+AP159)</f>
        <v>144.03160288953049</v>
      </c>
      <c r="AQ158" s="54"/>
    </row>
    <row r="159" spans="1:43" outlineLevel="1" x14ac:dyDescent="0.25">
      <c r="A159" s="53"/>
      <c r="B159" s="252" t="s">
        <v>247</v>
      </c>
      <c r="C159" s="290"/>
      <c r="D159" s="166">
        <f>+D158/88.69-1</f>
        <v>9.5422257300710411E-2</v>
      </c>
      <c r="E159" s="166">
        <f>+E158/91.92-1</f>
        <v>9.1481723237597734E-2</v>
      </c>
      <c r="F159" s="166">
        <f>+F158/85.77-1</f>
        <v>0.1046286580389415</v>
      </c>
      <c r="G159" s="166">
        <f>+G158/95.74-1</f>
        <v>7.4211405890954651E-2</v>
      </c>
      <c r="H159" s="54"/>
      <c r="I159" s="166">
        <f>+I158/D158-1</f>
        <v>7.8828239992588811E-2</v>
      </c>
      <c r="J159" s="166">
        <f>+J158/E158-1</f>
        <v>3.7835521135464401E-2</v>
      </c>
      <c r="K159" s="166">
        <f>+K158/F158-1</f>
        <v>-1.6993160516760586E-3</v>
      </c>
      <c r="L159" s="166">
        <f>+L158/G158-1</f>
        <v>-1.3223783363313091E-3</v>
      </c>
      <c r="M159" s="54"/>
      <c r="N159" s="166">
        <f>+N158/I158-1</f>
        <v>1.2103645214165626E-2</v>
      </c>
      <c r="O159" s="166">
        <f>+O158/J158-1</f>
        <v>4.3342136854741975E-2</v>
      </c>
      <c r="P159" s="166">
        <f>+P158/K158-1</f>
        <v>6.0867174862290208E-2</v>
      </c>
      <c r="Q159" s="166">
        <f>+Q158/L158-1</f>
        <v>7.6439260434820744E-2</v>
      </c>
      <c r="R159" s="54"/>
      <c r="S159" s="166">
        <f>+S158/N158-1</f>
        <v>9.1110482654600311E-2</v>
      </c>
      <c r="T159" s="166">
        <f>+T158/O158-1</f>
        <v>7.7431469651503049E-2</v>
      </c>
      <c r="U159" s="166">
        <f>+U158/P158-1</f>
        <v>5.5531193940602019E-2</v>
      </c>
      <c r="V159" s="142">
        <f>AVERAGE(U159,T159,S159,Q159)</f>
        <v>7.5128101670381531E-2</v>
      </c>
      <c r="W159" s="54"/>
      <c r="X159" s="142">
        <f>AVERAGE(V159,U159,T159,S159)-2%</f>
        <v>5.4800311979271724E-2</v>
      </c>
      <c r="Y159" s="142">
        <f>AVERAGE(X159,V159,U159,T159)-2%</f>
        <v>4.5722769310439573E-2</v>
      </c>
      <c r="Z159" s="142">
        <f>AVERAGE(Y159,X159,V159,U159)-1%</f>
        <v>4.779559422517371E-2</v>
      </c>
      <c r="AA159" s="142">
        <f>AVERAGE(Z159,Y159,X159,V159)</f>
        <v>5.5861694296316634E-2</v>
      </c>
      <c r="AB159" s="54"/>
      <c r="AC159" s="142">
        <f>AVERAGE(AA159,Z159,Y159,X159)</f>
        <v>5.1045092452800409E-2</v>
      </c>
      <c r="AD159" s="142">
        <f>AVERAGE(AC159,AA159,Z159,Y159)</f>
        <v>5.0106287571182587E-2</v>
      </c>
      <c r="AE159" s="142">
        <f>AVERAGE(AD159,AC159,AA159,Z159)</f>
        <v>5.1202167136368333E-2</v>
      </c>
      <c r="AF159" s="142">
        <f>AVERAGE(AE159,AD159,AC159,AA159)</f>
        <v>5.2053810364166987E-2</v>
      </c>
      <c r="AG159" s="54"/>
      <c r="AH159" s="177">
        <f>AVERAGE(AF159,AE159,AD159,AC159)-0.25%</f>
        <v>4.860183938112958E-2</v>
      </c>
      <c r="AI159" s="177">
        <f>AVERAGE(AH159,AF159,AE159,AD159)-0.25%</f>
        <v>4.7991026113211863E-2</v>
      </c>
      <c r="AJ159" s="177">
        <f>AVERAGE(AI159,AH159,AF159,AE159)-0.25%</f>
        <v>4.7462210748719189E-2</v>
      </c>
      <c r="AK159" s="177">
        <f>AVERAGE(AJ159,AI159,AH159,AF159)-0.25%</f>
        <v>4.6527221651806901E-2</v>
      </c>
      <c r="AL159" s="54"/>
      <c r="AM159" s="177">
        <f>AVERAGE(AK159,AJ159,AI159,AH159)-0.25%</f>
        <v>4.5145574473716886E-2</v>
      </c>
      <c r="AN159" s="177">
        <f>AVERAGE(AM159,AK159,AJ159,AI159)-0.25%</f>
        <v>4.4281508246863707E-2</v>
      </c>
      <c r="AO159" s="177">
        <f>AVERAGE(AN159,AM159,AK159,AJ159)-0.25%</f>
        <v>4.3354128780276668E-2</v>
      </c>
      <c r="AP159" s="177">
        <f>AVERAGE(AO159,AN159,AM159,AK159)-0.25%</f>
        <v>4.2327108288166035E-2</v>
      </c>
      <c r="AQ159" s="54"/>
    </row>
    <row r="160" spans="1:43" outlineLevel="1" x14ac:dyDescent="0.25">
      <c r="A160" s="53"/>
      <c r="B160" s="295" t="s">
        <v>248</v>
      </c>
      <c r="C160" s="290"/>
      <c r="D160" s="139">
        <v>1189</v>
      </c>
      <c r="E160" s="139">
        <v>1167</v>
      </c>
      <c r="F160" s="139">
        <v>1177</v>
      </c>
      <c r="G160" s="139">
        <v>1173</v>
      </c>
      <c r="H160" s="54"/>
      <c r="I160" s="139">
        <v>1152</v>
      </c>
      <c r="J160" s="139">
        <v>1149.0166428171599</v>
      </c>
      <c r="K160" s="139">
        <v>1172</v>
      </c>
      <c r="L160" s="139">
        <v>1174</v>
      </c>
      <c r="M160" s="54"/>
      <c r="N160" s="139">
        <v>1173</v>
      </c>
      <c r="O160" s="139">
        <v>1187</v>
      </c>
      <c r="P160" s="139">
        <v>1202</v>
      </c>
      <c r="Q160" s="262">
        <v>1198</v>
      </c>
      <c r="R160" s="54"/>
      <c r="S160" s="262">
        <v>1156</v>
      </c>
      <c r="T160" s="262">
        <v>1155</v>
      </c>
      <c r="U160" s="262">
        <v>1178</v>
      </c>
      <c r="V160" s="262">
        <f>+Q160*(1+V161)</f>
        <v>1185.7279081143874</v>
      </c>
      <c r="W160" s="54"/>
      <c r="X160" s="262">
        <f>+S160*(1+X161)</f>
        <v>1112.1696786825933</v>
      </c>
      <c r="Y160" s="262">
        <f>+T160*(1+Y161)</f>
        <v>1104.4442753405242</v>
      </c>
      <c r="Z160" s="262">
        <f>+U160*(1+Z161)</f>
        <v>1133.2662653391542</v>
      </c>
      <c r="AA160" s="262">
        <f>+V160*(1+AA161)</f>
        <v>1147.2199663328599</v>
      </c>
      <c r="AB160" s="54"/>
      <c r="AC160" s="262">
        <f>+X160*(1+AC161)</f>
        <v>1069.8690820249033</v>
      </c>
      <c r="AD160" s="262">
        <f>+Y160*(1+AD161)</f>
        <v>1062.4047074391815</v>
      </c>
      <c r="AE160" s="262">
        <f>+Z160*(1+AE161)</f>
        <v>1091.7465584521358</v>
      </c>
      <c r="AF160" s="262">
        <f>+AA160*(1+AF161)</f>
        <v>1105.5725230404746</v>
      </c>
      <c r="AG160" s="54"/>
      <c r="AH160" s="262">
        <f>+AC160*(1+AH161)</f>
        <v>1027.3315063571224</v>
      </c>
      <c r="AI160" s="262">
        <f>+AD160*(1+AI161)</f>
        <v>1019.7056688037059</v>
      </c>
      <c r="AJ160" s="262">
        <f>+AE160*(1+AJ161)</f>
        <v>1047.2877251194946</v>
      </c>
      <c r="AK160" s="262">
        <f>+AF160*(1+AK161)</f>
        <v>1059.4214650596202</v>
      </c>
      <c r="AL160" s="54"/>
      <c r="AM160" s="262">
        <f>+AH160*(1+AM161)</f>
        <v>983.04908884909287</v>
      </c>
      <c r="AN160" s="262">
        <f>+AI160*(1+AN161)</f>
        <v>974.89930451900182</v>
      </c>
      <c r="AO160" s="262">
        <f>+AJ160*(1+AO161)</f>
        <v>1000.2876767546578</v>
      </c>
      <c r="AP160" s="262">
        <f>+AK160*(1+AP161)</f>
        <v>1010.7763513288089</v>
      </c>
      <c r="AQ160" s="54"/>
    </row>
    <row r="161" spans="1:43" outlineLevel="1" x14ac:dyDescent="0.25">
      <c r="A161" s="53"/>
      <c r="B161" s="252" t="s">
        <v>246</v>
      </c>
      <c r="C161" s="290"/>
      <c r="D161" s="166">
        <f>+D160/1166-1</f>
        <v>1.9725557461406584E-2</v>
      </c>
      <c r="E161" s="166">
        <f>+E160/1165-1</f>
        <v>1.7167381974247942E-3</v>
      </c>
      <c r="F161" s="166">
        <f>+F160/1195.2-1</f>
        <v>-1.5227576974565005E-2</v>
      </c>
      <c r="G161" s="166">
        <f>+G160/1200-1</f>
        <v>-2.2499999999999964E-2</v>
      </c>
      <c r="H161" s="54"/>
      <c r="I161" s="166">
        <f>+I160/D160-1</f>
        <v>-3.1118587047939461E-2</v>
      </c>
      <c r="J161" s="166">
        <f>+J160/E160-1</f>
        <v>-1.5409903327198049E-2</v>
      </c>
      <c r="K161" s="166">
        <f>+K160/F160-1</f>
        <v>-4.2480883602379338E-3</v>
      </c>
      <c r="L161" s="166">
        <f>+L160/G160-1</f>
        <v>8.5251491901106036E-4</v>
      </c>
      <c r="M161" s="54"/>
      <c r="N161" s="166">
        <f>+N160/I160-1</f>
        <v>1.8229166666666741E-2</v>
      </c>
      <c r="O161" s="166">
        <f>+O160/J160-1</f>
        <v>3.3057273295635126E-2</v>
      </c>
      <c r="P161" s="166">
        <f>+P160/K160-1</f>
        <v>2.5597269624573427E-2</v>
      </c>
      <c r="Q161" s="166">
        <f>+Q160/L160-1</f>
        <v>2.0442930153321992E-2</v>
      </c>
      <c r="R161" s="54"/>
      <c r="S161" s="166">
        <f>+S160/N160-1</f>
        <v>-1.4492753623188359E-2</v>
      </c>
      <c r="T161" s="166">
        <f>+T160/O160-1</f>
        <v>-2.695871946082562E-2</v>
      </c>
      <c r="U161" s="166">
        <f>+U160/P160-1</f>
        <v>-1.9966722129783676E-2</v>
      </c>
      <c r="V161" s="142">
        <f>AVERAGE(U161,T161,S161,Q161)</f>
        <v>-1.0243816265118916E-2</v>
      </c>
      <c r="W161" s="54"/>
      <c r="X161" s="142">
        <f>AVERAGE(V161,U161,T161,S161)-2%</f>
        <v>-3.791550286972914E-2</v>
      </c>
      <c r="Y161" s="142">
        <f>AVERAGE(X161,V161,U161,T161)-2%</f>
        <v>-4.3771190181364342E-2</v>
      </c>
      <c r="Z161" s="142">
        <f>AVERAGE(Y161,X161,V161,U161)-1%</f>
        <v>-3.7974307861499017E-2</v>
      </c>
      <c r="AA161" s="142">
        <f>AVERAGE(Z161,Y161,X161,V161)</f>
        <v>-3.2476204294427852E-2</v>
      </c>
      <c r="AB161" s="54"/>
      <c r="AC161" s="142">
        <f>AVERAGE(AA161,Z161,Y161,X161)</f>
        <v>-3.8034301301755086E-2</v>
      </c>
      <c r="AD161" s="142">
        <f>AVERAGE(AC161,AA161,Z161,Y161)</f>
        <v>-3.8064000909761572E-2</v>
      </c>
      <c r="AE161" s="142">
        <f>AVERAGE(AD161,AC161,AA161,Z161)</f>
        <v>-3.663720359186088E-2</v>
      </c>
      <c r="AF161" s="142">
        <f>AVERAGE(AE161,AD161,AC161,AA161)</f>
        <v>-3.6302927524451349E-2</v>
      </c>
      <c r="AG161" s="54"/>
      <c r="AH161" s="177">
        <f>AVERAGE(AF161,AE161,AD161,AC161)-0.25%</f>
        <v>-3.9759608331957227E-2</v>
      </c>
      <c r="AI161" s="177">
        <f>AVERAGE(AH161,AF161,AE161,AD161)-0.25%</f>
        <v>-4.0190935089507759E-2</v>
      </c>
      <c r="AJ161" s="177">
        <f>AVERAGE(AI161,AH161,AF161,AE161)-0.25%</f>
        <v>-4.0722668634444306E-2</v>
      </c>
      <c r="AK161" s="177">
        <f>AVERAGE(AJ161,AI161,AH161,AF161)-0.25%</f>
        <v>-4.1744034895090161E-2</v>
      </c>
      <c r="AL161" s="54"/>
      <c r="AM161" s="177">
        <f>AVERAGE(AK161,AJ161,AI161,AH161)-0.25%</f>
        <v>-4.3104311737749867E-2</v>
      </c>
      <c r="AN161" s="177">
        <f>AVERAGE(AM161,AK161,AJ161,AI161)-0.25%</f>
        <v>-4.3940487589198024E-2</v>
      </c>
      <c r="AO161" s="177">
        <f>AVERAGE(AN161,AM161,AK161,AJ161)-0.25%</f>
        <v>-4.4877875714120594E-2</v>
      </c>
      <c r="AP161" s="177">
        <f>AVERAGE(AO161,AN161,AM161,AK161)-0.25%</f>
        <v>-4.5916677484039659E-2</v>
      </c>
      <c r="AQ161" s="54"/>
    </row>
    <row r="162" spans="1:43" outlineLevel="1" x14ac:dyDescent="0.25">
      <c r="A162" s="53"/>
      <c r="B162" s="295" t="s">
        <v>329</v>
      </c>
      <c r="C162" s="290"/>
      <c r="D162" s="143">
        <v>237.81</v>
      </c>
      <c r="E162" s="143">
        <v>232.6</v>
      </c>
      <c r="F162" s="143">
        <v>231.61</v>
      </c>
      <c r="G162" s="143">
        <v>226.71</v>
      </c>
      <c r="H162" s="54"/>
      <c r="I162" s="143">
        <v>229.20400000000001</v>
      </c>
      <c r="J162" s="143">
        <v>232.7</v>
      </c>
      <c r="K162" s="143">
        <v>239.82</v>
      </c>
      <c r="L162" s="143">
        <v>239.68</v>
      </c>
      <c r="M162" s="54"/>
      <c r="N162" s="143">
        <v>241.34</v>
      </c>
      <c r="O162" s="143">
        <v>248.36</v>
      </c>
      <c r="P162" s="143">
        <v>259.2</v>
      </c>
      <c r="Q162" s="143">
        <v>259.15499999999997</v>
      </c>
      <c r="R162" s="54"/>
      <c r="S162" s="143">
        <v>260.39</v>
      </c>
      <c r="T162" s="143">
        <v>264.26499999999999</v>
      </c>
      <c r="U162" s="143">
        <v>270.82</v>
      </c>
      <c r="V162" s="143">
        <f>+Q162*(1+V163)</f>
        <v>263.62923370445134</v>
      </c>
      <c r="W162" s="54"/>
      <c r="X162" s="143">
        <f>+S162*(1+X163)</f>
        <v>268.53170103670971</v>
      </c>
      <c r="Y162" s="143">
        <f>+T162*(1+Y163)</f>
        <v>269.37868533098055</v>
      </c>
      <c r="Z162" s="143">
        <f>+U162*(1+Z163)</f>
        <v>275.74302543337865</v>
      </c>
      <c r="AA162" s="143">
        <f>+V162*(1+AA163)</f>
        <v>269.30127276200773</v>
      </c>
      <c r="AB162" s="54"/>
      <c r="AC162" s="143">
        <f>+X162*(1+AC163)</f>
        <v>274.59456698128076</v>
      </c>
      <c r="AD162" s="143">
        <f>+Y162*(1+AD163)</f>
        <v>274.8754832919426</v>
      </c>
      <c r="AE162" s="143">
        <f>+Z162*(1+AE163)</f>
        <v>281.44240906020582</v>
      </c>
      <c r="AF162" s="143">
        <f>+AA162*(1+AF163)</f>
        <v>275.03521565376582</v>
      </c>
      <c r="AG162" s="54"/>
      <c r="AH162" s="143">
        <f>+AC162*(1+AH163)</f>
        <v>279.73939958345341</v>
      </c>
      <c r="AI162" s="143">
        <f>+AD162*(1+AI163)</f>
        <v>279.76157942917928</v>
      </c>
      <c r="AJ162" s="143">
        <f>+AE162*(1+AJ163)</f>
        <v>286.26020265075778</v>
      </c>
      <c r="AK162" s="143">
        <f>+AF162*(1+AK163)</f>
        <v>279.49916950053699</v>
      </c>
      <c r="AL162" s="54"/>
      <c r="AM162" s="143">
        <f>+AH162*(1+AM163)</f>
        <v>283.92573317181206</v>
      </c>
      <c r="AN162" s="143">
        <f>+AI162*(1+AN163)</f>
        <v>283.68450074737615</v>
      </c>
      <c r="AO162" s="143">
        <f>+AJ162*(1+AO163)</f>
        <v>290.00564515937526</v>
      </c>
      <c r="AP162" s="143">
        <f>+AK162*(1+AP163)</f>
        <v>282.87426332913225</v>
      </c>
      <c r="AQ162" s="54"/>
    </row>
    <row r="163" spans="1:43" outlineLevel="1" x14ac:dyDescent="0.25">
      <c r="A163" s="53"/>
      <c r="B163" s="252" t="s">
        <v>330</v>
      </c>
      <c r="C163" s="290"/>
      <c r="D163" s="166"/>
      <c r="E163" s="166"/>
      <c r="F163" s="166"/>
      <c r="G163" s="166"/>
      <c r="H163" s="54"/>
      <c r="I163" s="166">
        <f>+I162/D162-1</f>
        <v>-3.6188553887557262E-2</v>
      </c>
      <c r="J163" s="166">
        <f>+J162/E162-1</f>
        <v>4.2992261392948983E-4</v>
      </c>
      <c r="K163" s="166">
        <f>+K162/F162-1</f>
        <v>3.5447519537152861E-2</v>
      </c>
      <c r="L163" s="166">
        <f>+L162/G162-1</f>
        <v>5.7209651096113978E-2</v>
      </c>
      <c r="M163" s="54"/>
      <c r="N163" s="166">
        <f>+N162/I162-1</f>
        <v>5.2948465122772737E-2</v>
      </c>
      <c r="O163" s="166">
        <f>+O162/J162-1</f>
        <v>6.729694886119475E-2</v>
      </c>
      <c r="P163" s="166">
        <f>+P162/K162-1</f>
        <v>8.0810607955966951E-2</v>
      </c>
      <c r="Q163" s="166">
        <f>+Q162/L162-1</f>
        <v>8.1254172229639376E-2</v>
      </c>
      <c r="R163" s="54"/>
      <c r="S163" s="166">
        <f>+S162/N162-1</f>
        <v>7.8934283583326437E-2</v>
      </c>
      <c r="T163" s="166">
        <f>+T162/O162-1</f>
        <v>6.4040103076179689E-2</v>
      </c>
      <c r="U163" s="166">
        <f>+U162/P162-1</f>
        <v>4.4830246913580174E-2</v>
      </c>
      <c r="V163" s="142">
        <f>AVERAGE(U163,T163,S163,Q163)-5%</f>
        <v>1.7264701450681416E-2</v>
      </c>
      <c r="W163" s="54"/>
      <c r="X163" s="142">
        <f>AVERAGE(V163,U163,T163,S163)-2%</f>
        <v>3.1267333755941928E-2</v>
      </c>
      <c r="Y163" s="142">
        <f>AVERAGE(X163,V163,U163,T163)-2%</f>
        <v>1.9350596299095805E-2</v>
      </c>
      <c r="Z163" s="142">
        <f>AVERAGE(Y163,X163,V163,U163)-1%</f>
        <v>1.8178219604824832E-2</v>
      </c>
      <c r="AA163" s="142">
        <f>AVERAGE(Z163,Y163,X163,V163)</f>
        <v>2.1515212777635996E-2</v>
      </c>
      <c r="AB163" s="54"/>
      <c r="AC163" s="142">
        <f>AVERAGE(AA163,Z163,Y163,X163)</f>
        <v>2.2577840609374639E-2</v>
      </c>
      <c r="AD163" s="142">
        <f>AVERAGE(AC163,AA163,Z163,Y163)</f>
        <v>2.040546732273282E-2</v>
      </c>
      <c r="AE163" s="142">
        <f>AVERAGE(AD163,AC163,AA163,Z163)</f>
        <v>2.0669185078642072E-2</v>
      </c>
      <c r="AF163" s="142">
        <f>AVERAGE(AE163,AD163,AC163,AA163)</f>
        <v>2.1291926447096383E-2</v>
      </c>
      <c r="AG163" s="54"/>
      <c r="AH163" s="177">
        <f>AVERAGE(AF163,AE163,AD163,AC163)-0.25%</f>
        <v>1.8736104864461478E-2</v>
      </c>
      <c r="AI163" s="177">
        <f>AVERAGE(AH163,AF163,AE163,AD163)-0.25%</f>
        <v>1.7775670928233189E-2</v>
      </c>
      <c r="AJ163" s="177">
        <f>AVERAGE(AI163,AH163,AF163,AE163)-0.25%</f>
        <v>1.7118221829608284E-2</v>
      </c>
      <c r="AK163" s="177">
        <f>AVERAGE(AJ163,AI163,AH163,AF163)-0.25%</f>
        <v>1.6230481017349835E-2</v>
      </c>
      <c r="AL163" s="54"/>
      <c r="AM163" s="177">
        <f>AVERAGE(AK163,AJ163,AI163,AH163)-0.25%</f>
        <v>1.4965119659913198E-2</v>
      </c>
      <c r="AN163" s="177">
        <f>AVERAGE(AM163,AK163,AJ163,AI163)-0.25%</f>
        <v>1.4022373358776126E-2</v>
      </c>
      <c r="AO163" s="177">
        <f>AVERAGE(AN163,AM163,AK163,AJ163)-0.25%</f>
        <v>1.3084048966411859E-2</v>
      </c>
      <c r="AP163" s="177">
        <f>AVERAGE(AO163,AN163,AM163,AK163)-0.25%</f>
        <v>1.2075505750612755E-2</v>
      </c>
      <c r="AQ163" s="54"/>
    </row>
    <row r="164" spans="1:43" x14ac:dyDescent="0.25">
      <c r="A164" s="53"/>
      <c r="B164" s="289" t="s">
        <v>333</v>
      </c>
      <c r="C164" s="290"/>
      <c r="D164" s="139">
        <v>65</v>
      </c>
      <c r="E164" s="139">
        <v>62</v>
      </c>
      <c r="F164" s="139">
        <v>62</v>
      </c>
      <c r="G164" s="139">
        <v>65</v>
      </c>
      <c r="H164" s="54"/>
      <c r="I164" s="139">
        <v>65</v>
      </c>
      <c r="J164" s="139">
        <v>62</v>
      </c>
      <c r="K164" s="139">
        <v>62</v>
      </c>
      <c r="L164" s="139">
        <v>65</v>
      </c>
      <c r="M164" s="54"/>
      <c r="N164" s="139">
        <v>65</v>
      </c>
      <c r="O164" s="139">
        <v>62</v>
      </c>
      <c r="P164" s="139">
        <v>62</v>
      </c>
      <c r="Q164" s="139">
        <v>65</v>
      </c>
      <c r="R164" s="54"/>
      <c r="S164" s="139">
        <v>65</v>
      </c>
      <c r="T164" s="139">
        <v>62</v>
      </c>
      <c r="U164" s="139">
        <v>61</v>
      </c>
      <c r="V164" s="140">
        <v>65</v>
      </c>
      <c r="W164" s="54"/>
      <c r="X164" s="140">
        <v>65</v>
      </c>
      <c r="Y164" s="140">
        <v>62</v>
      </c>
      <c r="Z164" s="140">
        <v>62</v>
      </c>
      <c r="AA164" s="140">
        <v>65</v>
      </c>
      <c r="AB164" s="54"/>
      <c r="AC164" s="140">
        <v>65</v>
      </c>
      <c r="AD164" s="140">
        <v>62</v>
      </c>
      <c r="AE164" s="140">
        <v>62</v>
      </c>
      <c r="AF164" s="140">
        <v>65</v>
      </c>
      <c r="AG164" s="54"/>
      <c r="AH164" s="140">
        <v>65</v>
      </c>
      <c r="AI164" s="140">
        <v>62</v>
      </c>
      <c r="AJ164" s="140">
        <v>62</v>
      </c>
      <c r="AK164" s="140">
        <v>65</v>
      </c>
      <c r="AL164" s="54"/>
      <c r="AM164" s="140">
        <v>65</v>
      </c>
      <c r="AN164" s="140">
        <v>62</v>
      </c>
      <c r="AO164" s="140">
        <v>62</v>
      </c>
      <c r="AP164" s="140">
        <v>65</v>
      </c>
      <c r="AQ164" s="54"/>
    </row>
    <row r="165" spans="1:43" outlineLevel="1" x14ac:dyDescent="0.25">
      <c r="A165" s="53"/>
      <c r="B165" s="323" t="s">
        <v>267</v>
      </c>
      <c r="C165" s="167"/>
      <c r="D165" s="267">
        <f>+D158*D164*D162/1000</f>
        <v>1501.7570704500001</v>
      </c>
      <c r="E165" s="267">
        <f>+E158*E164*E162/1000</f>
        <v>1446.8645747999999</v>
      </c>
      <c r="F165" s="267">
        <f>+F158*F164*F162/1000</f>
        <v>1360.50678608</v>
      </c>
      <c r="G165" s="267">
        <f>+G158*G164*G162/1000</f>
        <v>1515.53934675</v>
      </c>
      <c r="H165" s="56"/>
      <c r="I165" s="267">
        <f>+I158*I164*I162/1000</f>
        <v>1561.5074881639998</v>
      </c>
      <c r="J165" s="267">
        <f>+J158*J164*J162/1000</f>
        <v>1502.253025</v>
      </c>
      <c r="K165" s="267">
        <f>+K158*K164*K162/1000</f>
        <v>1406.3394937199998</v>
      </c>
      <c r="L165" s="267">
        <f>+L158*L164*L162/1000</f>
        <v>1600.1240527999998</v>
      </c>
      <c r="M165" s="56"/>
      <c r="N165" s="267">
        <f>+N158*N164*N162/1000</f>
        <v>1664.0875679999999</v>
      </c>
      <c r="O165" s="267">
        <f>+O158*O164*O162/1000</f>
        <v>1672.8426881600001</v>
      </c>
      <c r="P165" s="267">
        <f>+P158*P164*P162/1000</f>
        <v>1612.5039360000001</v>
      </c>
      <c r="Q165" s="267">
        <f>+Q158*Q164*Q162/1000</f>
        <v>1862.3914919999997</v>
      </c>
      <c r="R165" s="324"/>
      <c r="S165" s="267">
        <f>+S158*S164*S162/1000</f>
        <v>1959.0246357499998</v>
      </c>
      <c r="T165" s="267">
        <f>+T158*T164*T162/1000</f>
        <v>1917.7975314999999</v>
      </c>
      <c r="U165" s="267">
        <f>+U158*U164*U162/1000</f>
        <v>1749.6683582400003</v>
      </c>
      <c r="V165" s="267">
        <f>+V158*V164*V162/1000</f>
        <v>2036.8787038708319</v>
      </c>
      <c r="W165" s="56"/>
      <c r="X165" s="267">
        <f>+X158*X164*X162/1000</f>
        <v>2130.9899837423936</v>
      </c>
      <c r="Y165" s="267">
        <f>+Y158*Y164*Y162/1000</f>
        <v>2044.2918674432133</v>
      </c>
      <c r="Z165" s="267">
        <f>+Z158*Z164*Z162/1000</f>
        <v>1897.2211740585515</v>
      </c>
      <c r="AA165" s="267">
        <f>+AA158*AA164*AA162/1000</f>
        <v>2196.9341541768713</v>
      </c>
      <c r="AB165" s="56"/>
      <c r="AC165" s="267">
        <f>+AC158*AC164*AC162/1000</f>
        <v>2290.3356569735179</v>
      </c>
      <c r="AD165" s="267">
        <f>+AD158*AD164*AD162/1000</f>
        <v>2190.5286448343859</v>
      </c>
      <c r="AE165" s="267">
        <f>+AE158*AE164*AE162/1000</f>
        <v>2035.5848678689929</v>
      </c>
      <c r="AF165" s="267">
        <f>+AF158*AF164*AF162/1000</f>
        <v>2360.5048274679102</v>
      </c>
      <c r="AG165" s="56"/>
      <c r="AH165" s="267">
        <f>+AH158*AH164*AH162/1000</f>
        <v>2446.6477523734879</v>
      </c>
      <c r="AI165" s="267">
        <f>+AI158*AI164*AI162/1000</f>
        <v>2336.4611587383415</v>
      </c>
      <c r="AJ165" s="267">
        <f>+AJ158*AJ164*AJ162/1000</f>
        <v>2168.6976680797443</v>
      </c>
      <c r="AK165" s="267">
        <f>+AK158*AK164*AK162/1000</f>
        <v>2510.4272444875819</v>
      </c>
      <c r="AL165" s="56"/>
      <c r="AM165" s="267">
        <f>+AM158*AM164*AM162/1000</f>
        <v>2595.3704241248129</v>
      </c>
      <c r="AN165" s="267">
        <f>+AN158*AN164*AN162/1000</f>
        <v>2474.1366966435498</v>
      </c>
      <c r="AO165" s="267">
        <f>+AO158*AO164*AO162/1000</f>
        <v>2292.3252009752446</v>
      </c>
      <c r="AP165" s="267">
        <f>+AP158*AP164*AP162/1000</f>
        <v>2648.2841816268538</v>
      </c>
      <c r="AQ165" s="56"/>
    </row>
    <row r="166" spans="1:43" outlineLevel="1" x14ac:dyDescent="0.25">
      <c r="A166" s="53"/>
      <c r="B166" s="135" t="s">
        <v>264</v>
      </c>
      <c r="C166" s="134"/>
      <c r="D166" s="318">
        <f>ROUND((130-D171),0)</f>
        <v>0</v>
      </c>
      <c r="E166" s="318">
        <f>ROUND((98-E171),0)</f>
        <v>0</v>
      </c>
      <c r="F166" s="318">
        <f>ROUND((56-F171),0)</f>
        <v>0</v>
      </c>
      <c r="G166" s="318">
        <f>ROUND((137-G171),0)</f>
        <v>0</v>
      </c>
      <c r="H166" s="136"/>
      <c r="I166" s="318">
        <f>ROUND((128-I171),0)</f>
        <v>0</v>
      </c>
      <c r="J166" s="318">
        <f>ROUND((81-J171),0)</f>
        <v>0</v>
      </c>
      <c r="K166" s="318">
        <f>ROUND((37-K171),0)</f>
        <v>0</v>
      </c>
      <c r="L166" s="318">
        <f>ROUND((125-L171),0)</f>
        <v>0</v>
      </c>
      <c r="M166" s="136"/>
      <c r="N166" s="318">
        <f>ROUND((165-N171),0)</f>
        <v>0</v>
      </c>
      <c r="O166" s="318">
        <f>ROUND((108-O171),0)</f>
        <v>0</v>
      </c>
      <c r="P166" s="318">
        <f>ROUND((49-P171),0)</f>
        <v>0</v>
      </c>
      <c r="Q166" s="318">
        <f>ROUND((168-Q171),0)</f>
        <v>0</v>
      </c>
      <c r="R166" s="190"/>
      <c r="S166" s="169"/>
      <c r="T166" s="169"/>
      <c r="U166" s="169"/>
      <c r="V166" s="169"/>
      <c r="W166" s="136"/>
      <c r="X166" s="169"/>
      <c r="Y166" s="169"/>
      <c r="Z166" s="169"/>
      <c r="AA166" s="169"/>
      <c r="AB166" s="136"/>
      <c r="AC166" s="169"/>
      <c r="AD166" s="169"/>
      <c r="AE166" s="169"/>
      <c r="AF166" s="169"/>
      <c r="AG166" s="136"/>
      <c r="AH166" s="169"/>
      <c r="AI166" s="169"/>
      <c r="AJ166" s="169"/>
      <c r="AK166" s="169"/>
      <c r="AL166" s="136"/>
      <c r="AM166" s="169"/>
      <c r="AN166" s="169"/>
      <c r="AO166" s="169"/>
      <c r="AP166" s="169"/>
      <c r="AQ166" s="136"/>
    </row>
    <row r="167" spans="1:43" outlineLevel="1" x14ac:dyDescent="0.25">
      <c r="A167" s="53"/>
      <c r="B167" s="127" t="s">
        <v>158</v>
      </c>
      <c r="C167" s="134"/>
      <c r="D167" s="168">
        <v>102</v>
      </c>
      <c r="E167" s="168">
        <v>95</v>
      </c>
      <c r="F167" s="168">
        <v>80</v>
      </c>
      <c r="G167" s="168">
        <v>86</v>
      </c>
      <c r="H167" s="136"/>
      <c r="I167" s="168">
        <v>91</v>
      </c>
      <c r="J167" s="168">
        <v>92</v>
      </c>
      <c r="K167" s="168">
        <v>99</v>
      </c>
      <c r="L167" s="168">
        <v>102</v>
      </c>
      <c r="M167" s="136"/>
      <c r="N167" s="168">
        <v>97</v>
      </c>
      <c r="O167" s="168">
        <v>112</v>
      </c>
      <c r="P167" s="168">
        <v>127</v>
      </c>
      <c r="Q167" s="168">
        <v>135</v>
      </c>
      <c r="R167" s="136"/>
      <c r="S167" s="168">
        <v>137</v>
      </c>
      <c r="T167" s="168">
        <v>150</v>
      </c>
      <c r="U167" s="168">
        <v>131</v>
      </c>
      <c r="V167" s="140">
        <f t="shared" ref="V167" si="103">+U167/U158*V158</f>
        <v>147.0226918820222</v>
      </c>
      <c r="W167" s="136"/>
      <c r="X167" s="140">
        <f>+V167/V158*X158</f>
        <v>151.00753395663705</v>
      </c>
      <c r="Y167" s="140">
        <f>+X167/X158*Y158</f>
        <v>151.39589819246251</v>
      </c>
      <c r="Z167" s="140">
        <f t="shared" ref="Z167:AA167" si="104">+Y167/Y158*Z158</f>
        <v>137.26122284349776</v>
      </c>
      <c r="AA167" s="140">
        <f t="shared" si="104"/>
        <v>155.23562855055729</v>
      </c>
      <c r="AB167" s="136"/>
      <c r="AC167" s="140">
        <f>(AA167/AA158*AC158)*(1+0.5%)</f>
        <v>159.50930612596559</v>
      </c>
      <c r="AD167" s="140">
        <f>(AC167/AC158*AD158)*(1+0.5%)</f>
        <v>160.57557699505051</v>
      </c>
      <c r="AE167" s="140">
        <f t="shared" ref="AE167:AF167" si="105">(AD167/AD158*AE158)*(1+0.5%)</f>
        <v>146.4644740739065</v>
      </c>
      <c r="AF167" s="140">
        <f t="shared" si="105"/>
        <v>166.607138406676</v>
      </c>
      <c r="AG167" s="136"/>
      <c r="AH167" s="140">
        <f>(AF167/AF158*AH158)*(1+0.5%)</f>
        <v>170.63215983632182</v>
      </c>
      <c r="AI167" s="140">
        <f>(AH167/AH158*AI158)*(1+0.5%)</f>
        <v>171.67272548845273</v>
      </c>
      <c r="AJ167" s="140">
        <f t="shared" ref="AJ167:AK167" si="106">(AI167/AI158*AJ158)*(1+0.5%)</f>
        <v>156.50741104995186</v>
      </c>
      <c r="AK167" s="140">
        <f t="shared" si="106"/>
        <v>177.87232490165528</v>
      </c>
      <c r="AL167" s="136"/>
      <c r="AM167" s="140">
        <f>(AK167/AK158*AM158)*(1+0.5%)</f>
        <v>181.92899524633037</v>
      </c>
      <c r="AN167" s="140">
        <f>(AM167/AM158*AN158)*(1+0.5%)</f>
        <v>182.88712669916745</v>
      </c>
      <c r="AO167" s="140">
        <f t="shared" ref="AO167:AP167" si="107">(AN167/AN158*AO158)*(1+0.5%)</f>
        <v>166.58308222016288</v>
      </c>
      <c r="AP167" s="140">
        <f t="shared" si="107"/>
        <v>189.13707196877772</v>
      </c>
      <c r="AQ167" s="136"/>
    </row>
    <row r="168" spans="1:43" outlineLevel="1" x14ac:dyDescent="0.25">
      <c r="A168" s="53"/>
      <c r="B168" s="127" t="s">
        <v>157</v>
      </c>
      <c r="C168" s="134"/>
      <c r="D168" s="168">
        <v>58</v>
      </c>
      <c r="E168" s="168">
        <v>60</v>
      </c>
      <c r="F168" s="168">
        <v>64</v>
      </c>
      <c r="G168" s="168">
        <v>62</v>
      </c>
      <c r="H168" s="136"/>
      <c r="I168" s="168">
        <v>63</v>
      </c>
      <c r="J168" s="168">
        <v>65</v>
      </c>
      <c r="K168" s="168">
        <v>68</v>
      </c>
      <c r="L168" s="168">
        <v>69</v>
      </c>
      <c r="M168" s="136"/>
      <c r="N168" s="168">
        <v>68</v>
      </c>
      <c r="O168" s="168">
        <v>72</v>
      </c>
      <c r="P168" s="168">
        <v>76</v>
      </c>
      <c r="Q168" s="168">
        <v>80</v>
      </c>
      <c r="R168" s="136"/>
      <c r="S168" s="168">
        <v>78</v>
      </c>
      <c r="T168" s="168">
        <v>76</v>
      </c>
      <c r="U168" s="168">
        <v>88</v>
      </c>
      <c r="V168" s="168">
        <f>U168/(U69+U151+U168+U182)*V18</f>
        <v>89.123101914671508</v>
      </c>
      <c r="W168" s="136"/>
      <c r="X168" s="168">
        <f>V168/(V69+V151+V168+V182)*X18</f>
        <v>91.741418707653551</v>
      </c>
      <c r="Y168" s="168">
        <f>X168/(X69+X151+X168+X182)*Y18</f>
        <v>93.786377930792625</v>
      </c>
      <c r="Z168" s="168">
        <f>Y168/(Y69+Y151+Y168+Y182)*Z18</f>
        <v>94.783472162697052</v>
      </c>
      <c r="AA168" s="168">
        <f>Z168/(Z69+Z151+Z168+Z182)*AA18</f>
        <v>96.925669272659789</v>
      </c>
      <c r="AB168" s="136"/>
      <c r="AC168" s="168">
        <f>AA168/(AA69+AA151+AA168+AA182)*AC18</f>
        <v>100.03530093905914</v>
      </c>
      <c r="AD168" s="168">
        <f>AC168/(AC69+AC151+AC168+AC182)*AD18</f>
        <v>102.1304906996107</v>
      </c>
      <c r="AE168" s="168">
        <f>AD168/(AD69+AD151+AD168+AD182)*AE18</f>
        <v>103.16223515479754</v>
      </c>
      <c r="AF168" s="168">
        <f>AE168/(AE69+AE151+AE168+AE182)*AF18</f>
        <v>105.32826825063461</v>
      </c>
      <c r="AG168" s="136"/>
      <c r="AH168" s="168">
        <f>AF168/(AF69+AF151+AF168+AF182)*AH18</f>
        <v>108.50221405627698</v>
      </c>
      <c r="AI168" s="168">
        <f>AH168/(AH69+AH151+AH168+AH182)*AI18</f>
        <v>110.63757723861386</v>
      </c>
      <c r="AJ168" s="168">
        <f>AI168/(AI69+AI151+AI168+AI182)*AJ18</f>
        <v>111.68840677313149</v>
      </c>
      <c r="AK168" s="168">
        <f>AJ168/(AJ69+AJ151+AJ168+AJ182)*AK18</f>
        <v>113.88708807750371</v>
      </c>
      <c r="AL168" s="136"/>
      <c r="AM168" s="168">
        <f>AK168/(AK69+AK151+AK168+AK182)*AM18</f>
        <v>117.11226200234147</v>
      </c>
      <c r="AN168" s="168">
        <f>AM168/(AM69+AM151+AM168+AM182)*AN18</f>
        <v>119.27930756088253</v>
      </c>
      <c r="AO168" s="168">
        <f>AN168/(AN69+AN151+AN168+AN182)*AO18</f>
        <v>120.3446204864553</v>
      </c>
      <c r="AP168" s="168">
        <f>AO168/(AO69+AO151+AO168+AO182)*AP18</f>
        <v>122.57063273685418</v>
      </c>
      <c r="AQ168" s="136"/>
    </row>
    <row r="169" spans="1:43" outlineLevel="1" x14ac:dyDescent="0.25">
      <c r="A169" s="53"/>
      <c r="B169" s="127" t="s">
        <v>253</v>
      </c>
      <c r="C169" s="134"/>
      <c r="D169" s="168">
        <v>1212</v>
      </c>
      <c r="E169" s="168">
        <v>1194</v>
      </c>
      <c r="F169" s="168">
        <v>1161</v>
      </c>
      <c r="G169" s="168">
        <v>1231</v>
      </c>
      <c r="H169" s="136"/>
      <c r="I169" s="168">
        <f>1275+5</f>
        <v>1280</v>
      </c>
      <c r="J169" s="168">
        <f>1259+5</f>
        <v>1264</v>
      </c>
      <c r="K169" s="168">
        <f>1198+4</f>
        <v>1202</v>
      </c>
      <c r="L169" s="168">
        <f>1299+5</f>
        <v>1304</v>
      </c>
      <c r="M169" s="136"/>
      <c r="N169" s="168">
        <f>1328+6</f>
        <v>1334</v>
      </c>
      <c r="O169" s="168">
        <f>1374+7</f>
        <v>1381</v>
      </c>
      <c r="P169" s="168">
        <f>1354+7</f>
        <v>1361</v>
      </c>
      <c r="Q169" s="168">
        <f>1472+7</f>
        <v>1479</v>
      </c>
      <c r="R169" s="136"/>
      <c r="S169" s="168">
        <v>1568</v>
      </c>
      <c r="T169" s="168">
        <f>919+250+42+63+137+133</f>
        <v>1544</v>
      </c>
      <c r="U169" s="168">
        <v>1434</v>
      </c>
      <c r="V169" s="168">
        <f>+V170*V165</f>
        <v>1637.9361008744402</v>
      </c>
      <c r="W169" s="136"/>
      <c r="X169" s="168">
        <f>+X170*X165</f>
        <v>1705.6407732355253</v>
      </c>
      <c r="Y169" s="168">
        <f>+Y170*Y165</f>
        <v>1645.8393503424538</v>
      </c>
      <c r="Z169" s="168">
        <f>+Z170*Z165</f>
        <v>1554.9319108317434</v>
      </c>
      <c r="AA169" s="168">
        <f>+AA170*AA165</f>
        <v>1766.6431268253589</v>
      </c>
      <c r="AB169" s="136"/>
      <c r="AC169" s="168">
        <f>+AC170*AC165</f>
        <v>1810.2774235992649</v>
      </c>
      <c r="AD169" s="168">
        <f>+AD170*AD165</f>
        <v>1741.6678603889723</v>
      </c>
      <c r="AE169" s="168">
        <f>+AE170*AE165</f>
        <v>1647.9767166197994</v>
      </c>
      <c r="AF169" s="168">
        <f>+AF170*AF165</f>
        <v>1874.5718367065219</v>
      </c>
      <c r="AG169" s="136"/>
      <c r="AH169" s="168">
        <f>+AH170*AH165</f>
        <v>1939.9428584022921</v>
      </c>
      <c r="AI169" s="168">
        <f>+AI170*AI165</f>
        <v>1863.5385250895783</v>
      </c>
      <c r="AJ169" s="168">
        <f>+AJ170*AJ165</f>
        <v>1761.1644394499949</v>
      </c>
      <c r="AK169" s="168">
        <f>+AK170*AK165</f>
        <v>1999.9073269234418</v>
      </c>
      <c r="AL169" s="136"/>
      <c r="AM169" s="168">
        <f>+AM170*AM165</f>
        <v>2064.3532389681532</v>
      </c>
      <c r="AN169" s="168">
        <f>+AN170*AN165</f>
        <v>1979.5325267736991</v>
      </c>
      <c r="AO169" s="168">
        <f>+AO170*AO165</f>
        <v>1867.2911803298653</v>
      </c>
      <c r="AP169" s="168">
        <f>+AP170*AP165</f>
        <v>2116.3504189093542</v>
      </c>
      <c r="AQ169" s="136"/>
    </row>
    <row r="170" spans="1:43" outlineLevel="1" x14ac:dyDescent="0.25">
      <c r="A170" s="53"/>
      <c r="B170" s="127" t="s">
        <v>255</v>
      </c>
      <c r="C170" s="134"/>
      <c r="D170" s="319">
        <f>+D169/D165</f>
        <v>0.80705463210293082</v>
      </c>
      <c r="E170" s="319">
        <f>+E169/E165</f>
        <v>0.82523272792482782</v>
      </c>
      <c r="F170" s="319">
        <f>+F169/F165</f>
        <v>0.85335847779573759</v>
      </c>
      <c r="G170" s="319">
        <f>+G169/G165</f>
        <v>0.81225208876286803</v>
      </c>
      <c r="H170" s="136"/>
      <c r="I170" s="319">
        <f>+I169/I165</f>
        <v>0.81972069279347959</v>
      </c>
      <c r="J170" s="319">
        <f>+J169/J165</f>
        <v>0.84140286553924559</v>
      </c>
      <c r="K170" s="319">
        <f>+K169/K165</f>
        <v>0.85470116239181471</v>
      </c>
      <c r="L170" s="319">
        <f>+L169/L165</f>
        <v>0.81493681550388364</v>
      </c>
      <c r="M170" s="136"/>
      <c r="N170" s="146">
        <f>+N169/N165</f>
        <v>0.8016405059760654</v>
      </c>
      <c r="O170" s="146">
        <f>+O169/O165</f>
        <v>0.82554086512402136</v>
      </c>
      <c r="P170" s="146">
        <f>+P169/P165</f>
        <v>0.84402894753616275</v>
      </c>
      <c r="Q170" s="146">
        <f>+Q169/Q165</f>
        <v>0.79414022580811927</v>
      </c>
      <c r="R170" s="179"/>
      <c r="S170" s="146">
        <f>+S169/S165</f>
        <v>0.80039830606811202</v>
      </c>
      <c r="T170" s="146">
        <f>+T169/T165</f>
        <v>0.8050902009412666</v>
      </c>
      <c r="U170" s="146">
        <f>+U169/U165</f>
        <v>0.81958389042507884</v>
      </c>
      <c r="V170" s="177">
        <f>+Q170+1%</f>
        <v>0.80414022580811928</v>
      </c>
      <c r="W170" s="136"/>
      <c r="X170" s="177">
        <f>+S170</f>
        <v>0.80039830606811202</v>
      </c>
      <c r="Y170" s="177">
        <f>+T170</f>
        <v>0.8050902009412666</v>
      </c>
      <c r="Z170" s="177">
        <f>+U170</f>
        <v>0.81958389042507884</v>
      </c>
      <c r="AA170" s="177">
        <f>+V170</f>
        <v>0.80414022580811928</v>
      </c>
      <c r="AB170" s="136"/>
      <c r="AC170" s="177">
        <f>+X170-1%</f>
        <v>0.79039830606811201</v>
      </c>
      <c r="AD170" s="177">
        <f>+Y170-1%</f>
        <v>0.79509020094126659</v>
      </c>
      <c r="AE170" s="177">
        <f>+Z170-1%</f>
        <v>0.80958389042507883</v>
      </c>
      <c r="AF170" s="177">
        <f>+AA170-1%</f>
        <v>0.79414022580811927</v>
      </c>
      <c r="AG170" s="136"/>
      <c r="AH170" s="177">
        <f>+AC170+0.25%</f>
        <v>0.79289830606811196</v>
      </c>
      <c r="AI170" s="177">
        <f>+AD170+0.25%</f>
        <v>0.79759020094126654</v>
      </c>
      <c r="AJ170" s="177">
        <f>+AE170+0.25%</f>
        <v>0.81208389042507878</v>
      </c>
      <c r="AK170" s="177">
        <f>+AF170+0.25%</f>
        <v>0.79664022580811922</v>
      </c>
      <c r="AL170" s="136"/>
      <c r="AM170" s="177">
        <f>+AH170+0.25%</f>
        <v>0.7953983060681119</v>
      </c>
      <c r="AN170" s="177">
        <f>+AI170+0.25%</f>
        <v>0.80009020094126648</v>
      </c>
      <c r="AO170" s="177">
        <f>+AJ170+0.25%</f>
        <v>0.81458389042507873</v>
      </c>
      <c r="AP170" s="177">
        <f>+AK170+0.25%</f>
        <v>0.79914022580811916</v>
      </c>
      <c r="AQ170" s="136"/>
    </row>
    <row r="171" spans="1:43" outlineLevel="1" x14ac:dyDescent="0.25">
      <c r="A171" s="53"/>
      <c r="B171" s="172" t="s">
        <v>265</v>
      </c>
      <c r="C171" s="134"/>
      <c r="D171" s="169">
        <f t="shared" ref="D171:Q171" si="108">+D165-D168-D169-D167</f>
        <v>129.75707045000013</v>
      </c>
      <c r="E171" s="169">
        <f t="shared" si="108"/>
        <v>97.8645747999999</v>
      </c>
      <c r="F171" s="169">
        <f t="shared" si="108"/>
        <v>55.506786079999983</v>
      </c>
      <c r="G171" s="169">
        <f t="shared" si="108"/>
        <v>136.53934675000005</v>
      </c>
      <c r="H171" s="136">
        <f t="shared" si="108"/>
        <v>0</v>
      </c>
      <c r="I171" s="169">
        <f t="shared" si="108"/>
        <v>127.50748816399982</v>
      </c>
      <c r="J171" s="169">
        <f t="shared" si="108"/>
        <v>81.25302499999998</v>
      </c>
      <c r="K171" s="169">
        <f t="shared" si="108"/>
        <v>37.339493719999837</v>
      </c>
      <c r="L171" s="169">
        <f t="shared" si="108"/>
        <v>125.12405279999984</v>
      </c>
      <c r="M171" s="136">
        <f t="shared" si="108"/>
        <v>0</v>
      </c>
      <c r="N171" s="169">
        <f t="shared" si="108"/>
        <v>165.08756799999992</v>
      </c>
      <c r="O171" s="169">
        <f t="shared" si="108"/>
        <v>107.84268816000008</v>
      </c>
      <c r="P171" s="169">
        <f t="shared" si="108"/>
        <v>48.503936000000067</v>
      </c>
      <c r="Q171" s="169">
        <f t="shared" si="108"/>
        <v>168.39149199999974</v>
      </c>
      <c r="R171" s="190"/>
      <c r="S171" s="169">
        <f>+S165-S168-S169-S167</f>
        <v>176.02463574999979</v>
      </c>
      <c r="T171" s="169">
        <f>+T165-T168-T169-T167</f>
        <v>147.79753149999988</v>
      </c>
      <c r="U171" s="169">
        <f>+U165-U168-U169-U167</f>
        <v>96.668358240000316</v>
      </c>
      <c r="V171" s="169">
        <f>+V165-V168-V169-V167</f>
        <v>162.79680919969812</v>
      </c>
      <c r="W171" s="136"/>
      <c r="X171" s="169">
        <f>+X165-X168-X169-X167</f>
        <v>182.60025784257769</v>
      </c>
      <c r="Y171" s="169">
        <f>+Y165-Y168-Y169-Y167</f>
        <v>153.27024097750424</v>
      </c>
      <c r="Z171" s="169">
        <f>+Z165-Z168-Z169-Z167</f>
        <v>110.24456822061325</v>
      </c>
      <c r="AA171" s="169">
        <f>+AA165-AA168-AA169-AA167</f>
        <v>178.12972952829523</v>
      </c>
      <c r="AB171" s="136"/>
      <c r="AC171" s="169">
        <f>+AC165-AC168-AC169-AC167</f>
        <v>220.51362630922816</v>
      </c>
      <c r="AD171" s="169">
        <f>+AD165-AD168-AD169-AD167</f>
        <v>186.1547167507525</v>
      </c>
      <c r="AE171" s="169">
        <f>+AE165-AE168-AE169-AE167</f>
        <v>137.9814420204894</v>
      </c>
      <c r="AF171" s="169">
        <f>+AF165-AF168-AF169-AF167</f>
        <v>213.99758410407762</v>
      </c>
      <c r="AG171" s="136"/>
      <c r="AH171" s="169">
        <f>+AH165-AH168-AH169-AH167</f>
        <v>227.5705200785971</v>
      </c>
      <c r="AI171" s="169">
        <f>+AI165-AI168-AI169-AI167</f>
        <v>190.61233092169681</v>
      </c>
      <c r="AJ171" s="169">
        <f>+AJ165-AJ168-AJ169-AJ167</f>
        <v>139.33741080666587</v>
      </c>
      <c r="AK171" s="169">
        <f>+AK165-AK168-AK169-AK167</f>
        <v>218.76050458498091</v>
      </c>
      <c r="AL171" s="136"/>
      <c r="AM171" s="169">
        <f>+AM165-AM168-AM169-AM167</f>
        <v>231.97592790798774</v>
      </c>
      <c r="AN171" s="169">
        <f>+AN165-AN168-AN169-AN167</f>
        <v>192.4377356098008</v>
      </c>
      <c r="AO171" s="169">
        <f>+AO165-AO168-AO169-AO167</f>
        <v>138.10631793876107</v>
      </c>
      <c r="AP171" s="169">
        <f>+AP165-AP168-AP169-AP167</f>
        <v>220.22605801186751</v>
      </c>
      <c r="AQ171" s="136"/>
    </row>
    <row r="172" spans="1:43" outlineLevel="1" x14ac:dyDescent="0.25">
      <c r="A172" s="53"/>
      <c r="B172" s="172" t="s">
        <v>266</v>
      </c>
      <c r="C172" s="131"/>
      <c r="D172" s="192">
        <f>+D171/(D165)</f>
        <v>8.6403502272919902E-2</v>
      </c>
      <c r="E172" s="192">
        <f>+E171/(E165)</f>
        <v>6.7639070376388E-2</v>
      </c>
      <c r="F172" s="192">
        <f>+F171/(F165)</f>
        <v>4.0798610229597264E-2</v>
      </c>
      <c r="G172" s="192">
        <f>+G171/(G165)</f>
        <v>9.0092907876527253E-2</v>
      </c>
      <c r="H172" s="137"/>
      <c r="I172" s="192">
        <f>+I171/(I165)</f>
        <v>8.1656661354804941E-2</v>
      </c>
      <c r="J172" s="192">
        <f>+J171/(J165)</f>
        <v>5.4087443092351223E-2</v>
      </c>
      <c r="K172" s="192">
        <f>+K171/(K165)</f>
        <v>2.655083917271691E-2</v>
      </c>
      <c r="L172" s="192">
        <f>+L171/(L165)</f>
        <v>7.8196470193076434E-2</v>
      </c>
      <c r="M172" s="137"/>
      <c r="N172" s="192">
        <f>+N171/(N165)</f>
        <v>9.9206058127344857E-2</v>
      </c>
      <c r="O172" s="192">
        <f>+O171/(O165)</f>
        <v>6.4466724171547085E-2</v>
      </c>
      <c r="P172" s="192">
        <f>+P171/(P165)</f>
        <v>3.0079886887172266E-2</v>
      </c>
      <c r="Q172" s="192">
        <f>+Q171/(Q165)</f>
        <v>9.0416806951349502E-2</v>
      </c>
      <c r="R172" s="174"/>
      <c r="S172" s="192">
        <f>+S171/(S165)</f>
        <v>8.9853201709538436E-2</v>
      </c>
      <c r="T172" s="192">
        <f>+T171/(T165)</f>
        <v>7.7066285190387357E-2</v>
      </c>
      <c r="U172" s="192">
        <f>+U171/(U165)</f>
        <v>5.5249532166907034E-2</v>
      </c>
      <c r="V172" s="192">
        <f>+V171/(V165)</f>
        <v>7.9924645925318602E-2</v>
      </c>
      <c r="W172" s="137"/>
      <c r="X172" s="192">
        <f>+X171/(X165)</f>
        <v>8.5687994423089442E-2</v>
      </c>
      <c r="Y172" s="192">
        <f>+Y171/(Y165)</f>
        <v>7.4974734977153068E-2</v>
      </c>
      <c r="Z172" s="192">
        <f>+Z171/(Z165)</f>
        <v>5.8108442878474283E-2</v>
      </c>
      <c r="AA172" s="192">
        <f>+AA171/(AA165)</f>
        <v>8.1081050694956025E-2</v>
      </c>
      <c r="AB172" s="137"/>
      <c r="AC172" s="192">
        <f>+AC171/(AC165)</f>
        <v>9.6280047702972063E-2</v>
      </c>
      <c r="AD172" s="192">
        <f>+AD171/(AD165)</f>
        <v>8.4981640020884847E-2</v>
      </c>
      <c r="AE172" s="192">
        <f>+AE171/(AE165)</f>
        <v>6.7784666804356339E-2</v>
      </c>
      <c r="AF172" s="192">
        <f>+AF171/(AF165)</f>
        <v>9.065754986556443E-2</v>
      </c>
      <c r="AG172" s="137"/>
      <c r="AH172" s="192">
        <f>+AH171/(AH165)</f>
        <v>9.3013193197848523E-2</v>
      </c>
      <c r="AI172" s="192">
        <f>+AI171/(AI165)</f>
        <v>8.1581639056488742E-2</v>
      </c>
      <c r="AJ172" s="192">
        <f>+AJ171/(AJ165)</f>
        <v>6.4249347826357495E-2</v>
      </c>
      <c r="AK172" s="192">
        <f>+AK171/(AK165)</f>
        <v>8.7140746685783116E-2</v>
      </c>
      <c r="AL172" s="137"/>
      <c r="AM172" s="192">
        <f>+AM171/(AM165)</f>
        <v>8.9380662487210299E-2</v>
      </c>
      <c r="AN172" s="192">
        <f>+AN171/(AN165)</f>
        <v>7.7779750759472854E-2</v>
      </c>
      <c r="AO172" s="192">
        <f>+AO171/(AO165)</f>
        <v>6.0247262421581918E-2</v>
      </c>
      <c r="AP172" s="192">
        <f>+AP171/(AP165)</f>
        <v>8.3158015872972349E-2</v>
      </c>
      <c r="AQ172" s="137"/>
    </row>
    <row r="173" spans="1:43" ht="15.75" x14ac:dyDescent="0.25">
      <c r="A173" s="53"/>
      <c r="B173" s="713" t="s">
        <v>249</v>
      </c>
      <c r="C173" s="714"/>
      <c r="D173" s="90" t="s">
        <v>71</v>
      </c>
      <c r="E173" s="90" t="s">
        <v>74</v>
      </c>
      <c r="F173" s="90" t="s">
        <v>75</v>
      </c>
      <c r="G173" s="90" t="s">
        <v>78</v>
      </c>
      <c r="H173" s="400"/>
      <c r="I173" s="90" t="s">
        <v>80</v>
      </c>
      <c r="J173" s="90" t="s">
        <v>91</v>
      </c>
      <c r="K173" s="90" t="s">
        <v>109</v>
      </c>
      <c r="L173" s="90" t="s">
        <v>113</v>
      </c>
      <c r="M173" s="400"/>
      <c r="N173" s="90" t="s">
        <v>115</v>
      </c>
      <c r="O173" s="90" t="s">
        <v>116</v>
      </c>
      <c r="P173" s="90" t="s">
        <v>117</v>
      </c>
      <c r="Q173" s="90" t="s">
        <v>118</v>
      </c>
      <c r="R173" s="400"/>
      <c r="S173" s="90" t="s">
        <v>507</v>
      </c>
      <c r="T173" s="90" t="s">
        <v>749</v>
      </c>
      <c r="U173" s="90" t="s">
        <v>769</v>
      </c>
      <c r="V173" s="92" t="s">
        <v>378</v>
      </c>
      <c r="W173" s="404"/>
      <c r="X173" s="92" t="s">
        <v>380</v>
      </c>
      <c r="Y173" s="92" t="s">
        <v>381</v>
      </c>
      <c r="Z173" s="92" t="s">
        <v>382</v>
      </c>
      <c r="AA173" s="92" t="s">
        <v>383</v>
      </c>
      <c r="AB173" s="404"/>
      <c r="AC173" s="92" t="s">
        <v>385</v>
      </c>
      <c r="AD173" s="92" t="s">
        <v>386</v>
      </c>
      <c r="AE173" s="92" t="s">
        <v>387</v>
      </c>
      <c r="AF173" s="92" t="s">
        <v>388</v>
      </c>
      <c r="AG173" s="404"/>
      <c r="AH173" s="92" t="s">
        <v>390</v>
      </c>
      <c r="AI173" s="92" t="s">
        <v>391</v>
      </c>
      <c r="AJ173" s="92" t="s">
        <v>392</v>
      </c>
      <c r="AK173" s="92" t="s">
        <v>393</v>
      </c>
      <c r="AL173" s="404"/>
      <c r="AM173" s="92" t="s">
        <v>395</v>
      </c>
      <c r="AN173" s="92" t="s">
        <v>396</v>
      </c>
      <c r="AO173" s="92" t="s">
        <v>397</v>
      </c>
      <c r="AP173" s="92" t="s">
        <v>398</v>
      </c>
      <c r="AQ173" s="404"/>
    </row>
    <row r="174" spans="1:43" ht="15.75" outlineLevel="1" x14ac:dyDescent="0.25">
      <c r="A174" s="53"/>
      <c r="B174" s="299" t="s">
        <v>250</v>
      </c>
      <c r="C174" s="175"/>
      <c r="D174" s="139">
        <v>390</v>
      </c>
      <c r="E174" s="139">
        <v>403</v>
      </c>
      <c r="F174" s="139">
        <v>384</v>
      </c>
      <c r="G174" s="139">
        <v>416</v>
      </c>
      <c r="H174" s="170"/>
      <c r="I174" s="139">
        <v>395</v>
      </c>
      <c r="J174" s="139">
        <v>414</v>
      </c>
      <c r="K174" s="139">
        <v>389</v>
      </c>
      <c r="L174" s="139">
        <v>423</v>
      </c>
      <c r="M174" s="170"/>
      <c r="N174" s="139">
        <v>400</v>
      </c>
      <c r="O174" s="139">
        <v>416</v>
      </c>
      <c r="P174" s="139">
        <v>397</v>
      </c>
      <c r="Q174" s="262">
        <v>437</v>
      </c>
      <c r="R174" s="50"/>
      <c r="S174" s="262">
        <v>417</v>
      </c>
      <c r="T174" s="124">
        <v>429</v>
      </c>
      <c r="U174" s="124">
        <v>402</v>
      </c>
      <c r="V174" s="124">
        <f>+Q174*(1+V175)</f>
        <v>443.4939713278817</v>
      </c>
      <c r="W174" s="54"/>
      <c r="X174" s="124">
        <f>+S174*(1+X175)</f>
        <v>427.5506008927216</v>
      </c>
      <c r="Y174" s="124">
        <f>+T174*(1+Y175)</f>
        <v>438.00964413362573</v>
      </c>
      <c r="Z174" s="124">
        <f>+U174*(1+Z175)</f>
        <v>409.41262949218395</v>
      </c>
      <c r="AA174" s="124">
        <f>+V174*(1+AA175)</f>
        <v>452.31977031343354</v>
      </c>
      <c r="AB174" s="54"/>
      <c r="AC174" s="124">
        <f>+X174*(1+AC175)</f>
        <v>436.59785870281769</v>
      </c>
      <c r="AD174" s="124">
        <f>+Y174*(1+AD175)</f>
        <v>446.8248243374486</v>
      </c>
      <c r="AE174" s="124">
        <f>+Z174*(1+AE175)</f>
        <v>417.56262184208572</v>
      </c>
      <c r="AF174" s="124">
        <f>+AA174*(1+AF175)</f>
        <v>461.48980342350842</v>
      </c>
      <c r="AG174" s="54"/>
      <c r="AH174" s="124">
        <f>+AC174*(1+AH175)</f>
        <v>444.39834530185311</v>
      </c>
      <c r="AI174" s="124">
        <f>+AD174*(1+AI175)</f>
        <v>454.4400546787914</v>
      </c>
      <c r="AJ174" s="124">
        <f>+AE174*(1+AJ175)</f>
        <v>424.35734732862551</v>
      </c>
      <c r="AK174" s="124">
        <f>+AF174*(1+AK175)</f>
        <v>468.58004113600606</v>
      </c>
      <c r="AL174" s="54"/>
      <c r="AM174" s="124">
        <f>+AH174*(1+AM175)</f>
        <v>450.68054539188785</v>
      </c>
      <c r="AN174" s="124">
        <f>+AI174*(1+AN175)</f>
        <v>460.44043086337928</v>
      </c>
      <c r="AO174" s="124">
        <f>+AJ174*(1+AO175)</f>
        <v>429.55322728920419</v>
      </c>
      <c r="AP174" s="124">
        <f>+AK174*(1+AP175)</f>
        <v>473.84550103800194</v>
      </c>
      <c r="AQ174" s="54"/>
    </row>
    <row r="175" spans="1:43" ht="15.75" outlineLevel="1" x14ac:dyDescent="0.25">
      <c r="A175" s="53"/>
      <c r="B175" s="141" t="s">
        <v>251</v>
      </c>
      <c r="C175" s="175"/>
      <c r="D175" s="166">
        <f>+D174/374-1</f>
        <v>4.2780748663101553E-2</v>
      </c>
      <c r="E175" s="166">
        <f>+E174/394-1</f>
        <v>2.2842639593908531E-2</v>
      </c>
      <c r="F175" s="166">
        <f>+F174/370-1</f>
        <v>3.7837837837837895E-2</v>
      </c>
      <c r="G175" s="166">
        <f>+G174/407-1</f>
        <v>2.2113022113022129E-2</v>
      </c>
      <c r="H175" s="170"/>
      <c r="I175" s="166">
        <f>+I174/D174-1</f>
        <v>1.2820512820512775E-2</v>
      </c>
      <c r="J175" s="166">
        <f>+J174/E174-1</f>
        <v>2.7295285359801413E-2</v>
      </c>
      <c r="K175" s="166">
        <f>+K174/F174-1</f>
        <v>1.3020833333333259E-2</v>
      </c>
      <c r="L175" s="166">
        <f>+L174/G174-1</f>
        <v>1.6826923076923128E-2</v>
      </c>
      <c r="M175" s="170"/>
      <c r="N175" s="166">
        <f>+N174/I174-1</f>
        <v>1.2658227848101333E-2</v>
      </c>
      <c r="O175" s="166">
        <f>+O174/J174-1</f>
        <v>4.8309178743961567E-3</v>
      </c>
      <c r="P175" s="166">
        <f>+P174/K174-1</f>
        <v>2.0565552699228773E-2</v>
      </c>
      <c r="Q175" s="166">
        <f>+Q174/L174-1</f>
        <v>3.3096926713948038E-2</v>
      </c>
      <c r="R175" s="76"/>
      <c r="S175" s="166">
        <f>+S174/N174-1</f>
        <v>4.2499999999999982E-2</v>
      </c>
      <c r="T175" s="166">
        <f>+T174/O174-1</f>
        <v>3.125E-2</v>
      </c>
      <c r="U175" s="166">
        <f>+U174/P174-1</f>
        <v>1.2594458438287104E-2</v>
      </c>
      <c r="V175" s="177">
        <f>AVERAGE(U175,T175,S175,Q175)-1.5%</f>
        <v>1.4860346288058782E-2</v>
      </c>
      <c r="W175" s="54"/>
      <c r="X175" s="177">
        <f>AVERAGE(V175,U175,T175,S175)</f>
        <v>2.5301201181586467E-2</v>
      </c>
      <c r="Y175" s="177">
        <f>AVERAGE(X175,V175,U175,T175)</f>
        <v>2.1001501476983087E-2</v>
      </c>
      <c r="Z175" s="177">
        <f>AVERAGE(Y175,X175,V175,U175)</f>
        <v>1.8439376846228858E-2</v>
      </c>
      <c r="AA175" s="177">
        <f>AVERAGE(Z175,Y175,X175,V175)</f>
        <v>1.9900606448214297E-2</v>
      </c>
      <c r="AB175" s="54"/>
      <c r="AC175" s="177">
        <f>AVERAGE(AA175,Z175,Y175,X175)</f>
        <v>2.1160671488253176E-2</v>
      </c>
      <c r="AD175" s="177">
        <f>AVERAGE(AC175,AA175,Z175,Y175)</f>
        <v>2.0125539064919856E-2</v>
      </c>
      <c r="AE175" s="177">
        <f>AVERAGE(AD175,AC175,AA175,Z175)</f>
        <v>1.9906548461904046E-2</v>
      </c>
      <c r="AF175" s="177">
        <f>AVERAGE(AE175,AD175,AC175,AA175)</f>
        <v>2.0273341365822845E-2</v>
      </c>
      <c r="AG175" s="54"/>
      <c r="AH175" s="177">
        <f>AVERAGE(AF175,AE175,AD175,AC175)-0.25%</f>
        <v>1.7866525095224982E-2</v>
      </c>
      <c r="AI175" s="177">
        <f>AVERAGE(AH175,AF175,AE175,AD175)-0.25%</f>
        <v>1.7042988496967934E-2</v>
      </c>
      <c r="AJ175" s="177">
        <f>AVERAGE(AI175,AH175,AF175,AE175)-0.25%</f>
        <v>1.6272350854979953E-2</v>
      </c>
      <c r="AK175" s="177">
        <f>AVERAGE(AJ175,AI175,AH175,AF175)-0.25%</f>
        <v>1.536380145324893E-2</v>
      </c>
      <c r="AL175" s="54"/>
      <c r="AM175" s="177">
        <f>AVERAGE(AK175,AJ175,AI175,AH175)-0.25%</f>
        <v>1.4136416475105449E-2</v>
      </c>
      <c r="AN175" s="177">
        <f>AVERAGE(AM175,AK175,AJ175,AI175)-0.25%</f>
        <v>1.3203889320075565E-2</v>
      </c>
      <c r="AO175" s="177">
        <f>AVERAGE(AN175,AM175,AK175,AJ175)-0.25%</f>
        <v>1.2244114525852473E-2</v>
      </c>
      <c r="AP175" s="177">
        <f>AVERAGE(AO175,AN175,AM175,AK175)-0.25%</f>
        <v>1.1237055443570603E-2</v>
      </c>
      <c r="AQ175" s="54"/>
    </row>
    <row r="176" spans="1:43" s="53" customFormat="1" ht="15.75" outlineLevel="1" x14ac:dyDescent="0.25">
      <c r="B176" s="330" t="s">
        <v>272</v>
      </c>
      <c r="C176" s="331"/>
      <c r="D176" s="332"/>
      <c r="E176" s="315"/>
      <c r="F176" s="315"/>
      <c r="G176" s="315"/>
      <c r="H176" s="333"/>
      <c r="I176" s="315"/>
      <c r="J176" s="315"/>
      <c r="K176" s="315"/>
      <c r="L176" s="315"/>
      <c r="M176" s="333"/>
      <c r="N176" s="315"/>
      <c r="O176" s="315"/>
      <c r="P176" s="315"/>
      <c r="Q176" s="315"/>
      <c r="R176" s="334"/>
      <c r="S176" s="315"/>
      <c r="T176" s="315"/>
      <c r="U176" s="315"/>
      <c r="V176" s="315"/>
      <c r="W176" s="165"/>
      <c r="X176" s="315"/>
      <c r="Y176" s="315"/>
      <c r="Z176" s="315"/>
      <c r="AA176" s="315"/>
      <c r="AB176" s="165"/>
      <c r="AC176" s="315"/>
      <c r="AD176" s="315"/>
      <c r="AE176" s="315"/>
      <c r="AF176" s="315"/>
      <c r="AG176" s="165"/>
      <c r="AH176" s="315"/>
      <c r="AI176" s="315"/>
      <c r="AJ176" s="315"/>
      <c r="AK176" s="315"/>
      <c r="AL176" s="165"/>
      <c r="AM176" s="315"/>
      <c r="AN176" s="315"/>
      <c r="AO176" s="315"/>
      <c r="AP176" s="315"/>
      <c r="AQ176" s="165"/>
    </row>
    <row r="177" spans="1:43" ht="15.75" outlineLevel="1" x14ac:dyDescent="0.25">
      <c r="A177" s="53"/>
      <c r="B177" s="178" t="s">
        <v>334</v>
      </c>
      <c r="C177" s="171"/>
      <c r="D177" s="168">
        <v>578.5</v>
      </c>
      <c r="E177" s="168">
        <v>596</v>
      </c>
      <c r="F177" s="168">
        <v>531</v>
      </c>
      <c r="G177" s="168">
        <v>637</v>
      </c>
      <c r="H177" s="335"/>
      <c r="I177" s="168">
        <v>564.4</v>
      </c>
      <c r="J177" s="168">
        <v>608</v>
      </c>
      <c r="K177" s="168">
        <v>542.4</v>
      </c>
      <c r="L177" s="168">
        <v>587.4</v>
      </c>
      <c r="M177" s="335"/>
      <c r="N177" s="168">
        <v>587.5</v>
      </c>
      <c r="O177" s="168">
        <v>623</v>
      </c>
      <c r="P177" s="168">
        <v>590</v>
      </c>
      <c r="Q177" s="168">
        <v>620</v>
      </c>
      <c r="R177" s="136"/>
      <c r="S177" s="168">
        <v>655.4</v>
      </c>
      <c r="T177" s="168">
        <v>731</v>
      </c>
      <c r="U177" s="168">
        <v>592</v>
      </c>
      <c r="V177" s="140">
        <f>AVERAGE(U177,T177,S177,Q177)</f>
        <v>649.6</v>
      </c>
      <c r="W177" s="136"/>
      <c r="X177" s="140">
        <f>AVERAGE(V177,U177,T177,S177)</f>
        <v>657</v>
      </c>
      <c r="Y177" s="140">
        <f>AVERAGE(X177,V177,U177,T177)</f>
        <v>657.4</v>
      </c>
      <c r="Z177" s="140">
        <f>AVERAGE(Y177,X177,V177,U177)</f>
        <v>639</v>
      </c>
      <c r="AA177" s="140">
        <f>AVERAGE(Z177,Y177,X177,V177)</f>
        <v>650.75</v>
      </c>
      <c r="AB177" s="136"/>
      <c r="AC177" s="140">
        <f>AVERAGE(AA177,Z177,Y177,X177)</f>
        <v>651.03750000000002</v>
      </c>
      <c r="AD177" s="140">
        <f>AVERAGE(AC177,AA177,Z177,Y177)</f>
        <v>649.546875</v>
      </c>
      <c r="AE177" s="140">
        <f>AVERAGE(AD177,AC177,AA177,Z177)</f>
        <v>647.58359374999998</v>
      </c>
      <c r="AF177" s="140">
        <f>AVERAGE(AE177,AD177,AC177,AA177)</f>
        <v>649.7294921875</v>
      </c>
      <c r="AG177" s="136"/>
      <c r="AH177" s="140">
        <f>AVERAGE(AF177,AE177,AD177,AC177)</f>
        <v>649.474365234375</v>
      </c>
      <c r="AI177" s="140">
        <f>AVERAGE(AH177,AF177,AE177,AD177)</f>
        <v>649.08358154296877</v>
      </c>
      <c r="AJ177" s="140">
        <f>AVERAGE(AI177,AH177,AF177,AE177)</f>
        <v>648.96775817871094</v>
      </c>
      <c r="AK177" s="140">
        <f>AVERAGE(AJ177,AI177,AH177,AF177)</f>
        <v>649.31379928588865</v>
      </c>
      <c r="AL177" s="136"/>
      <c r="AM177" s="140">
        <f>AVERAGE(AK177,AJ177,AI177,AH177)</f>
        <v>649.20987606048584</v>
      </c>
      <c r="AN177" s="140">
        <f>AVERAGE(AM177,AK177,AJ177,AI177)</f>
        <v>649.14375376701355</v>
      </c>
      <c r="AO177" s="140">
        <f>AVERAGE(AN177,AM177,AK177,AJ177)</f>
        <v>649.15879682302477</v>
      </c>
      <c r="AP177" s="140">
        <f>AVERAGE(AO177,AN177,AM177,AK177)</f>
        <v>649.2065564841032</v>
      </c>
      <c r="AQ177" s="136"/>
    </row>
    <row r="178" spans="1:43" ht="15.75" outlineLevel="1" x14ac:dyDescent="0.25">
      <c r="A178" s="53"/>
      <c r="B178" s="178" t="s">
        <v>335</v>
      </c>
      <c r="C178" s="171"/>
      <c r="D178" s="168">
        <v>-43.4</v>
      </c>
      <c r="E178" s="168">
        <v>-83</v>
      </c>
      <c r="F178" s="168">
        <v>-329</v>
      </c>
      <c r="G178" s="168">
        <v>-1613.5</v>
      </c>
      <c r="H178" s="136"/>
      <c r="I178" s="168">
        <f>-80.5-1</f>
        <v>-81.5</v>
      </c>
      <c r="J178" s="168">
        <f>-88-1</f>
        <v>-89</v>
      </c>
      <c r="K178" s="168">
        <f>-90.5-1</f>
        <v>-91.5</v>
      </c>
      <c r="L178" s="168">
        <f>-140.5-24</f>
        <v>-164.5</v>
      </c>
      <c r="M178" s="136"/>
      <c r="N178" s="168">
        <f>-118-3</f>
        <v>-121</v>
      </c>
      <c r="O178" s="168">
        <f>-87-3</f>
        <v>-90</v>
      </c>
      <c r="P178" s="168">
        <f>-119-3</f>
        <v>-122</v>
      </c>
      <c r="Q178" s="168">
        <f>-507-13</f>
        <v>-520</v>
      </c>
      <c r="R178" s="136"/>
      <c r="S178" s="168">
        <v>-139</v>
      </c>
      <c r="T178" s="168">
        <v>-186</v>
      </c>
      <c r="U178" s="168">
        <v>-133</v>
      </c>
      <c r="V178" s="168">
        <f>+V177-V179-V211</f>
        <v>-158.53333333333359</v>
      </c>
      <c r="W178" s="136"/>
      <c r="X178" s="168">
        <f>+X177-X179-X211</f>
        <v>-155.13333333333333</v>
      </c>
      <c r="Y178" s="168">
        <f>+Y177-Y179-Y211</f>
        <v>-159.16666666666663</v>
      </c>
      <c r="Z178" s="168">
        <f>+Z177-Z179-Z211</f>
        <v>-152.45833333333326</v>
      </c>
      <c r="AA178" s="168">
        <f>+AA177-AA179-AA211</f>
        <v>-57.322916666666686</v>
      </c>
      <c r="AB178" s="136"/>
      <c r="AC178" s="168">
        <f>+AC177-AC179-AC211</f>
        <v>-156.02031249999993</v>
      </c>
      <c r="AD178" s="168">
        <f>+AD177-AD179-AD211</f>
        <v>-156.2420572916667</v>
      </c>
      <c r="AE178" s="168">
        <f>+AE177-AE179-AE211</f>
        <v>-155.51090494791663</v>
      </c>
      <c r="AF178" s="168">
        <f>+AF177-AF179-AF211</f>
        <v>-101.27404785156233</v>
      </c>
      <c r="AG178" s="136"/>
      <c r="AH178" s="168">
        <f>+AH177-AH179-AH211</f>
        <v>-156.01183064778638</v>
      </c>
      <c r="AI178" s="168">
        <f>+AI177-AI179-AI211</f>
        <v>-156.00971018473297</v>
      </c>
      <c r="AJ178" s="168">
        <f>+AJ177-AJ179-AJ211</f>
        <v>-155.95162340799959</v>
      </c>
      <c r="AK178" s="168">
        <f>+AK177-AK179-AK211</f>
        <v>-101.06180302302033</v>
      </c>
      <c r="AL178" s="136"/>
      <c r="AM178" s="168">
        <f>+AM177-AM179-AM211</f>
        <v>-156.00874181588483</v>
      </c>
      <c r="AN178" s="168">
        <f>+AN177-AN179-AN211</f>
        <v>-156.00796960790944</v>
      </c>
      <c r="AO178" s="168">
        <f>+AO177-AO179-AO211</f>
        <v>-156.00753446370356</v>
      </c>
      <c r="AP178" s="168">
        <f>+AP177-AP179-AP211</f>
        <v>-101.02151222762944</v>
      </c>
      <c r="AQ178" s="136"/>
    </row>
    <row r="179" spans="1:43" s="53" customFormat="1" ht="15.6" customHeight="1" outlineLevel="1" x14ac:dyDescent="0.25">
      <c r="B179" s="745" t="s">
        <v>402</v>
      </c>
      <c r="C179" s="746"/>
      <c r="D179" s="168">
        <f>-(D178-D177)</f>
        <v>621.9</v>
      </c>
      <c r="E179" s="168">
        <f>-(E178-E177)</f>
        <v>679</v>
      </c>
      <c r="F179" s="168">
        <f>-(F178-F177)</f>
        <v>860</v>
      </c>
      <c r="G179" s="168">
        <f>-(G178-G177)</f>
        <v>2250.5</v>
      </c>
      <c r="H179" s="136"/>
      <c r="I179" s="168">
        <f>-(I178-I177)</f>
        <v>645.9</v>
      </c>
      <c r="J179" s="168">
        <f>-(J178-J177)</f>
        <v>697</v>
      </c>
      <c r="K179" s="168">
        <f>-(K178-K177)</f>
        <v>633.9</v>
      </c>
      <c r="L179" s="168">
        <f>-(L178-L177)</f>
        <v>751.9</v>
      </c>
      <c r="M179" s="136"/>
      <c r="N179" s="168">
        <f>-(N178-N177)</f>
        <v>708.5</v>
      </c>
      <c r="O179" s="168">
        <f>-(O178-O177)</f>
        <v>713</v>
      </c>
      <c r="P179" s="168">
        <f>-(P178-P177)</f>
        <v>712</v>
      </c>
      <c r="Q179" s="168">
        <f>-(Q178-Q177)</f>
        <v>1140</v>
      </c>
      <c r="R179" s="136"/>
      <c r="S179" s="168">
        <f>-(S178-S177)</f>
        <v>794.4</v>
      </c>
      <c r="T179" s="168">
        <f>-(T178-T177)</f>
        <v>917</v>
      </c>
      <c r="U179" s="168">
        <f>-(U178-U177)</f>
        <v>725</v>
      </c>
      <c r="V179" s="140">
        <f>AVERAGE(U179,T179,S179)</f>
        <v>812.13333333333333</v>
      </c>
      <c r="W179" s="136"/>
      <c r="X179" s="140">
        <f>AVERAGE(V179,U179,T179,S179)</f>
        <v>812.13333333333333</v>
      </c>
      <c r="Y179" s="140">
        <f>AVERAGE(X179,V179,U179,T179)</f>
        <v>816.56666666666661</v>
      </c>
      <c r="Z179" s="140">
        <f>AVERAGE(Y179,X179,V179,U179)</f>
        <v>791.45833333333326</v>
      </c>
      <c r="AA179" s="140">
        <f>AVERAGE(Z179,Y179,X179,V179)</f>
        <v>808.07291666666663</v>
      </c>
      <c r="AB179" s="136"/>
      <c r="AC179" s="140">
        <f>AVERAGE(AA179,Z179,Y179,X179)</f>
        <v>807.05781249999995</v>
      </c>
      <c r="AD179" s="140">
        <f>AVERAGE(AC179,AA179,Z179,Y179)</f>
        <v>805.7889322916667</v>
      </c>
      <c r="AE179" s="140">
        <f>AVERAGE(AD179,AC179,AA179,Z179)</f>
        <v>803.09449869791661</v>
      </c>
      <c r="AF179" s="140">
        <f>AVERAGE(AE179,AD179,AC179,AA179)</f>
        <v>806.00354003906239</v>
      </c>
      <c r="AG179" s="136"/>
      <c r="AH179" s="140">
        <f>AVERAGE(AF179,AE179,AD179,AC179)</f>
        <v>805.48619588216138</v>
      </c>
      <c r="AI179" s="140">
        <f>AVERAGE(AH179,AF179,AE179,AD179)</f>
        <v>805.09329172770174</v>
      </c>
      <c r="AJ179" s="140">
        <f>AVERAGE(AI179,AH179,AF179,AE179)</f>
        <v>804.91938158671053</v>
      </c>
      <c r="AK179" s="140">
        <f>AVERAGE(AJ179,AI179,AH179,AF179)</f>
        <v>805.37560230890904</v>
      </c>
      <c r="AL179" s="136"/>
      <c r="AM179" s="140">
        <f>AVERAGE(AK179,AJ179,AI179,AH179)</f>
        <v>805.21861787637067</v>
      </c>
      <c r="AN179" s="140">
        <f>AVERAGE(AM179,AK179,AJ179,AI179)</f>
        <v>805.15172337492299</v>
      </c>
      <c r="AO179" s="140">
        <f>AVERAGE(AN179,AM179,AK179,AJ179)</f>
        <v>805.16633128672834</v>
      </c>
      <c r="AP179" s="140">
        <f>AVERAGE(AO179,AN179,AM179,AK179)</f>
        <v>805.2280687117327</v>
      </c>
      <c r="AQ179" s="136"/>
    </row>
    <row r="180" spans="1:43" s="194" customFormat="1" ht="15.75" outlineLevel="1" x14ac:dyDescent="0.25">
      <c r="B180" s="325" t="s">
        <v>269</v>
      </c>
      <c r="C180" s="326"/>
      <c r="D180" s="202"/>
      <c r="E180" s="202"/>
      <c r="F180" s="245"/>
      <c r="G180" s="202"/>
      <c r="H180" s="201"/>
      <c r="I180" s="202"/>
      <c r="J180" s="202"/>
      <c r="K180" s="245"/>
      <c r="L180" s="202"/>
      <c r="M180" s="203"/>
      <c r="N180" s="327"/>
      <c r="O180" s="327"/>
      <c r="P180" s="327"/>
      <c r="Q180" s="202"/>
      <c r="R180" s="328"/>
      <c r="S180" s="202"/>
      <c r="T180" s="202"/>
      <c r="U180" s="245"/>
      <c r="V180" s="202"/>
      <c r="W180" s="201"/>
      <c r="X180" s="202"/>
      <c r="Y180" s="202"/>
      <c r="Z180" s="245"/>
      <c r="AA180" s="202"/>
      <c r="AB180" s="201"/>
      <c r="AC180" s="202"/>
      <c r="AD180" s="202"/>
      <c r="AE180" s="245"/>
      <c r="AF180" s="202"/>
      <c r="AG180" s="201"/>
      <c r="AH180" s="202"/>
      <c r="AI180" s="202"/>
      <c r="AJ180" s="245"/>
      <c r="AK180" s="202"/>
      <c r="AL180" s="201"/>
      <c r="AM180" s="202"/>
      <c r="AN180" s="202"/>
      <c r="AO180" s="245"/>
      <c r="AP180" s="202"/>
      <c r="AQ180" s="201"/>
    </row>
    <row r="181" spans="1:43" s="194" customFormat="1" ht="15.75" outlineLevel="1" x14ac:dyDescent="0.25">
      <c r="B181" s="295" t="s">
        <v>270</v>
      </c>
      <c r="C181" s="175"/>
      <c r="D181" s="139">
        <f>+D19-(D68+D150+D167)</f>
        <v>0</v>
      </c>
      <c r="E181" s="139">
        <f>+E19-(E68+E150+E167)</f>
        <v>1</v>
      </c>
      <c r="F181" s="139">
        <f>+F19-(F68+F150+F167)</f>
        <v>-1</v>
      </c>
      <c r="G181" s="139">
        <f>+G19-(G68+G150+G167)</f>
        <v>3</v>
      </c>
      <c r="H181" s="54"/>
      <c r="I181" s="139">
        <f>+I19-(I68+I150+I167)</f>
        <v>2</v>
      </c>
      <c r="J181" s="139">
        <f>+J19-(J68+J150+J167)</f>
        <v>-2</v>
      </c>
      <c r="K181" s="139">
        <f>+K19-(K68+K150+K167)</f>
        <v>0</v>
      </c>
      <c r="L181" s="139">
        <f>+L19-(L68+L150+L167)</f>
        <v>1</v>
      </c>
      <c r="M181" s="170"/>
      <c r="N181" s="139">
        <f>+N19-(N68+N150+N167)</f>
        <v>1</v>
      </c>
      <c r="O181" s="139">
        <f>+O19-(O68+O150+O167)</f>
        <v>-1</v>
      </c>
      <c r="P181" s="139">
        <f>+P19-(P68+P150+P167)</f>
        <v>1</v>
      </c>
      <c r="Q181" s="139">
        <f>+Q19-(Q68+Q150+Q167)</f>
        <v>0</v>
      </c>
      <c r="R181" s="54"/>
      <c r="S181" s="139">
        <f>+S19-(S68+S150+S167)</f>
        <v>1</v>
      </c>
      <c r="T181" s="139">
        <f>+T19-(T68+T150+T167)</f>
        <v>-1</v>
      </c>
      <c r="U181" s="139">
        <f>+U19-(U68+U150+U167)</f>
        <v>1</v>
      </c>
      <c r="V181" s="140">
        <f>AVERAGE(U181,T181,S181,Q181)</f>
        <v>0.25</v>
      </c>
      <c r="W181" s="54"/>
      <c r="X181" s="140">
        <f>AVERAGE(V181,U181,T181,S181)</f>
        <v>0.3125</v>
      </c>
      <c r="Y181" s="140">
        <f>AVERAGE(X181,V181,U181,T181)</f>
        <v>0.140625</v>
      </c>
      <c r="Z181" s="140">
        <f>AVERAGE(Y181,X181,V181,U181)</f>
        <v>0.42578125</v>
      </c>
      <c r="AA181" s="140">
        <f>AVERAGE(Z181,Y181,X181,V181)</f>
        <v>0.2822265625</v>
      </c>
      <c r="AB181" s="54"/>
      <c r="AC181" s="140">
        <f>AVERAGE(AA181,Z181,Y181,X181)</f>
        <v>0.290283203125</v>
      </c>
      <c r="AD181" s="140">
        <f>AVERAGE(AC181,AA181,Z181,Y181)</f>
        <v>0.28472900390625</v>
      </c>
      <c r="AE181" s="140">
        <f>AVERAGE(AD181,AC181,AA181,Z181)</f>
        <v>0.3207550048828125</v>
      </c>
      <c r="AF181" s="140">
        <f>AVERAGE(AE181,AD181,AC181,AA181)</f>
        <v>0.29449844360351563</v>
      </c>
      <c r="AG181" s="54"/>
      <c r="AH181" s="140">
        <f>AVERAGE(AF181,AE181,AD181,AC181)</f>
        <v>0.29756641387939453</v>
      </c>
      <c r="AI181" s="140">
        <f>AVERAGE(AH181,AF181,AE181,AD181)</f>
        <v>0.29938721656799316</v>
      </c>
      <c r="AJ181" s="140">
        <f>AVERAGE(AI181,AH181,AF181,AE181)</f>
        <v>0.30305176973342896</v>
      </c>
      <c r="AK181" s="140">
        <f>AVERAGE(AJ181,AI181,AH181,AF181)</f>
        <v>0.29862596094608307</v>
      </c>
      <c r="AL181" s="54"/>
      <c r="AM181" s="140">
        <f>AVERAGE(AK181,AJ181,AI181,AH181)</f>
        <v>0.29965784028172493</v>
      </c>
      <c r="AN181" s="140">
        <f>AVERAGE(AM181,AK181,AJ181,AI181)</f>
        <v>0.30018069688230753</v>
      </c>
      <c r="AO181" s="140">
        <f>AVERAGE(AN181,AM181,AK181,AJ181)</f>
        <v>0.30037906696088612</v>
      </c>
      <c r="AP181" s="140">
        <f>AVERAGE(AO181,AN181,AM181,AK181)</f>
        <v>0.29971089126775041</v>
      </c>
      <c r="AQ181" s="54"/>
    </row>
    <row r="182" spans="1:43" s="194" customFormat="1" ht="15.75" outlineLevel="1" x14ac:dyDescent="0.25">
      <c r="B182" s="295" t="s">
        <v>157</v>
      </c>
      <c r="C182" s="175"/>
      <c r="D182" s="139">
        <f>+D18-(D69+D151+D168)</f>
        <v>113</v>
      </c>
      <c r="E182" s="139">
        <f>+E18-(E69+E151+E168)</f>
        <v>110</v>
      </c>
      <c r="F182" s="139">
        <f>+F18-(F69+F151+F168)</f>
        <v>114</v>
      </c>
      <c r="G182" s="139">
        <f>+G18-(G69+G151+G168)</f>
        <v>117</v>
      </c>
      <c r="H182" s="54"/>
      <c r="I182" s="139">
        <f>+I18-(I69+I151+I168)</f>
        <v>113</v>
      </c>
      <c r="J182" s="139">
        <f>+J18-(J69+J151+J168)</f>
        <v>110</v>
      </c>
      <c r="K182" s="139">
        <f>+K18-(K69+K151+K168)</f>
        <v>111</v>
      </c>
      <c r="L182" s="139">
        <f>+L18-(L69+L151+L168)</f>
        <v>107</v>
      </c>
      <c r="M182" s="170"/>
      <c r="N182" s="139">
        <f>+N18-(N69+N151+N168)</f>
        <v>107</v>
      </c>
      <c r="O182" s="139">
        <f>+O18-(O69+O151+O168)</f>
        <v>108</v>
      </c>
      <c r="P182" s="139">
        <f>+P18-(P69+P151+P168)</f>
        <v>110</v>
      </c>
      <c r="Q182" s="139">
        <f>+Q18-(Q69+Q151+Q168)</f>
        <v>114</v>
      </c>
      <c r="R182" s="54"/>
      <c r="S182" s="139">
        <f>+S18-(S69+S151+S168)</f>
        <v>121</v>
      </c>
      <c r="T182" s="139">
        <f>+T18-(T69+T151+T168)</f>
        <v>123</v>
      </c>
      <c r="U182" s="139">
        <f>+U18-(U69+U151+U168)</f>
        <v>122</v>
      </c>
      <c r="V182" s="139">
        <f>U182/(U69+U151+U168+U182)*V18</f>
        <v>123.55702765443095</v>
      </c>
      <c r="W182" s="54"/>
      <c r="X182" s="139">
        <f>V182/(V69+V151+V168+V182)*X18</f>
        <v>127.18696684470152</v>
      </c>
      <c r="Y182" s="139">
        <f>X182/(X69+X151+X168+X182)*Y18</f>
        <v>130.02202394950794</v>
      </c>
      <c r="Z182" s="139">
        <f>Y182/(Y69+Y151+Y168+Y182)*Z18</f>
        <v>131.40435913464819</v>
      </c>
      <c r="AA182" s="139">
        <f>Z182/(Z69+Z151+Z168+Z182)*AA18</f>
        <v>134.3742233098238</v>
      </c>
      <c r="AB182" s="54"/>
      <c r="AC182" s="139">
        <f>AA182/(AA69+AA151+AA168+AA182)*AC18</f>
        <v>138.68530357460472</v>
      </c>
      <c r="AD182" s="139">
        <f>AC182/(AC69+AC151+AC168+AC182)*AD18</f>
        <v>141.58999846991486</v>
      </c>
      <c r="AE182" s="139">
        <f>AD182/(AD69+AD151+AD168+AD182)*AE18</f>
        <v>143.02037146460572</v>
      </c>
      <c r="AF182" s="139">
        <f>AE182/(AE69+AE151+AE168+AE182)*AF18</f>
        <v>146.02328098383438</v>
      </c>
      <c r="AG182" s="54"/>
      <c r="AH182" s="139">
        <f>AF182/(AF69+AF151+AF168+AF182)*AH18</f>
        <v>150.42352403256587</v>
      </c>
      <c r="AI182" s="139">
        <f>AH182/(AH69+AH151+AH168+AH182)*AI18</f>
        <v>153.38391389898746</v>
      </c>
      <c r="AJ182" s="139">
        <f>AI182/(AI69+AI151+AI168+AI182)*AJ18</f>
        <v>154.84074575365963</v>
      </c>
      <c r="AK182" s="139">
        <f>AJ182/(AJ69+AJ151+AJ168+AJ182)*AK18</f>
        <v>157.88891756199382</v>
      </c>
      <c r="AL182" s="54"/>
      <c r="AM182" s="139">
        <f>AK182/(AK69+AK151+AK168+AK182)*AM18</f>
        <v>162.36018141233708</v>
      </c>
      <c r="AN182" s="139">
        <f>AM182/(AM69+AM151+AM168+AM182)*AN18</f>
        <v>165.36449457304175</v>
      </c>
      <c r="AO182" s="139">
        <f>AN182/(AN69+AN151+AN168+AN182)*AO18</f>
        <v>166.841405674404</v>
      </c>
      <c r="AP182" s="139">
        <f>AO182/(AO69+AO151+AO168+AO182)*AP18</f>
        <v>169.92746811245698</v>
      </c>
      <c r="AQ182" s="54"/>
    </row>
    <row r="183" spans="1:43" s="53" customFormat="1" ht="15.6" customHeight="1" outlineLevel="1" x14ac:dyDescent="0.25">
      <c r="B183" s="739" t="s">
        <v>271</v>
      </c>
      <c r="C183" s="740"/>
      <c r="D183" s="215">
        <f>+D24-(D68+D69+D70+D150+D151+D152+D167+D168+D169)-(D181+D182)-D179</f>
        <v>277.10000000000002</v>
      </c>
      <c r="E183" s="215">
        <f>+E24-(E68+E69+E70+E150+E151+E152+E167+E168+E169)-(E181+E182)-E179</f>
        <v>292</v>
      </c>
      <c r="F183" s="215">
        <f>+F24-(F68+F69+F70+F150+F151+F152+F167+F168+F169)-(F181+F182)-F179</f>
        <v>271</v>
      </c>
      <c r="G183" s="215">
        <f>+G24-(G68+G69+G70+G150+G151+G152+G167+G168+G169)-(G181+G182)-G179</f>
        <v>295.5</v>
      </c>
      <c r="H183" s="56"/>
      <c r="I183" s="215">
        <f>+I24-(I68+I69+I70+I150+I151+I152+I167+I168+I169)-(I181+I182)-I179</f>
        <v>280.10000000000002</v>
      </c>
      <c r="J183" s="215">
        <f>+J24-(J68+J69+J70+J150+J151+J152+J167+J168+J169)-(J181+J182)-J179</f>
        <v>306</v>
      </c>
      <c r="K183" s="215">
        <f>+K24-(K68+K69+K70+K150+K151+K152+K167+K168+K169)-(K181+K182)-K179</f>
        <v>278.10000000000002</v>
      </c>
      <c r="L183" s="215">
        <f>+L24-(L68+L69+L70+L150+L151+L152+L167+L168+L169)-(L181+L182)-L179</f>
        <v>315.10000000000002</v>
      </c>
      <c r="M183" s="176"/>
      <c r="N183" s="215">
        <f>+N24-(N68+N69+N70+N150+N151+N152+N167+N168+N169)-(N181+N182)-N179</f>
        <v>291.5</v>
      </c>
      <c r="O183" s="215">
        <f>+O24-(O68+O69+O70+O150+O151+O152+O167+O168+O169)-(O181+O182)-O179</f>
        <v>309</v>
      </c>
      <c r="P183" s="215">
        <f>+P24-(P68+P69+P70+P150+P151+P152+P167+P168+P169)-(P181+P182)-P179</f>
        <v>286</v>
      </c>
      <c r="Q183" s="215">
        <f>+Q24-(Q68+Q69+Q70+Q150+Q151+Q152+Q167+Q168+Q169)-(Q181+Q182)-Q179</f>
        <v>322</v>
      </c>
      <c r="R183" s="56"/>
      <c r="S183" s="215">
        <f>+S24-(S68+S69+S70+S150+S151+S152+S167+S168+S169)-(S181+S182)-S179</f>
        <v>295.10000000000002</v>
      </c>
      <c r="T183" s="215">
        <f>+T24-(T68+T69+T70+T150+T151+T152+T167+T168+T169)-(T181+T182)-T179</f>
        <v>307</v>
      </c>
      <c r="U183" s="215">
        <f>+U24-(U68+U69+U70+U150+U151+U152+U167+U168+U169)-(U181+U182)-U179</f>
        <v>279</v>
      </c>
      <c r="V183" s="329">
        <v>320</v>
      </c>
      <c r="W183" s="56"/>
      <c r="X183" s="329">
        <v>300</v>
      </c>
      <c r="Y183" s="329">
        <f>322-14</f>
        <v>308</v>
      </c>
      <c r="Z183" s="329">
        <f>301-23</f>
        <v>278</v>
      </c>
      <c r="AA183" s="329">
        <f>342-24</f>
        <v>318</v>
      </c>
      <c r="AB183" s="56"/>
      <c r="AC183" s="329">
        <f>316-18</f>
        <v>298</v>
      </c>
      <c r="AD183" s="329">
        <f>325-20</f>
        <v>305</v>
      </c>
      <c r="AE183" s="329">
        <f>303-29</f>
        <v>274</v>
      </c>
      <c r="AF183" s="329">
        <f>346-31</f>
        <v>315</v>
      </c>
      <c r="AG183" s="56"/>
      <c r="AH183" s="329">
        <f>318-24</f>
        <v>294</v>
      </c>
      <c r="AI183" s="329">
        <f>327-26</f>
        <v>301</v>
      </c>
      <c r="AJ183" s="329">
        <f>304-35</f>
        <v>269</v>
      </c>
      <c r="AK183" s="329">
        <f>347-37</f>
        <v>310</v>
      </c>
      <c r="AL183" s="56"/>
      <c r="AM183" s="329">
        <f>318-30</f>
        <v>288</v>
      </c>
      <c r="AN183" s="329">
        <f>327-32</f>
        <v>295</v>
      </c>
      <c r="AO183" s="329">
        <f>303-41</f>
        <v>262</v>
      </c>
      <c r="AP183" s="329">
        <f>346-42</f>
        <v>304</v>
      </c>
      <c r="AQ183" s="56"/>
    </row>
    <row r="184" spans="1:43" s="53" customFormat="1" ht="15.6" customHeight="1" outlineLevel="1" x14ac:dyDescent="0.25">
      <c r="B184" s="336" t="s">
        <v>273</v>
      </c>
      <c r="C184" s="337"/>
      <c r="D184" s="168"/>
      <c r="E184" s="168"/>
      <c r="F184" s="168"/>
      <c r="G184" s="168"/>
      <c r="H184" s="136"/>
      <c r="I184" s="168"/>
      <c r="J184" s="168"/>
      <c r="K184" s="168"/>
      <c r="L184" s="168"/>
      <c r="M184" s="335"/>
      <c r="N184" s="158"/>
      <c r="O184" s="158"/>
      <c r="P184" s="158"/>
      <c r="Q184" s="168"/>
      <c r="R184" s="136"/>
      <c r="S184" s="168"/>
      <c r="T184" s="168"/>
      <c r="U184" s="168"/>
      <c r="V184" s="168"/>
      <c r="W184" s="136"/>
      <c r="X184" s="168"/>
      <c r="Y184" s="168"/>
      <c r="Z184" s="168"/>
      <c r="AA184" s="168"/>
      <c r="AB184" s="136"/>
      <c r="AC184" s="168"/>
      <c r="AD184" s="168"/>
      <c r="AE184" s="168"/>
      <c r="AF184" s="168"/>
      <c r="AG184" s="136"/>
      <c r="AH184" s="168"/>
      <c r="AI184" s="168"/>
      <c r="AJ184" s="168"/>
      <c r="AK184" s="168"/>
      <c r="AL184" s="136"/>
      <c r="AM184" s="168"/>
      <c r="AN184" s="168"/>
      <c r="AO184" s="168"/>
      <c r="AP184" s="168"/>
      <c r="AQ184" s="136"/>
    </row>
    <row r="185" spans="1:43" s="195" customFormat="1" ht="15.6" customHeight="1" outlineLevel="1" x14ac:dyDescent="0.25">
      <c r="B185" s="338" t="s">
        <v>92</v>
      </c>
      <c r="C185" s="339"/>
      <c r="D185" s="340">
        <f>ROUND((D13-(D54+D57+D58+D148+D165+D174+D177)),0)</f>
        <v>0</v>
      </c>
      <c r="E185" s="340">
        <f>ROUND((E13-(E54+E57+E58+E148+E165+E174+E177)),0)</f>
        <v>0</v>
      </c>
      <c r="F185" s="340">
        <f>ROUND((F13-(F54+F57+F58+F148+F165+F174+F177)),0)</f>
        <v>0</v>
      </c>
      <c r="G185" s="340">
        <f>ROUND((G13-(G54+G57+G58+G148+G165+G174+G177)),0)</f>
        <v>0</v>
      </c>
      <c r="H185" s="136"/>
      <c r="I185" s="340">
        <f>ROUND((I13-(I54+I57+I58+I148+I165+I174+I177)),0)</f>
        <v>0</v>
      </c>
      <c r="J185" s="340">
        <f>ROUND((J13-(J54+J57+J58+J148+J165+J174+J177)),0)</f>
        <v>0</v>
      </c>
      <c r="K185" s="340">
        <f>ROUND((K13-(K54+K57+K58+K148+K165+K174+K177)),0)</f>
        <v>0</v>
      </c>
      <c r="L185" s="340">
        <f>ROUND((L13-(L54+L57+L58+L148+L165+L174+L177)),0)</f>
        <v>0</v>
      </c>
      <c r="M185" s="341"/>
      <c r="N185" s="340">
        <f>ROUND((N13-(N54+N57+N58+N148+N165+N174+N177)),0)</f>
        <v>0</v>
      </c>
      <c r="O185" s="340">
        <f>ROUND((O13-(O54+O57+O58+O148+O165+O174+O177)),0)</f>
        <v>0</v>
      </c>
      <c r="P185" s="340">
        <f>ROUND((P13-(P54+P57+P58+P148+P165+P174+P177)),0)</f>
        <v>0</v>
      </c>
      <c r="Q185" s="340">
        <f>ROUND((Q13-(Q54+Q57+Q58+Q148+Q165+Q174+Q177)),0)</f>
        <v>0</v>
      </c>
      <c r="R185" s="341"/>
      <c r="S185" s="340">
        <f>ROUND((S13-(S54+S57+S58+S148+S165+S174+S177)),0)</f>
        <v>0</v>
      </c>
      <c r="T185" s="340">
        <f>ROUND((T13-(T54+T57+T58+T148+T165+T174+T177)),0)</f>
        <v>1</v>
      </c>
      <c r="U185" s="340">
        <f>ROUND((U13-(U54+U57+U58+U148+U165+U174+U177)),0)</f>
        <v>0</v>
      </c>
      <c r="V185" s="340">
        <f>ROUND((V13-(V54+V57+V58+V148+V165+V174+V177)),0)</f>
        <v>0</v>
      </c>
      <c r="W185" s="341"/>
      <c r="X185" s="340">
        <f>ROUND((X13-(X54+X57+X58+X148+X165+X174+X177)),0)</f>
        <v>0</v>
      </c>
      <c r="Y185" s="340">
        <f>ROUND((Y13-(Y54+Y57+Y58+Y148+Y165+Y174+Y177)),0)</f>
        <v>0</v>
      </c>
      <c r="Z185" s="340">
        <f>ROUND((Z13-(Z54+Z57+Z58+Z148+Z165+Z174+Z177)),0)</f>
        <v>0</v>
      </c>
      <c r="AA185" s="340">
        <f>ROUND((AA13-(AA54+AA57+AA58+AA148+AA165+AA174+AA177)),0)</f>
        <v>0</v>
      </c>
      <c r="AB185" s="341"/>
      <c r="AC185" s="340">
        <f>ROUND((AC13-(AC54+AC57+AC58+AC148+AC165+AC174+AC177)),0)</f>
        <v>0</v>
      </c>
      <c r="AD185" s="340">
        <f>ROUND((AD13-(AD54+AD57+AD58+AD148+AD165+AD174+AD177)),0)</f>
        <v>0</v>
      </c>
      <c r="AE185" s="340">
        <f>ROUND((AE13-(AE54+AE57+AE58+AE148+AE165+AE174+AE177)),0)</f>
        <v>0</v>
      </c>
      <c r="AF185" s="340">
        <f>ROUND((AF13-(AF54+AF57+AF58+AF148+AF165+AF174+AF177)),0)</f>
        <v>0</v>
      </c>
      <c r="AG185" s="341"/>
      <c r="AH185" s="340">
        <f>ROUND((AH13-(AH54+AH57+AH58+AH148+AH165+AH174+AH177)),0)</f>
        <v>0</v>
      </c>
      <c r="AI185" s="340">
        <f>ROUND((AI13-(AI54+AI57+AI58+AI148+AI165+AI174+AI177)),0)</f>
        <v>0</v>
      </c>
      <c r="AJ185" s="340">
        <f>ROUND((AJ13-(AJ54+AJ57+AJ58+AJ148+AJ165+AJ174+AJ177)),0)</f>
        <v>0</v>
      </c>
      <c r="AK185" s="340">
        <f>ROUND((AK13-(AK54+AK57+AK58+AK148+AK165+AK174+AK177)),0)</f>
        <v>0</v>
      </c>
      <c r="AL185" s="341"/>
      <c r="AM185" s="340">
        <f>ROUND((AM13-(AM54+AM57+AM58+AM148+AM165+AM174+AM177)),0)</f>
        <v>0</v>
      </c>
      <c r="AN185" s="340">
        <f>ROUND((AN13-(AN54+AN57+AN58+AN148+AN165+AN174+AN177)),0)</f>
        <v>0</v>
      </c>
      <c r="AO185" s="340">
        <f>ROUND((AO13-(AO54+AO57+AO58+AO148+AO165+AO174+AO177)),0)</f>
        <v>0</v>
      </c>
      <c r="AP185" s="340">
        <f>ROUND((AP13-(AP54+AP57+AP58+AP148+AP165+AP174+AP177)),0)</f>
        <v>0</v>
      </c>
      <c r="AQ185" s="341"/>
    </row>
    <row r="186" spans="1:43" s="195" customFormat="1" ht="15.6" customHeight="1" outlineLevel="1" x14ac:dyDescent="0.25">
      <c r="B186" s="338" t="s">
        <v>274</v>
      </c>
      <c r="C186" s="339"/>
      <c r="D186" s="340">
        <f>D18-(D69+D151+D168+D182)</f>
        <v>0</v>
      </c>
      <c r="E186" s="340">
        <f>E18-(E69+E151+E168+E182)</f>
        <v>0</v>
      </c>
      <c r="F186" s="340">
        <f>F18-(F69+F151+F168+F182)</f>
        <v>0</v>
      </c>
      <c r="G186" s="340">
        <f>G18-(G69+G151+G168+G182)</f>
        <v>0</v>
      </c>
      <c r="H186" s="136"/>
      <c r="I186" s="340">
        <f>I18-(I69+I151+I168+I182)</f>
        <v>0</v>
      </c>
      <c r="J186" s="340">
        <f>J18-(J69+J151+J168+J182)</f>
        <v>0</v>
      </c>
      <c r="K186" s="340">
        <f>K18-(K69+K151+K168+K182)</f>
        <v>0</v>
      </c>
      <c r="L186" s="340">
        <f>L18-(L69+L151+L168+L182)</f>
        <v>0</v>
      </c>
      <c r="M186" s="341"/>
      <c r="N186" s="340">
        <f>N18-(N69+N151+N168+N182)</f>
        <v>0</v>
      </c>
      <c r="O186" s="340">
        <f>O18-(O69+O151+O168+O182)</f>
        <v>0</v>
      </c>
      <c r="P186" s="340">
        <f>P18-(P69+P151+P168+P182)</f>
        <v>0</v>
      </c>
      <c r="Q186" s="340">
        <f>Q18-(Q69+Q151+Q168+Q182)</f>
        <v>0</v>
      </c>
      <c r="R186" s="341"/>
      <c r="S186" s="340">
        <f>S18-(S69+S151+S168+S182)</f>
        <v>0</v>
      </c>
      <c r="T186" s="340">
        <f>T18-(T69+T151+T168+T182)</f>
        <v>0</v>
      </c>
      <c r="U186" s="340">
        <f>U18-(U69+U151+U168+U182)</f>
        <v>0</v>
      </c>
      <c r="V186" s="340">
        <f>V18-(V69+V151+V168+V182)</f>
        <v>0</v>
      </c>
      <c r="W186" s="341"/>
      <c r="X186" s="340">
        <f>X18-(X69+X151+X168+X182)</f>
        <v>0</v>
      </c>
      <c r="Y186" s="340">
        <f>Y18-(Y69+Y151+Y168+Y182)</f>
        <v>0</v>
      </c>
      <c r="Z186" s="340">
        <f>Z18-(Z69+Z151+Z168+Z182)</f>
        <v>0</v>
      </c>
      <c r="AA186" s="340">
        <f>AA18-(AA69+AA151+AA168+AA182)</f>
        <v>0</v>
      </c>
      <c r="AB186" s="341"/>
      <c r="AC186" s="340">
        <f>AC18-(AC69+AC151+AC168+AC182)</f>
        <v>0</v>
      </c>
      <c r="AD186" s="340">
        <f>AD18-(AD69+AD151+AD168+AD182)</f>
        <v>0</v>
      </c>
      <c r="AE186" s="340">
        <f>AE18-(AE69+AE151+AE168+AE182)</f>
        <v>0</v>
      </c>
      <c r="AF186" s="340">
        <f>AF18-(AF69+AF151+AF168+AF182)</f>
        <v>0</v>
      </c>
      <c r="AG186" s="341"/>
      <c r="AH186" s="340">
        <f>AH18-(AH69+AH151+AH168+AH182)</f>
        <v>0</v>
      </c>
      <c r="AI186" s="340">
        <f>AI18-(AI69+AI151+AI168+AI182)</f>
        <v>0</v>
      </c>
      <c r="AJ186" s="340">
        <f>AJ18-(AJ69+AJ151+AJ168+AJ182)</f>
        <v>0</v>
      </c>
      <c r="AK186" s="340">
        <f>AK18-(AK69+AK151+AK168+AK182)</f>
        <v>0</v>
      </c>
      <c r="AL186" s="341"/>
      <c r="AM186" s="340">
        <f>AM18-(AM69+AM151+AM168+AM182)</f>
        <v>0</v>
      </c>
      <c r="AN186" s="340">
        <f>AN18-(AN69+AN151+AN168+AN182)</f>
        <v>0</v>
      </c>
      <c r="AO186" s="340">
        <f>AO18-(AO69+AO151+AO168+AO182)</f>
        <v>0</v>
      </c>
      <c r="AP186" s="340">
        <f>AP18-(AP69+AP151+AP168+AP182)</f>
        <v>0</v>
      </c>
      <c r="AQ186" s="341"/>
    </row>
    <row r="187" spans="1:43" s="195" customFormat="1" ht="15.6" customHeight="1" outlineLevel="1" x14ac:dyDescent="0.25">
      <c r="B187" s="338" t="s">
        <v>275</v>
      </c>
      <c r="C187" s="339"/>
      <c r="D187" s="340">
        <f>D19-(D68+D150+D167+D181)</f>
        <v>0</v>
      </c>
      <c r="E187" s="340">
        <f>E19-(E68+E150+E167+E181)</f>
        <v>0</v>
      </c>
      <c r="F187" s="340">
        <f>F19-(F68+F150+F167+F181)</f>
        <v>0</v>
      </c>
      <c r="G187" s="340">
        <f>G19-(G68+G150+G167+G181)</f>
        <v>0</v>
      </c>
      <c r="H187" s="136"/>
      <c r="I187" s="340">
        <f>I19-(I68+I150+I167+I181)</f>
        <v>0</v>
      </c>
      <c r="J187" s="340">
        <f>J19-(J68+J150+J167+J181)</f>
        <v>0</v>
      </c>
      <c r="K187" s="340">
        <f>K19-(K68+K150+K167+K181)</f>
        <v>0</v>
      </c>
      <c r="L187" s="340">
        <f>L19-(L68+L150+L167+L181)</f>
        <v>0</v>
      </c>
      <c r="M187" s="341"/>
      <c r="N187" s="340">
        <f>N19-(N68+N150+N167+N181)</f>
        <v>0</v>
      </c>
      <c r="O187" s="340">
        <f>O19-(O68+O150+O167+O181)</f>
        <v>0</v>
      </c>
      <c r="P187" s="340">
        <f>P19-(P68+P150+P167+P181)</f>
        <v>0</v>
      </c>
      <c r="Q187" s="340">
        <f>Q19-(Q68+Q150+Q167+Q181)</f>
        <v>0</v>
      </c>
      <c r="R187" s="341"/>
      <c r="S187" s="340">
        <f>S19-(S68+S150+S167+S181)</f>
        <v>0</v>
      </c>
      <c r="T187" s="340">
        <f>T19-(T68+T150+T167+T181)</f>
        <v>0</v>
      </c>
      <c r="U187" s="340">
        <f>U19-(U68+U150+U167+U181)</f>
        <v>0</v>
      </c>
      <c r="V187" s="340">
        <f>V19-(V68+V150+V167+V181)</f>
        <v>0</v>
      </c>
      <c r="W187" s="341"/>
      <c r="X187" s="340">
        <f>X19-(X68+X150+X167+X181)</f>
        <v>0</v>
      </c>
      <c r="Y187" s="340">
        <f>Y19-(Y68+Y150+Y167+Y181)</f>
        <v>0</v>
      </c>
      <c r="Z187" s="340">
        <f>Z19-(Z68+Z150+Z167+Z181)</f>
        <v>0</v>
      </c>
      <c r="AA187" s="340">
        <f>AA19-(AA68+AA150+AA167+AA181)</f>
        <v>0</v>
      </c>
      <c r="AB187" s="341"/>
      <c r="AC187" s="340">
        <f>AC19-(AC68+AC150+AC167+AC181)</f>
        <v>0</v>
      </c>
      <c r="AD187" s="340">
        <f>AD19-(AD68+AD150+AD167+AD181)</f>
        <v>0</v>
      </c>
      <c r="AE187" s="340">
        <f>AE19-(AE68+AE150+AE167+AE181)</f>
        <v>0</v>
      </c>
      <c r="AF187" s="340">
        <f>AF19-(AF68+AF150+AF167+AF181)</f>
        <v>0</v>
      </c>
      <c r="AG187" s="341"/>
      <c r="AH187" s="340">
        <f>AH19-(AH68+AH150+AH167+AH181)</f>
        <v>0</v>
      </c>
      <c r="AI187" s="340">
        <f>AI19-(AI68+AI150+AI167+AI181)</f>
        <v>0</v>
      </c>
      <c r="AJ187" s="340">
        <f>AJ19-(AJ68+AJ150+AJ167+AJ181)</f>
        <v>0</v>
      </c>
      <c r="AK187" s="340">
        <f>AK19-(AK68+AK150+AK167+AK181)</f>
        <v>0</v>
      </c>
      <c r="AL187" s="341"/>
      <c r="AM187" s="340">
        <f>AM19-(AM68+AM150+AM167+AM181)</f>
        <v>0</v>
      </c>
      <c r="AN187" s="340">
        <f>AN19-(AN68+AN150+AN167+AN181)</f>
        <v>0</v>
      </c>
      <c r="AO187" s="340">
        <f>AO19-(AO68+AO150+AO167+AO181)</f>
        <v>0</v>
      </c>
      <c r="AP187" s="340">
        <f>AP19-(AP68+AP150+AP167+AP181)</f>
        <v>0</v>
      </c>
      <c r="AQ187" s="341"/>
    </row>
    <row r="188" spans="1:43" s="195" customFormat="1" ht="15.6" customHeight="1" outlineLevel="1" x14ac:dyDescent="0.25">
      <c r="B188" s="338" t="s">
        <v>299</v>
      </c>
      <c r="C188" s="339"/>
      <c r="D188" s="340">
        <f>(D15+D16+D17+D20+D21+D23)-(D70+D152+D169)-(D179+D183)+D211</f>
        <v>0</v>
      </c>
      <c r="E188" s="340">
        <f>(E15+E16+E17+E20+E21+E23)-(E70+E152+E169)-(E179+E183)+E211</f>
        <v>0</v>
      </c>
      <c r="F188" s="340">
        <f>(F15+F16+F17+F20+F21+F23)-(F70+F152+F169)-(F179+F183)+F211</f>
        <v>0</v>
      </c>
      <c r="G188" s="340">
        <f>(G15+G16+G17+G20+G21+G23)-(G70+G152+G169)-(G179+G183)+G211</f>
        <v>0</v>
      </c>
      <c r="H188" s="136"/>
      <c r="I188" s="340">
        <f>(I15+I16+I17+I20+I21+I23)-(I70+I152+I169)-(I179+I183)+I211</f>
        <v>0</v>
      </c>
      <c r="J188" s="340">
        <f>(J15+J16+J17+J20+J21+J23)-(J70+J152+J169)-(J179+J183)+J211</f>
        <v>0</v>
      </c>
      <c r="K188" s="340">
        <f>(K15+K16+K17+K20+K21+K23)-(K70+K152+K169)-(K179+K183)+K211</f>
        <v>0</v>
      </c>
      <c r="L188" s="340">
        <f>(L15+L16+L17+L20+L21+L23)-(L70+L152+L169)-(L179+L183)+L211</f>
        <v>0</v>
      </c>
      <c r="M188" s="341"/>
      <c r="N188" s="340">
        <f>(N15+N16+N17+N20+N21+N23)-(N70+N152+N169)-(N179+N183)+N211</f>
        <v>0</v>
      </c>
      <c r="O188" s="340">
        <f>(O15+O16+O17+O20+O21+O23)-(O70+O152+O169)-(O179+O183)+O211</f>
        <v>0</v>
      </c>
      <c r="P188" s="340">
        <f>(P15+P16+P17+P20+P21+P23)-(P70+P152+P169)-(P179+P183)+P211</f>
        <v>0</v>
      </c>
      <c r="Q188" s="340">
        <f>(Q15+Q16+Q17+Q20+Q21+Q23)-(Q70+Q152+Q169)-(Q179+Q183)+Q211</f>
        <v>0</v>
      </c>
      <c r="R188" s="341"/>
      <c r="S188" s="340">
        <f>(S15+S16+S17+S20+S21+S23)-(S70+S152+S169)-(S179+S183)</f>
        <v>0</v>
      </c>
      <c r="T188" s="340">
        <f>(T15+T16+T17+T20+T21+T23)-(T70+T152+T169)-(T179+T183)</f>
        <v>0</v>
      </c>
      <c r="U188" s="340">
        <f>(U15+U16+U17+U20+U21+U23)-(U70+U152+U169)-(U179+U183)</f>
        <v>0</v>
      </c>
      <c r="V188" s="340">
        <f>(V15+V16+V17+V20+V21+V23)-(V70+V152+V169)-(V179+V183)</f>
        <v>0</v>
      </c>
      <c r="W188" s="341"/>
      <c r="X188" s="340">
        <f>(X15+X16+X17+X20+X21+X23)-(X70+X152+X169)-(X179+X183)</f>
        <v>0</v>
      </c>
      <c r="Y188" s="340">
        <f>(Y15+Y16+Y17+Y20+Y21+Y23)-(Y70+Y152+Y169)-(Y179+Y183)</f>
        <v>0</v>
      </c>
      <c r="Z188" s="340">
        <f>(Z15+Z16+Z17+Z20+Z21+Z23)-(Z70+Z152+Z169)-(Z179+Z183)</f>
        <v>2.5011104298755527E-12</v>
      </c>
      <c r="AA188" s="340">
        <f>(AA15+AA16+AA17+AA20+AA21+AA23)-(AA70+AA152+AA169)-(AA179+AA183)</f>
        <v>0</v>
      </c>
      <c r="AB188" s="341"/>
      <c r="AC188" s="340">
        <f>(AC15+AC16+AC17+AC20+AC21+AC23)-(AC70+AC152+AC169)-(AC179+AC183)</f>
        <v>0</v>
      </c>
      <c r="AD188" s="340">
        <f>(AD15+AD16+AD17+AD20+AD21+AD23)-(AD70+AD152+AD169)-(AD179+AD183)</f>
        <v>2.2737367544323206E-12</v>
      </c>
      <c r="AE188" s="340">
        <f>(AE15+AE16+AE17+AE20+AE21+AE23)-(AE70+AE152+AE169)-(AE179+AE183)</f>
        <v>-2.7284841053187847E-12</v>
      </c>
      <c r="AF188" s="340">
        <f>(AF15+AF16+AF17+AF20+AF21+AF23)-(AF70+AF152+AF169)-(AF179+AF183)</f>
        <v>0</v>
      </c>
      <c r="AG188" s="341"/>
      <c r="AH188" s="340">
        <f>(AH15+AH16+AH17+AH20+AH21+AH23)-(AH70+AH152+AH169)-(AH179+AH183)</f>
        <v>0</v>
      </c>
      <c r="AI188" s="340">
        <f>(AI15+AI16+AI17+AI20+AI21+AI23)-(AI70+AI152+AI169)-(AI179+AI183)</f>
        <v>-3.1832314562052488E-12</v>
      </c>
      <c r="AJ188" s="340">
        <f>(AJ15+AJ16+AJ17+AJ20+AJ21+AJ23)-(AJ70+AJ152+AJ169)-(AJ179+AJ183)</f>
        <v>-3.1832314562052488E-12</v>
      </c>
      <c r="AK188" s="340">
        <f>(AK15+AK16+AK17+AK20+AK21+AK23)-(AK70+AK152+AK169)-(AK179+AK183)</f>
        <v>2.7284841053187847E-12</v>
      </c>
      <c r="AL188" s="341"/>
      <c r="AM188" s="340">
        <f>(AM15+AM16+AM17+AM20+AM21+AM23)-(AM70+AM152+AM169)-(AM179+AM183)</f>
        <v>2.5011104298755527E-12</v>
      </c>
      <c r="AN188" s="340">
        <f>(AN15+AN16+AN17+AN20+AN21+AN23)-(AN70+AN152+AN169)-(AN179+AN183)</f>
        <v>2.5011104298755527E-12</v>
      </c>
      <c r="AO188" s="340">
        <f>(AO15+AO16+AO17+AO20+AO21+AO23)-(AO70+AO152+AO169)-(AO179+AO183)</f>
        <v>0</v>
      </c>
      <c r="AP188" s="340">
        <f>(AP15+AP16+AP17+AP20+AP21+AP23)-(AP70+AP152+AP169)-(AP179+AP183)</f>
        <v>-1.8189894035458565E-12</v>
      </c>
      <c r="AQ188" s="341"/>
    </row>
    <row r="189" spans="1:43" s="195" customFormat="1" ht="15.6" customHeight="1" outlineLevel="1" x14ac:dyDescent="0.2">
      <c r="B189" s="338" t="s">
        <v>268</v>
      </c>
      <c r="C189" s="339"/>
      <c r="D189" s="340">
        <f>D25-D72-D154-D171-D178</f>
        <v>-0.1345584499989414</v>
      </c>
      <c r="E189" s="340">
        <f>E25-E72-E154-E171-E178</f>
        <v>-0.18854740000051606</v>
      </c>
      <c r="F189" s="340">
        <f>F25-F72-F154-F171-F178</f>
        <v>0.23544271999935518</v>
      </c>
      <c r="G189" s="340">
        <f>G25-G72-G154-G171-G178</f>
        <v>0.43531089730709027</v>
      </c>
      <c r="H189" s="341"/>
      <c r="I189" s="340">
        <f>I25-I72-I154-I171-I178</f>
        <v>3.059883599917157E-2</v>
      </c>
      <c r="J189" s="340">
        <f>J25-J72-J154-J171-J178</f>
        <v>0.44908465079379312</v>
      </c>
      <c r="K189" s="340">
        <f>K25-K72-K154-K171-K178</f>
        <v>1.0799079999969763E-2</v>
      </c>
      <c r="L189" s="340">
        <f>L25-L72-L154-L171-L178</f>
        <v>0.36157627262582537</v>
      </c>
      <c r="M189" s="341"/>
      <c r="N189" s="340">
        <f>N25-N72-N154-N171-N178</f>
        <v>0.17811454997445253</v>
      </c>
      <c r="O189" s="340">
        <f>O25-O72-O154-O171-O178</f>
        <v>0.11987689403008517</v>
      </c>
      <c r="P189" s="340">
        <f>P25-P72-P154-P171-P178</f>
        <v>-0.32737784092023503</v>
      </c>
      <c r="Q189" s="340">
        <f>Q25-Q72-Q154-Q171-Q178</f>
        <v>0.99999999999818101</v>
      </c>
      <c r="R189" s="341"/>
      <c r="S189" s="340">
        <f>S25-S72-S154-S171-S178</f>
        <v>0.26731275000042842</v>
      </c>
      <c r="T189" s="340">
        <f>T25-T72-T154-T171-T178</f>
        <v>0.78933562999964124</v>
      </c>
      <c r="U189" s="340">
        <f>U25-U72-U154-U171-U178</f>
        <v>6.7424559999153644E-2</v>
      </c>
      <c r="V189" s="340">
        <f>V25-V72-V154-V171-V178</f>
        <v>-0.31305632655519844</v>
      </c>
      <c r="W189" s="341"/>
      <c r="X189" s="340">
        <f>X25-X72-X154-X171-X178</f>
        <v>5.1134048018383282E-2</v>
      </c>
      <c r="Y189" s="340">
        <f>Y25-Y72-Y154-Y171-Y178</f>
        <v>-0.15300481588107573</v>
      </c>
      <c r="Z189" s="340">
        <f>Z25-Z72-Z154-Z171-Z178</f>
        <v>-0.41751089246270112</v>
      </c>
      <c r="AA189" s="340">
        <f>AA25-AA72-AA154-AA171-AA178</f>
        <v>-0.33667955889399082</v>
      </c>
      <c r="AB189" s="341"/>
      <c r="AC189" s="340">
        <f>AC25-AC72-AC154-AC171-AC178</f>
        <v>-0.37772807491583649</v>
      </c>
      <c r="AD189" s="340">
        <f>AD25-AD72-AD154-AD171-AD178</f>
        <v>-4.9903136372876133E-2</v>
      </c>
      <c r="AE189" s="340">
        <f>AE25-AE72-AE154-AE171-AE178</f>
        <v>0.22149537260526131</v>
      </c>
      <c r="AF189" s="340">
        <f>AF25-AF72-AF154-AF171-AF178</f>
        <v>0.17202399607353414</v>
      </c>
      <c r="AG189" s="341"/>
      <c r="AH189" s="340">
        <f>AH25-AH72-AH154-AH171-AH178</f>
        <v>-0.32274514459896864</v>
      </c>
      <c r="AI189" s="340">
        <f>AI25-AI72-AI154-AI171-AI178</f>
        <v>-0.24324643676408186</v>
      </c>
      <c r="AJ189" s="340">
        <f>AJ25-AJ72-AJ154-AJ171-AJ178</f>
        <v>0.21354980524014877</v>
      </c>
      <c r="AK189" s="340">
        <f>AK25-AK72-AK154-AK171-AK178</f>
        <v>0.39249761306754749</v>
      </c>
      <c r="AL189" s="341"/>
      <c r="AM189" s="340">
        <f>AM25-AM72-AM154-AM171-AM178</f>
        <v>2.0706139269236701E-2</v>
      </c>
      <c r="AN189" s="340">
        <f>AN25-AN72-AN154-AN171-AN178</f>
        <v>-0.22424440654523892</v>
      </c>
      <c r="AO189" s="340">
        <f>AO25-AO72-AO154-AO171-AO178</f>
        <v>0.41144254784151713</v>
      </c>
      <c r="AP189" s="340">
        <f>AP25-AP72-AP154-AP171-AP178</f>
        <v>-0.38167796572525958</v>
      </c>
      <c r="AQ189" s="341"/>
    </row>
    <row r="190" spans="1:43" s="53" customFormat="1" ht="15.6" customHeight="1" x14ac:dyDescent="0.25">
      <c r="B190" s="713" t="s">
        <v>276</v>
      </c>
      <c r="C190" s="714"/>
      <c r="D190" s="90" t="s">
        <v>71</v>
      </c>
      <c r="E190" s="90" t="s">
        <v>74</v>
      </c>
      <c r="F190" s="90" t="s">
        <v>75</v>
      </c>
      <c r="G190" s="90" t="s">
        <v>78</v>
      </c>
      <c r="H190" s="400" t="s">
        <v>79</v>
      </c>
      <c r="I190" s="90" t="s">
        <v>80</v>
      </c>
      <c r="J190" s="90" t="s">
        <v>91</v>
      </c>
      <c r="K190" s="90" t="s">
        <v>109</v>
      </c>
      <c r="L190" s="90" t="s">
        <v>113</v>
      </c>
      <c r="M190" s="400" t="s">
        <v>114</v>
      </c>
      <c r="N190" s="90" t="s">
        <v>115</v>
      </c>
      <c r="O190" s="90" t="s">
        <v>116</v>
      </c>
      <c r="P190" s="90" t="s">
        <v>117</v>
      </c>
      <c r="Q190" s="90" t="s">
        <v>118</v>
      </c>
      <c r="R190" s="400" t="s">
        <v>119</v>
      </c>
      <c r="S190" s="90" t="s">
        <v>507</v>
      </c>
      <c r="T190" s="90" t="s">
        <v>749</v>
      </c>
      <c r="U190" s="90" t="s">
        <v>769</v>
      </c>
      <c r="V190" s="92" t="s">
        <v>378</v>
      </c>
      <c r="W190" s="404" t="s">
        <v>379</v>
      </c>
      <c r="X190" s="92" t="s">
        <v>380</v>
      </c>
      <c r="Y190" s="92" t="s">
        <v>381</v>
      </c>
      <c r="Z190" s="92" t="s">
        <v>382</v>
      </c>
      <c r="AA190" s="92" t="s">
        <v>383</v>
      </c>
      <c r="AB190" s="404" t="s">
        <v>384</v>
      </c>
      <c r="AC190" s="92" t="s">
        <v>385</v>
      </c>
      <c r="AD190" s="92" t="s">
        <v>386</v>
      </c>
      <c r="AE190" s="92" t="s">
        <v>387</v>
      </c>
      <c r="AF190" s="92" t="s">
        <v>388</v>
      </c>
      <c r="AG190" s="404" t="s">
        <v>389</v>
      </c>
      <c r="AH190" s="92" t="s">
        <v>390</v>
      </c>
      <c r="AI190" s="92" t="s">
        <v>391</v>
      </c>
      <c r="AJ190" s="92" t="s">
        <v>392</v>
      </c>
      <c r="AK190" s="92" t="s">
        <v>393</v>
      </c>
      <c r="AL190" s="404" t="s">
        <v>394</v>
      </c>
      <c r="AM190" s="92" t="s">
        <v>395</v>
      </c>
      <c r="AN190" s="92" t="s">
        <v>396</v>
      </c>
      <c r="AO190" s="92" t="s">
        <v>397</v>
      </c>
      <c r="AP190" s="92" t="s">
        <v>398</v>
      </c>
      <c r="AQ190" s="404" t="s">
        <v>399</v>
      </c>
    </row>
    <row r="191" spans="1:43" s="53" customFormat="1" ht="15.6" customHeight="1" outlineLevel="1" x14ac:dyDescent="0.25">
      <c r="B191" s="200" t="s">
        <v>285</v>
      </c>
      <c r="C191" s="286"/>
      <c r="D191" s="139"/>
      <c r="E191" s="139"/>
      <c r="F191" s="139"/>
      <c r="G191" s="139"/>
      <c r="H191" s="230"/>
      <c r="I191" s="139"/>
      <c r="J191" s="139"/>
      <c r="K191" s="139"/>
      <c r="L191" s="139"/>
      <c r="M191" s="210"/>
      <c r="N191" s="139"/>
      <c r="O191" s="139"/>
      <c r="P191" s="139"/>
      <c r="Q191" s="139"/>
      <c r="R191" s="54"/>
      <c r="S191" s="139"/>
      <c r="T191" s="139"/>
      <c r="U191" s="139"/>
      <c r="V191" s="139"/>
      <c r="W191" s="54"/>
      <c r="X191" s="139"/>
      <c r="Y191" s="139"/>
      <c r="Z191" s="139"/>
      <c r="AA191" s="139"/>
      <c r="AB191" s="54"/>
      <c r="AC191" s="139"/>
      <c r="AD191" s="139"/>
      <c r="AE191" s="139"/>
      <c r="AF191" s="139"/>
      <c r="AG191" s="54"/>
      <c r="AH191" s="139"/>
      <c r="AI191" s="139"/>
      <c r="AJ191" s="139"/>
      <c r="AK191" s="139"/>
      <c r="AL191" s="54"/>
      <c r="AM191" s="139"/>
      <c r="AN191" s="139"/>
      <c r="AO191" s="139"/>
      <c r="AP191" s="139"/>
      <c r="AQ191" s="54"/>
    </row>
    <row r="192" spans="1:43" s="53" customFormat="1" ht="15.6" customHeight="1" outlineLevel="1" x14ac:dyDescent="0.25">
      <c r="B192" s="284" t="s">
        <v>286</v>
      </c>
      <c r="C192" s="286"/>
      <c r="D192" s="139"/>
      <c r="E192" s="139"/>
      <c r="F192" s="139"/>
      <c r="G192" s="139"/>
      <c r="H192" s="170">
        <v>29602</v>
      </c>
      <c r="I192" s="139"/>
      <c r="J192" s="139"/>
      <c r="K192" s="139"/>
      <c r="L192" s="139"/>
      <c r="M192" s="170">
        <v>29913</v>
      </c>
      <c r="N192" s="139"/>
      <c r="O192" s="139"/>
      <c r="P192" s="139"/>
      <c r="Q192" s="139"/>
      <c r="R192" s="170">
        <v>24820</v>
      </c>
      <c r="S192" s="139"/>
      <c r="T192" s="139"/>
      <c r="U192" s="139"/>
      <c r="V192" s="139"/>
      <c r="W192" s="170">
        <f>+R192+W205-W204</f>
        <v>26241</v>
      </c>
      <c r="X192" s="139"/>
      <c r="Y192" s="139"/>
      <c r="Z192" s="139"/>
      <c r="AA192" s="139"/>
      <c r="AB192" s="170">
        <f>+W192+AB205-AB204</f>
        <v>27541</v>
      </c>
      <c r="AC192" s="139"/>
      <c r="AD192" s="139"/>
      <c r="AE192" s="139"/>
      <c r="AF192" s="139"/>
      <c r="AG192" s="170">
        <f>+AB192+AG205-AG204</f>
        <v>28841</v>
      </c>
      <c r="AH192" s="139"/>
      <c r="AI192" s="139"/>
      <c r="AJ192" s="139"/>
      <c r="AK192" s="139"/>
      <c r="AL192" s="170">
        <f>+AG192+AL205-AL204</f>
        <v>30241</v>
      </c>
      <c r="AM192" s="139"/>
      <c r="AN192" s="139"/>
      <c r="AO192" s="139"/>
      <c r="AP192" s="139"/>
      <c r="AQ192" s="170">
        <f>+AL192+AQ205-AQ204</f>
        <v>31741</v>
      </c>
    </row>
    <row r="193" spans="1:43" s="53" customFormat="1" ht="15.6" customHeight="1" outlineLevel="1" x14ac:dyDescent="0.4">
      <c r="B193" s="284" t="s">
        <v>287</v>
      </c>
      <c r="C193" s="286"/>
      <c r="D193" s="139"/>
      <c r="E193" s="139"/>
      <c r="F193" s="139"/>
      <c r="G193" s="139"/>
      <c r="H193" s="199">
        <v>24271</v>
      </c>
      <c r="I193" s="139"/>
      <c r="J193" s="139"/>
      <c r="K193" s="139"/>
      <c r="L193" s="139"/>
      <c r="M193" s="199">
        <v>26312</v>
      </c>
      <c r="N193" s="139"/>
      <c r="O193" s="139"/>
      <c r="P193" s="139"/>
      <c r="Q193" s="139"/>
      <c r="R193" s="199">
        <v>23566</v>
      </c>
      <c r="S193" s="139"/>
      <c r="T193" s="139"/>
      <c r="U193" s="139"/>
      <c r="V193" s="139"/>
      <c r="W193" s="199">
        <f>R193*(1+W215)+W202-W204</f>
        <v>25909.469363636366</v>
      </c>
      <c r="X193" s="139"/>
      <c r="Y193" s="139"/>
      <c r="Z193" s="139"/>
      <c r="AA193" s="139"/>
      <c r="AB193" s="199">
        <f>W193*(1+AB215)+AB202-AB204</f>
        <v>27093.584872272728</v>
      </c>
      <c r="AC193" s="139"/>
      <c r="AD193" s="139"/>
      <c r="AE193" s="139"/>
      <c r="AF193" s="139"/>
      <c r="AG193" s="199">
        <f>AB193*(1+AG215)+AG202-AG204</f>
        <v>28490.135813331821</v>
      </c>
      <c r="AH193" s="139"/>
      <c r="AI193" s="139"/>
      <c r="AJ193" s="139"/>
      <c r="AK193" s="139"/>
      <c r="AL193" s="199">
        <f>AG193*(1+AL215)+AL202-AL204</f>
        <v>29984.445320265051</v>
      </c>
      <c r="AM193" s="139"/>
      <c r="AN193" s="139"/>
      <c r="AO193" s="139"/>
      <c r="AP193" s="139"/>
      <c r="AQ193" s="199">
        <f>AL193*(1+AQ215)+AQ202-AQ204</f>
        <v>31583.356492683608</v>
      </c>
    </row>
    <row r="194" spans="1:43" s="196" customFormat="1" ht="15.6" customHeight="1" outlineLevel="1" x14ac:dyDescent="0.25">
      <c r="B194" s="287" t="s">
        <v>288</v>
      </c>
      <c r="C194" s="286"/>
      <c r="D194" s="189"/>
      <c r="E194" s="189"/>
      <c r="F194" s="189"/>
      <c r="G194" s="189"/>
      <c r="H194" s="197">
        <f>+H193-H192</f>
        <v>-5331</v>
      </c>
      <c r="I194" s="189"/>
      <c r="J194" s="189"/>
      <c r="K194" s="189"/>
      <c r="L194" s="189"/>
      <c r="M194" s="197">
        <f>+M193-M192</f>
        <v>-3601</v>
      </c>
      <c r="N194" s="189"/>
      <c r="O194" s="189"/>
      <c r="P194" s="189"/>
      <c r="Q194" s="189"/>
      <c r="R194" s="197">
        <f>+R193-R192</f>
        <v>-1254</v>
      </c>
      <c r="S194" s="189"/>
      <c r="T194" s="189"/>
      <c r="U194" s="189"/>
      <c r="V194" s="189"/>
      <c r="W194" s="197">
        <f>+W193-W192</f>
        <v>-331.53063636363368</v>
      </c>
      <c r="X194" s="189"/>
      <c r="Y194" s="189"/>
      <c r="Z194" s="189"/>
      <c r="AA194" s="189"/>
      <c r="AB194" s="197">
        <f>+AB193-AB192</f>
        <v>-447.41512772727219</v>
      </c>
      <c r="AC194" s="189"/>
      <c r="AD194" s="189"/>
      <c r="AE194" s="189"/>
      <c r="AF194" s="189"/>
      <c r="AG194" s="197">
        <f>+AG193-AG192</f>
        <v>-350.86418666817917</v>
      </c>
      <c r="AH194" s="189"/>
      <c r="AI194" s="189"/>
      <c r="AJ194" s="189"/>
      <c r="AK194" s="189"/>
      <c r="AL194" s="197">
        <f>+AL193-AL192</f>
        <v>-256.55467973494888</v>
      </c>
      <c r="AM194" s="189"/>
      <c r="AN194" s="189"/>
      <c r="AO194" s="189"/>
      <c r="AP194" s="189"/>
      <c r="AQ194" s="197">
        <f>+AQ193-AQ192</f>
        <v>-157.64350731639206</v>
      </c>
    </row>
    <row r="195" spans="1:43" s="196" customFormat="1" ht="15.6" customHeight="1" outlineLevel="1" x14ac:dyDescent="0.25">
      <c r="B195" s="747" t="s">
        <v>291</v>
      </c>
      <c r="C195" s="748"/>
      <c r="D195" s="189"/>
      <c r="E195" s="189"/>
      <c r="F195" s="189"/>
      <c r="G195" s="189"/>
      <c r="H195" s="204">
        <f>+H193/H192</f>
        <v>0.8199108168367002</v>
      </c>
      <c r="I195" s="139"/>
      <c r="J195" s="139"/>
      <c r="K195" s="139"/>
      <c r="L195" s="139"/>
      <c r="M195" s="204">
        <f>+M193/M192</f>
        <v>0.87961755758365923</v>
      </c>
      <c r="N195" s="189"/>
      <c r="O195" s="189"/>
      <c r="P195" s="189"/>
      <c r="Q195" s="189"/>
      <c r="R195" s="204">
        <f>+R193/R192</f>
        <v>0.94947622884770344</v>
      </c>
      <c r="S195" s="189"/>
      <c r="T195" s="189"/>
      <c r="U195" s="189"/>
      <c r="V195" s="189"/>
      <c r="W195" s="204">
        <f>+W193/W192</f>
        <v>0.98736592979064697</v>
      </c>
      <c r="X195" s="189"/>
      <c r="Y195" s="189"/>
      <c r="Z195" s="189"/>
      <c r="AA195" s="189"/>
      <c r="AB195" s="204">
        <f>+AB193/AB192</f>
        <v>0.98375457943693867</v>
      </c>
      <c r="AC195" s="189"/>
      <c r="AD195" s="189"/>
      <c r="AE195" s="189"/>
      <c r="AF195" s="189"/>
      <c r="AG195" s="204">
        <f>+AG193/AG192</f>
        <v>0.98783453463235749</v>
      </c>
      <c r="AH195" s="189"/>
      <c r="AI195" s="189"/>
      <c r="AJ195" s="189"/>
      <c r="AK195" s="189"/>
      <c r="AL195" s="204">
        <f>+AL193/AL192</f>
        <v>0.99151632949522339</v>
      </c>
      <c r="AM195" s="189"/>
      <c r="AN195" s="189"/>
      <c r="AO195" s="189"/>
      <c r="AP195" s="189"/>
      <c r="AQ195" s="204">
        <f>+AQ193/AQ192</f>
        <v>0.99503344232014135</v>
      </c>
    </row>
    <row r="196" spans="1:43" s="196" customFormat="1" ht="15.6" customHeight="1" outlineLevel="1" x14ac:dyDescent="0.25">
      <c r="B196" s="347" t="s">
        <v>318</v>
      </c>
      <c r="C196" s="408"/>
      <c r="D196" s="348"/>
      <c r="E196" s="348"/>
      <c r="F196" s="348"/>
      <c r="G196" s="348"/>
      <c r="H196" s="349"/>
      <c r="I196" s="350"/>
      <c r="J196" s="350"/>
      <c r="K196" s="350"/>
      <c r="L196" s="350"/>
      <c r="M196" s="349"/>
      <c r="N196" s="348"/>
      <c r="O196" s="348"/>
      <c r="P196" s="348"/>
      <c r="Q196" s="348"/>
      <c r="R196" s="349"/>
      <c r="S196" s="348"/>
      <c r="T196" s="348"/>
      <c r="U196" s="348"/>
      <c r="V196" s="348"/>
      <c r="W196" s="349"/>
      <c r="X196" s="348"/>
      <c r="Y196" s="348"/>
      <c r="Z196" s="348"/>
      <c r="AA196" s="348"/>
      <c r="AB196" s="349"/>
      <c r="AC196" s="348"/>
      <c r="AD196" s="348"/>
      <c r="AE196" s="348"/>
      <c r="AF196" s="348"/>
      <c r="AG196" s="349"/>
      <c r="AH196" s="348"/>
      <c r="AI196" s="348"/>
      <c r="AJ196" s="348"/>
      <c r="AK196" s="348"/>
      <c r="AL196" s="349"/>
      <c r="AM196" s="348"/>
      <c r="AN196" s="348"/>
      <c r="AO196" s="348"/>
      <c r="AP196" s="348"/>
      <c r="AQ196" s="349"/>
    </row>
    <row r="197" spans="1:43" s="53" customFormat="1" ht="15.6" customHeight="1" outlineLevel="1" x14ac:dyDescent="0.4">
      <c r="B197" s="743" t="s">
        <v>323</v>
      </c>
      <c r="C197" s="744"/>
      <c r="D197" s="168"/>
      <c r="E197" s="168"/>
      <c r="F197" s="168"/>
      <c r="G197" s="168"/>
      <c r="H197" s="335">
        <f>-118-3</f>
        <v>-121</v>
      </c>
      <c r="I197" s="351"/>
      <c r="J197" s="351"/>
      <c r="K197" s="351"/>
      <c r="L197" s="351"/>
      <c r="M197" s="335">
        <f>-118-3+3</f>
        <v>-118</v>
      </c>
      <c r="N197" s="168"/>
      <c r="O197" s="168"/>
      <c r="P197" s="168"/>
      <c r="Q197" s="168"/>
      <c r="R197" s="352">
        <f>-118-2-6</f>
        <v>-126</v>
      </c>
      <c r="S197" s="168"/>
      <c r="T197" s="168"/>
      <c r="U197" s="168"/>
      <c r="V197" s="168"/>
      <c r="W197" s="250">
        <f>+R197</f>
        <v>-126</v>
      </c>
      <c r="X197" s="168"/>
      <c r="Y197" s="168"/>
      <c r="Z197" s="168"/>
      <c r="AA197" s="168"/>
      <c r="AB197" s="250">
        <f>+W197</f>
        <v>-126</v>
      </c>
      <c r="AC197" s="168"/>
      <c r="AD197" s="168"/>
      <c r="AE197" s="168"/>
      <c r="AF197" s="168"/>
      <c r="AG197" s="250">
        <f>+AB197</f>
        <v>-126</v>
      </c>
      <c r="AH197" s="168"/>
      <c r="AI197" s="168"/>
      <c r="AJ197" s="168"/>
      <c r="AK197" s="168"/>
      <c r="AL197" s="250">
        <f>+AG197</f>
        <v>-126</v>
      </c>
      <c r="AM197" s="168"/>
      <c r="AN197" s="168"/>
      <c r="AO197" s="168"/>
      <c r="AP197" s="168"/>
      <c r="AQ197" s="250">
        <f>+AL197</f>
        <v>-126</v>
      </c>
    </row>
    <row r="198" spans="1:43" s="196" customFormat="1" ht="15.6" customHeight="1" outlineLevel="1" x14ac:dyDescent="0.4">
      <c r="B198" s="159" t="s">
        <v>319</v>
      </c>
      <c r="C198" s="292"/>
      <c r="D198" s="169"/>
      <c r="E198" s="169"/>
      <c r="F198" s="169"/>
      <c r="G198" s="169"/>
      <c r="H198" s="353">
        <f>+(-74-2)-H197</f>
        <v>45</v>
      </c>
      <c r="I198" s="351"/>
      <c r="J198" s="351"/>
      <c r="K198" s="351"/>
      <c r="L198" s="169"/>
      <c r="M198" s="353">
        <f>+(-74-3+2)-M197</f>
        <v>43</v>
      </c>
      <c r="N198" s="354"/>
      <c r="O198" s="354"/>
      <c r="P198" s="354"/>
      <c r="Q198" s="169"/>
      <c r="R198" s="353">
        <f>+(-83-1-5)-R197</f>
        <v>37</v>
      </c>
      <c r="S198" s="169"/>
      <c r="T198" s="169"/>
      <c r="U198" s="169"/>
      <c r="V198" s="169"/>
      <c r="W198" s="250">
        <f>+R198</f>
        <v>37</v>
      </c>
      <c r="X198" s="169"/>
      <c r="Y198" s="169"/>
      <c r="Z198" s="169"/>
      <c r="AA198" s="169"/>
      <c r="AB198" s="250">
        <f>+W198</f>
        <v>37</v>
      </c>
      <c r="AC198" s="169"/>
      <c r="AD198" s="169"/>
      <c r="AE198" s="169"/>
      <c r="AF198" s="169"/>
      <c r="AG198" s="250">
        <f>+AB198</f>
        <v>37</v>
      </c>
      <c r="AH198" s="169"/>
      <c r="AI198" s="169"/>
      <c r="AJ198" s="169"/>
      <c r="AK198" s="169"/>
      <c r="AL198" s="250">
        <f>+AG198</f>
        <v>37</v>
      </c>
      <c r="AM198" s="169"/>
      <c r="AN198" s="169"/>
      <c r="AO198" s="169"/>
      <c r="AP198" s="169"/>
      <c r="AQ198" s="250">
        <f>+AL198</f>
        <v>37</v>
      </c>
    </row>
    <row r="199" spans="1:43" s="196" customFormat="1" ht="15.6" customHeight="1" outlineLevel="1" x14ac:dyDescent="0.25">
      <c r="B199" s="145" t="s">
        <v>312</v>
      </c>
      <c r="C199" s="292"/>
      <c r="D199" s="168">
        <v>-31</v>
      </c>
      <c r="E199" s="168">
        <v>-29</v>
      </c>
      <c r="F199" s="168">
        <v>-29</v>
      </c>
      <c r="G199" s="168">
        <f>+H199-F199-E199-D199</f>
        <v>13</v>
      </c>
      <c r="H199" s="335">
        <f>SUM(H197:H198)</f>
        <v>-76</v>
      </c>
      <c r="I199" s="168">
        <f>-30+1</f>
        <v>-29</v>
      </c>
      <c r="J199" s="168">
        <f>-30+1</f>
        <v>-29</v>
      </c>
      <c r="K199" s="168">
        <f>-30-2</f>
        <v>-32</v>
      </c>
      <c r="L199" s="168">
        <f>+M199-K199-J199-I199</f>
        <v>15</v>
      </c>
      <c r="M199" s="335">
        <f>SUM(M197:M198)</f>
        <v>-75</v>
      </c>
      <c r="N199" s="168">
        <v>-30</v>
      </c>
      <c r="O199" s="168">
        <f>-29-1</f>
        <v>-30</v>
      </c>
      <c r="P199" s="168">
        <f>-29+1</f>
        <v>-28</v>
      </c>
      <c r="Q199" s="168">
        <f>+R199-P199-O199-N199</f>
        <v>-1</v>
      </c>
      <c r="R199" s="352">
        <f>SUM(R197:R198)</f>
        <v>-89</v>
      </c>
      <c r="S199" s="168">
        <f>+S293-R293</f>
        <v>-23</v>
      </c>
      <c r="T199" s="168">
        <v>-23</v>
      </c>
      <c r="U199" s="168">
        <v>-23</v>
      </c>
      <c r="V199" s="140">
        <f>+R199/4</f>
        <v>-22.25</v>
      </c>
      <c r="W199" s="335">
        <f>SUM(S199:V199)</f>
        <v>-91.25</v>
      </c>
      <c r="X199" s="140">
        <f>+W199/4</f>
        <v>-22.8125</v>
      </c>
      <c r="Y199" s="140">
        <f>+W199/4</f>
        <v>-22.8125</v>
      </c>
      <c r="Z199" s="140">
        <f>+W199/4</f>
        <v>-22.8125</v>
      </c>
      <c r="AA199" s="140">
        <f>+W199/4</f>
        <v>-22.8125</v>
      </c>
      <c r="AB199" s="335">
        <f>SUM(X199:AA199)</f>
        <v>-91.25</v>
      </c>
      <c r="AC199" s="140">
        <f>+AB199/4</f>
        <v>-22.8125</v>
      </c>
      <c r="AD199" s="140">
        <f>+AB199/4</f>
        <v>-22.8125</v>
      </c>
      <c r="AE199" s="140">
        <f>+AB199/4</f>
        <v>-22.8125</v>
      </c>
      <c r="AF199" s="140">
        <f>+AB199/4</f>
        <v>-22.8125</v>
      </c>
      <c r="AG199" s="335">
        <f>SUM(AC199:AF199)</f>
        <v>-91.25</v>
      </c>
      <c r="AH199" s="140">
        <f>+AG199/4</f>
        <v>-22.8125</v>
      </c>
      <c r="AI199" s="140">
        <f>+AG199/4</f>
        <v>-22.8125</v>
      </c>
      <c r="AJ199" s="140">
        <f>+AG199/4</f>
        <v>-22.8125</v>
      </c>
      <c r="AK199" s="140">
        <f>+AG199/4</f>
        <v>-22.8125</v>
      </c>
      <c r="AL199" s="335">
        <f>SUM(AH199:AK199)</f>
        <v>-91.25</v>
      </c>
      <c r="AM199" s="140">
        <f>+AL199/4</f>
        <v>-22.8125</v>
      </c>
      <c r="AN199" s="140">
        <f>+AL199/4</f>
        <v>-22.8125</v>
      </c>
      <c r="AO199" s="140">
        <f>+AL199/4</f>
        <v>-22.8125</v>
      </c>
      <c r="AP199" s="140">
        <f>+AL199/4</f>
        <v>-22.8125</v>
      </c>
      <c r="AQ199" s="335">
        <f>SUM(AM199:AP199)</f>
        <v>-91.25</v>
      </c>
    </row>
    <row r="200" spans="1:43" s="196" customFormat="1" ht="15.6" customHeight="1" outlineLevel="1" x14ac:dyDescent="0.4">
      <c r="B200" s="159" t="s">
        <v>321</v>
      </c>
      <c r="C200" s="292"/>
      <c r="D200" s="169"/>
      <c r="E200" s="169"/>
      <c r="F200" s="169"/>
      <c r="G200" s="169"/>
      <c r="H200" s="335">
        <f>+(H194+H197+H198)+H279</f>
        <v>820</v>
      </c>
      <c r="I200" s="351"/>
      <c r="J200" s="351"/>
      <c r="K200" s="351"/>
      <c r="L200" s="351"/>
      <c r="M200" s="335">
        <f>+(M194+M197+M198)+M279</f>
        <v>811</v>
      </c>
      <c r="N200" s="169"/>
      <c r="O200" s="169"/>
      <c r="P200" s="169"/>
      <c r="Q200" s="169"/>
      <c r="R200" s="335">
        <f>+(R194+R197+R198)+R279</f>
        <v>844</v>
      </c>
      <c r="S200" s="169"/>
      <c r="T200" s="169"/>
      <c r="U200" s="169"/>
      <c r="V200" s="169"/>
      <c r="W200" s="250">
        <f>+R200</f>
        <v>844</v>
      </c>
      <c r="X200" s="169"/>
      <c r="Y200" s="169"/>
      <c r="Z200" s="169"/>
      <c r="AA200" s="169"/>
      <c r="AB200" s="250">
        <f>+W200</f>
        <v>844</v>
      </c>
      <c r="AC200" s="169"/>
      <c r="AD200" s="169"/>
      <c r="AE200" s="169"/>
      <c r="AF200" s="169"/>
      <c r="AG200" s="250">
        <f>+AB200</f>
        <v>844</v>
      </c>
      <c r="AH200" s="169"/>
      <c r="AI200" s="169"/>
      <c r="AJ200" s="169"/>
      <c r="AK200" s="169"/>
      <c r="AL200" s="250">
        <f>+AG200</f>
        <v>844</v>
      </c>
      <c r="AM200" s="169"/>
      <c r="AN200" s="169"/>
      <c r="AO200" s="169"/>
      <c r="AP200" s="169"/>
      <c r="AQ200" s="250">
        <f>+AL200</f>
        <v>844</v>
      </c>
    </row>
    <row r="201" spans="1:43" s="196" customFormat="1" ht="15.6" customHeight="1" outlineLevel="1" x14ac:dyDescent="0.4">
      <c r="B201" s="355" t="s">
        <v>320</v>
      </c>
      <c r="C201" s="292"/>
      <c r="D201" s="169"/>
      <c r="E201" s="169"/>
      <c r="F201" s="169"/>
      <c r="G201" s="169"/>
      <c r="H201" s="356">
        <f>+(H194+H197+H198-H200)+H279</f>
        <v>0</v>
      </c>
      <c r="I201" s="351"/>
      <c r="J201" s="351"/>
      <c r="K201" s="351"/>
      <c r="L201" s="351"/>
      <c r="M201" s="356">
        <f>+(M194+M197+M198-M200)+M279</f>
        <v>0</v>
      </c>
      <c r="N201" s="169"/>
      <c r="O201" s="169"/>
      <c r="P201" s="169"/>
      <c r="Q201" s="169"/>
      <c r="R201" s="357">
        <f>+(R194+R197+R198-R200)+R279</f>
        <v>0</v>
      </c>
      <c r="S201" s="169"/>
      <c r="T201" s="169"/>
      <c r="U201" s="169"/>
      <c r="V201" s="169"/>
      <c r="W201" s="357">
        <f>+(W194+W197+W198-W200)+W279</f>
        <v>0</v>
      </c>
      <c r="X201" s="169"/>
      <c r="Y201" s="169"/>
      <c r="Z201" s="169"/>
      <c r="AA201" s="169"/>
      <c r="AB201" s="357">
        <f>+(AB194+AB197+AB198-AB200)+AB279</f>
        <v>0</v>
      </c>
      <c r="AC201" s="169"/>
      <c r="AD201" s="169"/>
      <c r="AE201" s="169"/>
      <c r="AF201" s="169"/>
      <c r="AG201" s="357">
        <f>+(AG194+AG197+AG198-AG200)+AG279</f>
        <v>0</v>
      </c>
      <c r="AH201" s="169"/>
      <c r="AI201" s="169"/>
      <c r="AJ201" s="169"/>
      <c r="AK201" s="169"/>
      <c r="AL201" s="357">
        <f>+(AL194+AL197+AL198-AL200)+AL279</f>
        <v>0</v>
      </c>
      <c r="AM201" s="169"/>
      <c r="AN201" s="169"/>
      <c r="AO201" s="169"/>
      <c r="AP201" s="169"/>
      <c r="AQ201" s="357">
        <f>+(AQ194+AQ197+AQ198-AQ200)+AQ279</f>
        <v>0</v>
      </c>
    </row>
    <row r="202" spans="1:43" s="53" customFormat="1" ht="15.6" customHeight="1" outlineLevel="1" x14ac:dyDescent="0.25">
      <c r="B202" s="251" t="s">
        <v>289</v>
      </c>
      <c r="C202" s="409"/>
      <c r="D202" s="202">
        <v>165</v>
      </c>
      <c r="E202" s="202">
        <f>330-D202</f>
        <v>165</v>
      </c>
      <c r="F202" s="202">
        <f>330-E202-D202</f>
        <v>0</v>
      </c>
      <c r="G202" s="202">
        <f>+H202-F202-E202-D202</f>
        <v>396</v>
      </c>
      <c r="H202" s="203">
        <v>726</v>
      </c>
      <c r="I202" s="202">
        <v>250</v>
      </c>
      <c r="J202" s="202">
        <v>250</v>
      </c>
      <c r="K202" s="202">
        <f>1750-J202-I202</f>
        <v>1250</v>
      </c>
      <c r="L202" s="202">
        <f>+M202-K202-J202-I202</f>
        <v>365</v>
      </c>
      <c r="M202" s="203">
        <v>2115</v>
      </c>
      <c r="N202" s="202">
        <v>250</v>
      </c>
      <c r="O202" s="202">
        <f>750-N202</f>
        <v>500</v>
      </c>
      <c r="P202" s="202">
        <f>2500-O202-N202</f>
        <v>1750</v>
      </c>
      <c r="Q202" s="202">
        <f>+R202-P202-O202-N202</f>
        <v>173</v>
      </c>
      <c r="R202" s="203">
        <f>2547+84+42</f>
        <v>2673</v>
      </c>
      <c r="S202" s="202">
        <v>250</v>
      </c>
      <c r="T202" s="202">
        <v>250</v>
      </c>
      <c r="U202" s="202">
        <v>500</v>
      </c>
      <c r="V202" s="253">
        <v>250</v>
      </c>
      <c r="W202" s="203">
        <f>SUM(S202:V202)</f>
        <v>1250</v>
      </c>
      <c r="X202" s="253">
        <v>100</v>
      </c>
      <c r="Y202" s="253">
        <v>100</v>
      </c>
      <c r="Z202" s="253">
        <v>100</v>
      </c>
      <c r="AA202" s="253">
        <v>100</v>
      </c>
      <c r="AB202" s="203">
        <f>SUM(X202:AA202)</f>
        <v>400</v>
      </c>
      <c r="AC202" s="253">
        <v>100</v>
      </c>
      <c r="AD202" s="253">
        <v>100</v>
      </c>
      <c r="AE202" s="253">
        <v>100</v>
      </c>
      <c r="AF202" s="253">
        <v>100</v>
      </c>
      <c r="AG202" s="203">
        <f>SUM(AC202:AF202)</f>
        <v>400</v>
      </c>
      <c r="AH202" s="253">
        <v>100</v>
      </c>
      <c r="AI202" s="253">
        <v>100</v>
      </c>
      <c r="AJ202" s="253">
        <v>100</v>
      </c>
      <c r="AK202" s="253">
        <v>100</v>
      </c>
      <c r="AL202" s="203">
        <f>SUM(AH202:AK202)</f>
        <v>400</v>
      </c>
      <c r="AM202" s="253">
        <v>100</v>
      </c>
      <c r="AN202" s="253">
        <v>100</v>
      </c>
      <c r="AO202" s="253">
        <v>100</v>
      </c>
      <c r="AP202" s="253">
        <v>100</v>
      </c>
      <c r="AQ202" s="203">
        <f>SUM(AM202:AP202)</f>
        <v>400</v>
      </c>
    </row>
    <row r="203" spans="1:43" s="53" customFormat="1" ht="15.6" customHeight="1" outlineLevel="1" x14ac:dyDescent="0.25">
      <c r="B203" s="123" t="s">
        <v>338</v>
      </c>
      <c r="C203" s="410"/>
      <c r="D203" s="139"/>
      <c r="E203" s="139"/>
      <c r="F203" s="139"/>
      <c r="G203" s="139"/>
      <c r="H203" s="170"/>
      <c r="I203" s="139"/>
      <c r="J203" s="139"/>
      <c r="K203" s="139"/>
      <c r="L203" s="139"/>
      <c r="M203" s="170"/>
      <c r="N203" s="139"/>
      <c r="O203" s="139"/>
      <c r="P203" s="139"/>
      <c r="Q203" s="139">
        <f>-6178-5</f>
        <v>-6183</v>
      </c>
      <c r="R203" s="170">
        <f>+Q203</f>
        <v>-6183</v>
      </c>
      <c r="S203" s="139"/>
      <c r="T203" s="139"/>
      <c r="U203" s="139"/>
      <c r="V203" s="139"/>
      <c r="W203" s="170"/>
      <c r="X203" s="140"/>
      <c r="Y203" s="140"/>
      <c r="Z203" s="140"/>
      <c r="AA203" s="140"/>
      <c r="AB203" s="170"/>
      <c r="AC203" s="140"/>
      <c r="AD203" s="140"/>
      <c r="AE203" s="140"/>
      <c r="AF203" s="140"/>
      <c r="AG203" s="170"/>
      <c r="AH203" s="140"/>
      <c r="AI203" s="140"/>
      <c r="AJ203" s="140"/>
      <c r="AK203" s="140"/>
      <c r="AL203" s="170"/>
      <c r="AM203" s="140"/>
      <c r="AN203" s="140"/>
      <c r="AO203" s="140"/>
      <c r="AP203" s="140"/>
      <c r="AQ203" s="170"/>
    </row>
    <row r="204" spans="1:43" s="53" customFormat="1" ht="15.6" customHeight="1" outlineLevel="1" x14ac:dyDescent="0.25">
      <c r="B204" s="123" t="s">
        <v>290</v>
      </c>
      <c r="C204" s="410"/>
      <c r="D204" s="139"/>
      <c r="E204" s="139"/>
      <c r="F204" s="139"/>
      <c r="G204" s="139"/>
      <c r="H204" s="170">
        <v>912</v>
      </c>
      <c r="I204" s="139"/>
      <c r="J204" s="139"/>
      <c r="K204" s="139"/>
      <c r="L204" s="139"/>
      <c r="M204" s="170">
        <v>2310</v>
      </c>
      <c r="N204" s="139"/>
      <c r="O204" s="139"/>
      <c r="P204" s="139"/>
      <c r="Q204" s="139"/>
      <c r="R204" s="170">
        <f>854+46</f>
        <v>900</v>
      </c>
      <c r="S204" s="139"/>
      <c r="T204" s="139"/>
      <c r="U204" s="139"/>
      <c r="V204" s="139"/>
      <c r="W204" s="217">
        <f>+R204</f>
        <v>900</v>
      </c>
      <c r="X204" s="139"/>
      <c r="Y204" s="139"/>
      <c r="Z204" s="139"/>
      <c r="AA204" s="139"/>
      <c r="AB204" s="217">
        <f>+W204</f>
        <v>900</v>
      </c>
      <c r="AC204" s="139"/>
      <c r="AD204" s="139"/>
      <c r="AE204" s="139"/>
      <c r="AF204" s="139"/>
      <c r="AG204" s="217">
        <f>+AB204</f>
        <v>900</v>
      </c>
      <c r="AH204" s="139"/>
      <c r="AI204" s="139"/>
      <c r="AJ204" s="139"/>
      <c r="AK204" s="139"/>
      <c r="AL204" s="217">
        <f>+AG204</f>
        <v>900</v>
      </c>
      <c r="AM204" s="139"/>
      <c r="AN204" s="139"/>
      <c r="AO204" s="139"/>
      <c r="AP204" s="139"/>
      <c r="AQ204" s="217">
        <f>+AL204</f>
        <v>900</v>
      </c>
    </row>
    <row r="205" spans="1:43" s="53" customFormat="1" ht="15.6" customHeight="1" outlineLevel="1" x14ac:dyDescent="0.25">
      <c r="B205" s="358" t="s">
        <v>322</v>
      </c>
      <c r="C205" s="411"/>
      <c r="D205" s="215">
        <f>166+10+11+295</f>
        <v>482</v>
      </c>
      <c r="E205" s="215">
        <f>165+295+10+10</f>
        <v>480</v>
      </c>
      <c r="F205" s="215">
        <f>165+295+10+10</f>
        <v>480</v>
      </c>
      <c r="G205" s="215">
        <f>+H205-F205-E205-D205</f>
        <v>1614</v>
      </c>
      <c r="H205" s="176">
        <f>622+1155+284+40+25-7+907-24+40+42-64+36</f>
        <v>3056</v>
      </c>
      <c r="I205" s="215">
        <f>160+20+9+282+11+10</f>
        <v>492</v>
      </c>
      <c r="J205" s="215">
        <f>160+20+9+282+11+10</f>
        <v>492</v>
      </c>
      <c r="K205" s="215">
        <f>160+20+9+282+11+10</f>
        <v>492</v>
      </c>
      <c r="L205" s="215">
        <f>+M205-K205-J205-I205</f>
        <v>1166</v>
      </c>
      <c r="M205" s="176">
        <f>638+1128+571+83+43+161+26-30+36+39-14-72+33</f>
        <v>2642</v>
      </c>
      <c r="N205" s="215">
        <f>170+23+9+279+12+10</f>
        <v>503</v>
      </c>
      <c r="O205" s="215">
        <f>170+23+9+278+13+9</f>
        <v>502</v>
      </c>
      <c r="P205" s="215">
        <f>169+23+9+279+12+10</f>
        <v>502</v>
      </c>
      <c r="Q205" s="215">
        <f>+R205-P205-O205-N205</f>
        <v>591</v>
      </c>
      <c r="R205" s="176">
        <f>679+97+36+1115+49+39+21-34-9+63+42</f>
        <v>2098</v>
      </c>
      <c r="S205" s="215">
        <f>238+13+10+172+24+9</f>
        <v>466</v>
      </c>
      <c r="T205" s="215">
        <f>172+25+8+238+12+10-30</f>
        <v>435</v>
      </c>
      <c r="U205" s="215">
        <f>173+23+9+517+72+26</f>
        <v>820</v>
      </c>
      <c r="V205" s="329">
        <v>600</v>
      </c>
      <c r="W205" s="176">
        <f>SUM(S205:V205)</f>
        <v>2321</v>
      </c>
      <c r="X205" s="329">
        <v>550</v>
      </c>
      <c r="Y205" s="329">
        <v>550</v>
      </c>
      <c r="Z205" s="329">
        <v>550</v>
      </c>
      <c r="AA205" s="329">
        <v>550</v>
      </c>
      <c r="AB205" s="176">
        <f>SUM(X205:AA205)</f>
        <v>2200</v>
      </c>
      <c r="AC205" s="329">
        <v>550</v>
      </c>
      <c r="AD205" s="329">
        <v>550</v>
      </c>
      <c r="AE205" s="329">
        <v>550</v>
      </c>
      <c r="AF205" s="329">
        <v>550</v>
      </c>
      <c r="AG205" s="176">
        <f>SUM(AC205:AF205)</f>
        <v>2200</v>
      </c>
      <c r="AH205" s="329">
        <v>575</v>
      </c>
      <c r="AI205" s="329">
        <v>575</v>
      </c>
      <c r="AJ205" s="329">
        <v>575</v>
      </c>
      <c r="AK205" s="329">
        <v>575</v>
      </c>
      <c r="AL205" s="176">
        <f>SUM(AH205:AK205)</f>
        <v>2300</v>
      </c>
      <c r="AM205" s="329">
        <v>600</v>
      </c>
      <c r="AN205" s="329">
        <v>600</v>
      </c>
      <c r="AO205" s="329">
        <v>600</v>
      </c>
      <c r="AP205" s="329">
        <v>600</v>
      </c>
      <c r="AQ205" s="176">
        <f>SUM(AM205:AP205)</f>
        <v>2400</v>
      </c>
    </row>
    <row r="206" spans="1:43" s="53" customFormat="1" ht="15.6" customHeight="1" outlineLevel="1" x14ac:dyDescent="0.25">
      <c r="A206" s="229"/>
      <c r="B206" s="359" t="s">
        <v>277</v>
      </c>
      <c r="C206" s="292"/>
      <c r="D206" s="168"/>
      <c r="E206" s="168"/>
      <c r="F206" s="168"/>
      <c r="G206" s="168"/>
      <c r="H206" s="335"/>
      <c r="I206" s="168"/>
      <c r="J206" s="168"/>
      <c r="K206" s="168"/>
      <c r="L206" s="168"/>
      <c r="M206" s="335"/>
      <c r="N206" s="168"/>
      <c r="O206" s="168"/>
      <c r="P206" s="168"/>
      <c r="Q206" s="168"/>
      <c r="R206" s="136"/>
      <c r="S206" s="158"/>
      <c r="T206" s="168"/>
      <c r="U206" s="168"/>
      <c r="V206" s="168"/>
      <c r="W206" s="136"/>
      <c r="X206" s="168"/>
      <c r="Y206" s="168"/>
      <c r="Z206" s="168"/>
      <c r="AA206" s="168"/>
      <c r="AB206" s="136"/>
      <c r="AC206" s="168"/>
      <c r="AD206" s="168"/>
      <c r="AE206" s="168"/>
      <c r="AF206" s="168"/>
      <c r="AG206" s="136"/>
      <c r="AH206" s="168"/>
      <c r="AI206" s="168"/>
      <c r="AJ206" s="168"/>
      <c r="AK206" s="168"/>
      <c r="AL206" s="136"/>
      <c r="AM206" s="168"/>
      <c r="AN206" s="168"/>
      <c r="AO206" s="168"/>
      <c r="AP206" s="168"/>
      <c r="AQ206" s="136"/>
    </row>
    <row r="207" spans="1:43" s="53" customFormat="1" ht="15.6" customHeight="1" outlineLevel="1" x14ac:dyDescent="0.25">
      <c r="A207" s="229"/>
      <c r="B207" s="127" t="s">
        <v>278</v>
      </c>
      <c r="C207" s="292"/>
      <c r="D207" s="168"/>
      <c r="E207" s="168"/>
      <c r="F207" s="168"/>
      <c r="G207" s="168">
        <v>1285</v>
      </c>
      <c r="H207" s="335">
        <f>+SUM(D207:G207)</f>
        <v>1285</v>
      </c>
      <c r="I207" s="168"/>
      <c r="J207" s="168"/>
      <c r="K207" s="168"/>
      <c r="L207" s="168">
        <v>-740</v>
      </c>
      <c r="M207" s="335">
        <f>+SUM(I207:L207)</f>
        <v>-740</v>
      </c>
      <c r="N207" s="168"/>
      <c r="O207" s="168"/>
      <c r="P207" s="168"/>
      <c r="Q207" s="168">
        <v>11</v>
      </c>
      <c r="R207" s="335">
        <f>+SUM(N207:Q207)</f>
        <v>11</v>
      </c>
      <c r="S207" s="168"/>
      <c r="T207" s="168"/>
      <c r="U207" s="168"/>
      <c r="V207" s="140">
        <f>-W218*10000*W214</f>
        <v>-375.99999999999966</v>
      </c>
      <c r="W207" s="335">
        <f>SUM(S207:V207)</f>
        <v>-375.99999999999966</v>
      </c>
      <c r="X207" s="168"/>
      <c r="Y207" s="168"/>
      <c r="Z207" s="168"/>
      <c r="AA207" s="140">
        <f>-AB218*10000*AB214</f>
        <v>55.00000000000005</v>
      </c>
      <c r="AB207" s="335">
        <f>SUM(X207:AA207)</f>
        <v>55.00000000000005</v>
      </c>
      <c r="AC207" s="168"/>
      <c r="AD207" s="168"/>
      <c r="AE207" s="168"/>
      <c r="AF207" s="140">
        <f>-AG218*10000*AG214</f>
        <v>-55.00000000000005</v>
      </c>
      <c r="AG207" s="335">
        <f>SUM(AC207:AF207)</f>
        <v>-55.00000000000005</v>
      </c>
      <c r="AH207" s="168"/>
      <c r="AI207" s="168"/>
      <c r="AJ207" s="168"/>
      <c r="AK207" s="140">
        <f>-AL218*10000*AL214</f>
        <v>-55.00000000000005</v>
      </c>
      <c r="AL207" s="335">
        <f>SUM(AH207:AK207)</f>
        <v>-55.00000000000005</v>
      </c>
      <c r="AM207" s="168"/>
      <c r="AN207" s="168"/>
      <c r="AO207" s="168"/>
      <c r="AP207" s="140">
        <f>-AQ218*10000*AQ214</f>
        <v>-55.00000000000005</v>
      </c>
      <c r="AQ207" s="335">
        <f>SUM(AM207:AP207)</f>
        <v>-55.00000000000005</v>
      </c>
    </row>
    <row r="208" spans="1:43" s="53" customFormat="1" ht="15.6" customHeight="1" outlineLevel="1" x14ac:dyDescent="0.25">
      <c r="A208" s="229"/>
      <c r="B208" s="127" t="s">
        <v>337</v>
      </c>
      <c r="C208" s="292"/>
      <c r="D208" s="168"/>
      <c r="E208" s="168"/>
      <c r="F208" s="168"/>
      <c r="G208" s="168"/>
      <c r="H208" s="335"/>
      <c r="I208" s="168"/>
      <c r="J208" s="168"/>
      <c r="K208" s="168"/>
      <c r="L208" s="168">
        <v>0</v>
      </c>
      <c r="M208" s="335">
        <v>0</v>
      </c>
      <c r="N208" s="168"/>
      <c r="O208" s="168"/>
      <c r="P208" s="168"/>
      <c r="Q208" s="168">
        <v>210</v>
      </c>
      <c r="R208" s="335">
        <f>+Q208</f>
        <v>210</v>
      </c>
      <c r="S208" s="168"/>
      <c r="T208" s="168"/>
      <c r="U208" s="168"/>
      <c r="V208" s="140"/>
      <c r="W208" s="335"/>
      <c r="X208" s="168"/>
      <c r="Y208" s="168"/>
      <c r="Z208" s="168"/>
      <c r="AA208" s="140"/>
      <c r="AB208" s="335"/>
      <c r="AC208" s="168"/>
      <c r="AD208" s="168"/>
      <c r="AE208" s="168"/>
      <c r="AF208" s="140"/>
      <c r="AG208" s="335"/>
      <c r="AH208" s="168"/>
      <c r="AI208" s="168"/>
      <c r="AJ208" s="168"/>
      <c r="AK208" s="140"/>
      <c r="AL208" s="335"/>
      <c r="AM208" s="168"/>
      <c r="AN208" s="168"/>
      <c r="AO208" s="168"/>
      <c r="AP208" s="140"/>
      <c r="AQ208" s="335"/>
    </row>
    <row r="209" spans="1:43" s="53" customFormat="1" ht="15.6" customHeight="1" outlineLevel="1" x14ac:dyDescent="0.25">
      <c r="A209" s="229"/>
      <c r="B209" s="360" t="s">
        <v>279</v>
      </c>
      <c r="C209" s="292"/>
      <c r="D209" s="168">
        <v>0</v>
      </c>
      <c r="E209" s="168">
        <v>0</v>
      </c>
      <c r="F209" s="168">
        <v>0</v>
      </c>
      <c r="G209" s="168">
        <v>1129</v>
      </c>
      <c r="H209" s="335">
        <f>+SUM(D209:G209)</f>
        <v>1129</v>
      </c>
      <c r="I209" s="168">
        <v>0</v>
      </c>
      <c r="J209" s="168">
        <v>0</v>
      </c>
      <c r="K209" s="168">
        <v>0</v>
      </c>
      <c r="L209" s="168">
        <v>266</v>
      </c>
      <c r="M209" s="335">
        <f>+SUM(I209:L209)</f>
        <v>266</v>
      </c>
      <c r="N209" s="168">
        <v>0</v>
      </c>
      <c r="O209" s="168">
        <v>0</v>
      </c>
      <c r="P209" s="168">
        <v>0</v>
      </c>
      <c r="Q209" s="168">
        <v>-613</v>
      </c>
      <c r="R209" s="335">
        <f>+SUM(N209:Q209)</f>
        <v>-613</v>
      </c>
      <c r="S209" s="168">
        <v>0</v>
      </c>
      <c r="T209" s="168">
        <v>0</v>
      </c>
      <c r="U209" s="168">
        <v>0</v>
      </c>
      <c r="V209" s="140">
        <f>-W219*10000*W217</f>
        <v>371.99999999999994</v>
      </c>
      <c r="W209" s="217">
        <f>+SUM(S209:V209)</f>
        <v>371.99999999999994</v>
      </c>
      <c r="X209" s="168">
        <v>0</v>
      </c>
      <c r="Y209" s="168">
        <v>0</v>
      </c>
      <c r="Z209" s="168">
        <v>0</v>
      </c>
      <c r="AA209" s="140">
        <f>-AB219*10000*AB217</f>
        <v>-155</v>
      </c>
      <c r="AB209" s="217">
        <f>+SUM(X209:AA209)</f>
        <v>-155</v>
      </c>
      <c r="AC209" s="168">
        <v>0</v>
      </c>
      <c r="AD209" s="168">
        <v>0</v>
      </c>
      <c r="AE209" s="168">
        <v>0</v>
      </c>
      <c r="AF209" s="140">
        <f>-AG219*10000*AG217</f>
        <v>0</v>
      </c>
      <c r="AG209" s="217">
        <f>+SUM(AC209:AF209)</f>
        <v>0</v>
      </c>
      <c r="AH209" s="168">
        <v>0</v>
      </c>
      <c r="AI209" s="168">
        <v>0</v>
      </c>
      <c r="AJ209" s="168">
        <v>0</v>
      </c>
      <c r="AK209" s="140">
        <f>-AL219*10000*AL217</f>
        <v>0</v>
      </c>
      <c r="AL209" s="217">
        <f>+SUM(AH209:AK209)</f>
        <v>0</v>
      </c>
      <c r="AM209" s="168">
        <v>0</v>
      </c>
      <c r="AN209" s="168">
        <v>0</v>
      </c>
      <c r="AO209" s="168">
        <v>0</v>
      </c>
      <c r="AP209" s="140">
        <f>-AQ219*10000*AQ217</f>
        <v>0</v>
      </c>
      <c r="AQ209" s="217">
        <f>+SUM(AM209:AP209)</f>
        <v>0</v>
      </c>
    </row>
    <row r="210" spans="1:43" s="53" customFormat="1" ht="15.6" customHeight="1" outlineLevel="1" x14ac:dyDescent="0.4">
      <c r="A210" s="229"/>
      <c r="B210" s="360" t="s">
        <v>280</v>
      </c>
      <c r="C210" s="292"/>
      <c r="D210" s="351">
        <v>0</v>
      </c>
      <c r="E210" s="351">
        <v>0</v>
      </c>
      <c r="F210" s="351">
        <v>0</v>
      </c>
      <c r="G210" s="351">
        <v>-916</v>
      </c>
      <c r="H210" s="353">
        <f>+SUM(D210:G210)</f>
        <v>-916</v>
      </c>
      <c r="I210" s="351">
        <v>0</v>
      </c>
      <c r="J210" s="351">
        <v>0</v>
      </c>
      <c r="K210" s="351">
        <v>0</v>
      </c>
      <c r="L210" s="351">
        <v>450</v>
      </c>
      <c r="M210" s="353">
        <f>+SUM(I210:L210)</f>
        <v>450</v>
      </c>
      <c r="N210" s="351">
        <v>0</v>
      </c>
      <c r="O210" s="351">
        <v>0</v>
      </c>
      <c r="P210" s="351">
        <v>0</v>
      </c>
      <c r="Q210" s="351">
        <v>382</v>
      </c>
      <c r="R210" s="353">
        <f>+SUM(N210:Q210)</f>
        <v>382</v>
      </c>
      <c r="S210" s="351">
        <v>0</v>
      </c>
      <c r="T210" s="351">
        <v>0</v>
      </c>
      <c r="U210" s="351">
        <v>0</v>
      </c>
      <c r="V210" s="218">
        <v>0</v>
      </c>
      <c r="W210" s="219">
        <f>+SUM(S210:V210)</f>
        <v>0</v>
      </c>
      <c r="X210" s="351">
        <v>0</v>
      </c>
      <c r="Y210" s="351">
        <v>0</v>
      </c>
      <c r="Z210" s="351">
        <v>0</v>
      </c>
      <c r="AA210" s="218">
        <f>+V210</f>
        <v>0</v>
      </c>
      <c r="AB210" s="219">
        <f>+SUM(X210:AA210)</f>
        <v>0</v>
      </c>
      <c r="AC210" s="351">
        <v>0</v>
      </c>
      <c r="AD210" s="351">
        <v>0</v>
      </c>
      <c r="AE210" s="351">
        <v>0</v>
      </c>
      <c r="AF210" s="218">
        <v>0</v>
      </c>
      <c r="AG210" s="219">
        <f>+SUM(AC210:AF210)</f>
        <v>0</v>
      </c>
      <c r="AH210" s="351">
        <v>0</v>
      </c>
      <c r="AI210" s="351">
        <v>0</v>
      </c>
      <c r="AJ210" s="351">
        <v>0</v>
      </c>
      <c r="AK210" s="218">
        <v>0</v>
      </c>
      <c r="AL210" s="219">
        <f>+SUM(AH210:AK210)</f>
        <v>0</v>
      </c>
      <c r="AM210" s="351">
        <v>0</v>
      </c>
      <c r="AN210" s="351">
        <v>0</v>
      </c>
      <c r="AO210" s="351">
        <v>0</v>
      </c>
      <c r="AP210" s="218">
        <v>0</v>
      </c>
      <c r="AQ210" s="219">
        <f>+SUM(AM210:AP210)</f>
        <v>0</v>
      </c>
    </row>
    <row r="211" spans="1:43" s="196" customFormat="1" ht="15.6" customHeight="1" outlineLevel="1" x14ac:dyDescent="0.25">
      <c r="A211" s="694"/>
      <c r="B211" s="164" t="s">
        <v>281</v>
      </c>
      <c r="C211" s="292"/>
      <c r="D211" s="361">
        <f t="shared" ref="D211:AQ211" si="109">SUM(D207:D210)</f>
        <v>0</v>
      </c>
      <c r="E211" s="361">
        <f t="shared" si="109"/>
        <v>0</v>
      </c>
      <c r="F211" s="361">
        <f t="shared" si="109"/>
        <v>0</v>
      </c>
      <c r="G211" s="361">
        <f t="shared" si="109"/>
        <v>1498</v>
      </c>
      <c r="H211" s="362">
        <f t="shared" si="109"/>
        <v>1498</v>
      </c>
      <c r="I211" s="361">
        <f t="shared" si="109"/>
        <v>0</v>
      </c>
      <c r="J211" s="361">
        <f t="shared" si="109"/>
        <v>0</v>
      </c>
      <c r="K211" s="361">
        <f t="shared" si="109"/>
        <v>0</v>
      </c>
      <c r="L211" s="361">
        <f t="shared" si="109"/>
        <v>-24</v>
      </c>
      <c r="M211" s="362">
        <f t="shared" si="109"/>
        <v>-24</v>
      </c>
      <c r="N211" s="361">
        <f t="shared" si="109"/>
        <v>0</v>
      </c>
      <c r="O211" s="361">
        <f t="shared" si="109"/>
        <v>0</v>
      </c>
      <c r="P211" s="361">
        <f t="shared" si="109"/>
        <v>0</v>
      </c>
      <c r="Q211" s="361">
        <f t="shared" si="109"/>
        <v>-10</v>
      </c>
      <c r="R211" s="362">
        <f t="shared" si="109"/>
        <v>-10</v>
      </c>
      <c r="S211" s="361">
        <f t="shared" si="109"/>
        <v>0</v>
      </c>
      <c r="T211" s="361">
        <f t="shared" si="109"/>
        <v>0</v>
      </c>
      <c r="U211" s="361">
        <f t="shared" si="109"/>
        <v>0</v>
      </c>
      <c r="V211" s="361">
        <f t="shared" si="109"/>
        <v>-3.9999999999997158</v>
      </c>
      <c r="W211" s="362">
        <f t="shared" si="109"/>
        <v>-3.9999999999997158</v>
      </c>
      <c r="X211" s="361">
        <f t="shared" si="109"/>
        <v>0</v>
      </c>
      <c r="Y211" s="361">
        <f t="shared" si="109"/>
        <v>0</v>
      </c>
      <c r="Z211" s="361">
        <f t="shared" si="109"/>
        <v>0</v>
      </c>
      <c r="AA211" s="361">
        <f t="shared" si="109"/>
        <v>-99.999999999999943</v>
      </c>
      <c r="AB211" s="362">
        <f t="shared" si="109"/>
        <v>-99.999999999999943</v>
      </c>
      <c r="AC211" s="361">
        <f t="shared" si="109"/>
        <v>0</v>
      </c>
      <c r="AD211" s="361">
        <f t="shared" si="109"/>
        <v>0</v>
      </c>
      <c r="AE211" s="361">
        <f t="shared" si="109"/>
        <v>0</v>
      </c>
      <c r="AF211" s="361">
        <f t="shared" si="109"/>
        <v>-55.00000000000005</v>
      </c>
      <c r="AG211" s="362">
        <f t="shared" si="109"/>
        <v>-55.00000000000005</v>
      </c>
      <c r="AH211" s="361">
        <f t="shared" si="109"/>
        <v>0</v>
      </c>
      <c r="AI211" s="361">
        <f t="shared" si="109"/>
        <v>0</v>
      </c>
      <c r="AJ211" s="361">
        <f t="shared" si="109"/>
        <v>0</v>
      </c>
      <c r="AK211" s="361">
        <f t="shared" si="109"/>
        <v>-55.00000000000005</v>
      </c>
      <c r="AL211" s="362">
        <f t="shared" si="109"/>
        <v>-55.00000000000005</v>
      </c>
      <c r="AM211" s="361">
        <f t="shared" si="109"/>
        <v>0</v>
      </c>
      <c r="AN211" s="361">
        <f t="shared" si="109"/>
        <v>0</v>
      </c>
      <c r="AO211" s="361">
        <f t="shared" si="109"/>
        <v>0</v>
      </c>
      <c r="AP211" s="361">
        <f t="shared" si="109"/>
        <v>-55.00000000000005</v>
      </c>
      <c r="AQ211" s="362">
        <f t="shared" si="109"/>
        <v>-55.00000000000005</v>
      </c>
    </row>
    <row r="212" spans="1:43" s="196" customFormat="1" ht="15.6" customHeight="1" outlineLevel="1" x14ac:dyDescent="0.25">
      <c r="A212" s="694"/>
      <c r="B212" s="343" t="s">
        <v>282</v>
      </c>
      <c r="C212" s="412"/>
      <c r="D212" s="344"/>
      <c r="E212" s="344"/>
      <c r="F212" s="344"/>
      <c r="G212" s="344"/>
      <c r="H212" s="345"/>
      <c r="I212" s="344"/>
      <c r="J212" s="344"/>
      <c r="K212" s="344"/>
      <c r="L212" s="344"/>
      <c r="M212" s="345"/>
      <c r="N212" s="344"/>
      <c r="O212" s="344"/>
      <c r="P212" s="344"/>
      <c r="Q212" s="342"/>
      <c r="R212" s="346"/>
      <c r="S212" s="342"/>
      <c r="T212" s="342"/>
      <c r="U212" s="342"/>
      <c r="V212" s="342"/>
      <c r="W212" s="346"/>
      <c r="X212" s="342"/>
      <c r="Y212" s="342"/>
      <c r="Z212" s="342"/>
      <c r="AA212" s="342"/>
      <c r="AB212" s="346"/>
      <c r="AC212" s="342"/>
      <c r="AD212" s="342"/>
      <c r="AE212" s="342"/>
      <c r="AF212" s="342"/>
      <c r="AG212" s="346"/>
      <c r="AH212" s="342"/>
      <c r="AI212" s="342"/>
      <c r="AJ212" s="342"/>
      <c r="AK212" s="342"/>
      <c r="AL212" s="346"/>
      <c r="AM212" s="342"/>
      <c r="AN212" s="342"/>
      <c r="AO212" s="342"/>
      <c r="AP212" s="342"/>
      <c r="AQ212" s="346"/>
    </row>
    <row r="213" spans="1:43" s="196" customFormat="1" ht="15.6" customHeight="1" outlineLevel="1" x14ac:dyDescent="0.25">
      <c r="A213" s="694"/>
      <c r="B213" s="284" t="s">
        <v>283</v>
      </c>
      <c r="C213" s="286"/>
      <c r="D213" s="205"/>
      <c r="E213" s="205"/>
      <c r="F213" s="205"/>
      <c r="G213" s="207"/>
      <c r="H213" s="206">
        <v>6.5000000000000002E-2</v>
      </c>
      <c r="I213" s="207"/>
      <c r="J213" s="207"/>
      <c r="K213" s="207"/>
      <c r="L213" s="207"/>
      <c r="M213" s="206">
        <v>6.5000000000000002E-2</v>
      </c>
      <c r="N213" s="109"/>
      <c r="O213" s="109"/>
      <c r="P213" s="109"/>
      <c r="Q213" s="189"/>
      <c r="R213" s="259">
        <v>6.5000000000000002E-2</v>
      </c>
      <c r="S213" s="189"/>
      <c r="T213" s="189"/>
      <c r="U213" s="189"/>
      <c r="V213" s="189"/>
      <c r="W213" s="259">
        <v>6.7500000000000004E-2</v>
      </c>
      <c r="X213" s="189"/>
      <c r="Y213" s="189"/>
      <c r="Z213" s="189"/>
      <c r="AA213" s="189"/>
      <c r="AB213" s="220">
        <f>W213</f>
        <v>6.7500000000000004E-2</v>
      </c>
      <c r="AC213" s="189"/>
      <c r="AD213" s="189"/>
      <c r="AE213" s="189"/>
      <c r="AF213" s="189"/>
      <c r="AG213" s="220">
        <f>AB213</f>
        <v>6.7500000000000004E-2</v>
      </c>
      <c r="AH213" s="189"/>
      <c r="AI213" s="189"/>
      <c r="AJ213" s="189"/>
      <c r="AK213" s="189"/>
      <c r="AL213" s="220">
        <f>AG213</f>
        <v>6.7500000000000004E-2</v>
      </c>
      <c r="AM213" s="189"/>
      <c r="AN213" s="189"/>
      <c r="AO213" s="189"/>
      <c r="AP213" s="189"/>
      <c r="AQ213" s="220">
        <f>AL213</f>
        <v>6.7500000000000004E-2</v>
      </c>
    </row>
    <row r="214" spans="1:43" s="196" customFormat="1" ht="15.6" customHeight="1" outlineLevel="1" x14ac:dyDescent="0.25">
      <c r="A214" s="229"/>
      <c r="B214" s="123" t="s">
        <v>292</v>
      </c>
      <c r="C214" s="286"/>
      <c r="D214" s="224"/>
      <c r="E214" s="224"/>
      <c r="F214" s="224"/>
      <c r="G214" s="225"/>
      <c r="H214" s="213">
        <v>2.2999999999999998</v>
      </c>
      <c r="I214" s="225"/>
      <c r="J214" s="225"/>
      <c r="K214" s="225"/>
      <c r="L214" s="225"/>
      <c r="M214" s="213">
        <v>2.5</v>
      </c>
      <c r="N214" s="223"/>
      <c r="O214" s="223"/>
      <c r="P214" s="223"/>
      <c r="Q214" s="226"/>
      <c r="R214" s="260">
        <v>2.2000000000000002</v>
      </c>
      <c r="S214" s="189"/>
      <c r="T214" s="189"/>
      <c r="U214" s="189"/>
      <c r="V214" s="189"/>
      <c r="W214" s="415">
        <v>2.2000000000000002</v>
      </c>
      <c r="X214" s="189"/>
      <c r="Y214" s="189"/>
      <c r="Z214" s="189"/>
      <c r="AA214" s="189"/>
      <c r="AB214" s="227">
        <f>W214</f>
        <v>2.2000000000000002</v>
      </c>
      <c r="AC214" s="189"/>
      <c r="AD214" s="189"/>
      <c r="AE214" s="189"/>
      <c r="AF214" s="189"/>
      <c r="AG214" s="227">
        <f>AB214</f>
        <v>2.2000000000000002</v>
      </c>
      <c r="AH214" s="189"/>
      <c r="AI214" s="189"/>
      <c r="AJ214" s="189"/>
      <c r="AK214" s="189"/>
      <c r="AL214" s="227">
        <f>AG214</f>
        <v>2.2000000000000002</v>
      </c>
      <c r="AM214" s="189"/>
      <c r="AN214" s="189"/>
      <c r="AO214" s="189"/>
      <c r="AP214" s="189"/>
      <c r="AQ214" s="227">
        <f>AL214</f>
        <v>2.2000000000000002</v>
      </c>
    </row>
    <row r="215" spans="1:43" s="196" customFormat="1" ht="15.6" customHeight="1" outlineLevel="1" x14ac:dyDescent="0.25">
      <c r="A215" s="694"/>
      <c r="B215" s="284" t="s">
        <v>284</v>
      </c>
      <c r="C215" s="286"/>
      <c r="D215" s="109"/>
      <c r="E215" s="109"/>
      <c r="F215" s="109"/>
      <c r="G215" s="109"/>
      <c r="H215" s="206">
        <v>1.2E-2</v>
      </c>
      <c r="I215" s="205"/>
      <c r="J215" s="100"/>
      <c r="K215" s="100"/>
      <c r="L215" s="100"/>
      <c r="M215" s="206">
        <v>9.6000000000000002E-2</v>
      </c>
      <c r="N215" s="205"/>
      <c r="O215" s="109"/>
      <c r="P215" s="109"/>
      <c r="Q215" s="189"/>
      <c r="R215" s="259">
        <v>6.3E-2</v>
      </c>
      <c r="S215" s="189"/>
      <c r="T215" s="189"/>
      <c r="U215" s="189"/>
      <c r="V215" s="189"/>
      <c r="W215" s="220">
        <v>8.4590909090909078E-2</v>
      </c>
      <c r="X215" s="189"/>
      <c r="Y215" s="189"/>
      <c r="Z215" s="189"/>
      <c r="AA215" s="189"/>
      <c r="AB215" s="220">
        <v>6.5000000000000002E-2</v>
      </c>
      <c r="AC215" s="189"/>
      <c r="AD215" s="189"/>
      <c r="AE215" s="189"/>
      <c r="AF215" s="189"/>
      <c r="AG215" s="220">
        <v>7.0000000000000007E-2</v>
      </c>
      <c r="AH215" s="189"/>
      <c r="AI215" s="189"/>
      <c r="AJ215" s="189"/>
      <c r="AK215" s="189"/>
      <c r="AL215" s="220">
        <v>7.0000000000000007E-2</v>
      </c>
      <c r="AM215" s="189"/>
      <c r="AN215" s="189"/>
      <c r="AO215" s="189"/>
      <c r="AP215" s="189"/>
      <c r="AQ215" s="220">
        <v>7.0000000000000007E-2</v>
      </c>
    </row>
    <row r="216" spans="1:43" s="53" customFormat="1" ht="15.6" customHeight="1" outlineLevel="1" x14ac:dyDescent="0.25">
      <c r="A216" s="229"/>
      <c r="B216" s="723" t="s">
        <v>293</v>
      </c>
      <c r="C216" s="724"/>
      <c r="D216" s="212"/>
      <c r="E216" s="212"/>
      <c r="F216" s="212"/>
      <c r="G216" s="212"/>
      <c r="H216" s="211">
        <v>4.0399999999999998E-2</v>
      </c>
      <c r="I216" s="212"/>
      <c r="J216" s="212"/>
      <c r="K216" s="212"/>
      <c r="L216" s="212"/>
      <c r="M216" s="211">
        <v>3.9800000000000002E-2</v>
      </c>
      <c r="N216" s="139"/>
      <c r="O216" s="139"/>
      <c r="P216" s="139"/>
      <c r="Q216" s="139"/>
      <c r="R216" s="211">
        <v>4.1099999999999998E-2</v>
      </c>
      <c r="S216" s="139"/>
      <c r="T216" s="139"/>
      <c r="U216" s="139"/>
      <c r="V216" s="139"/>
      <c r="W216" s="221">
        <f>R216+W219</f>
        <v>3.9899999999999998E-2</v>
      </c>
      <c r="X216" s="139"/>
      <c r="Y216" s="139"/>
      <c r="Z216" s="139"/>
      <c r="AA216" s="139"/>
      <c r="AB216" s="221">
        <f>W216+AB219</f>
        <v>4.0399999999999998E-2</v>
      </c>
      <c r="AC216" s="139"/>
      <c r="AD216" s="139"/>
      <c r="AE216" s="139"/>
      <c r="AF216" s="139"/>
      <c r="AG216" s="221">
        <f>AB216+AG219</f>
        <v>4.0399999999999998E-2</v>
      </c>
      <c r="AH216" s="139"/>
      <c r="AI216" s="139"/>
      <c r="AJ216" s="139"/>
      <c r="AK216" s="139"/>
      <c r="AL216" s="221">
        <f>AG216+AL219</f>
        <v>4.0399999999999998E-2</v>
      </c>
      <c r="AM216" s="139"/>
      <c r="AN216" s="139"/>
      <c r="AO216" s="139"/>
      <c r="AP216" s="139"/>
      <c r="AQ216" s="221">
        <f>AL216+AQ219</f>
        <v>4.0399999999999998E-2</v>
      </c>
    </row>
    <row r="217" spans="1:43" s="53" customFormat="1" ht="15.6" customHeight="1" outlineLevel="1" x14ac:dyDescent="0.25">
      <c r="A217" s="229"/>
      <c r="B217" s="123" t="s">
        <v>298</v>
      </c>
      <c r="C217" s="286"/>
      <c r="D217" s="212"/>
      <c r="E217" s="212"/>
      <c r="F217" s="212"/>
      <c r="G217" s="212"/>
      <c r="H217" s="214">
        <v>38</v>
      </c>
      <c r="I217" s="212"/>
      <c r="J217" s="212"/>
      <c r="K217" s="212"/>
      <c r="L217" s="212"/>
      <c r="M217" s="214">
        <v>34</v>
      </c>
      <c r="N217" s="139"/>
      <c r="O217" s="139"/>
      <c r="P217" s="139"/>
      <c r="Q217" s="139"/>
      <c r="R217" s="231">
        <v>31</v>
      </c>
      <c r="S217" s="139"/>
      <c r="T217" s="139"/>
      <c r="U217" s="139"/>
      <c r="V217" s="139"/>
      <c r="W217" s="416">
        <v>31</v>
      </c>
      <c r="X217" s="139"/>
      <c r="Y217" s="139"/>
      <c r="Z217" s="139"/>
      <c r="AA217" s="139"/>
      <c r="AB217" s="222">
        <f>W217</f>
        <v>31</v>
      </c>
      <c r="AC217" s="139"/>
      <c r="AD217" s="139"/>
      <c r="AE217" s="139"/>
      <c r="AF217" s="139"/>
      <c r="AG217" s="222">
        <f>AB217</f>
        <v>31</v>
      </c>
      <c r="AH217" s="139"/>
      <c r="AI217" s="139"/>
      <c r="AJ217" s="139"/>
      <c r="AK217" s="139"/>
      <c r="AL217" s="222">
        <f>AG217</f>
        <v>31</v>
      </c>
      <c r="AM217" s="139"/>
      <c r="AN217" s="139"/>
      <c r="AO217" s="139"/>
      <c r="AP217" s="139"/>
      <c r="AQ217" s="222">
        <f>AL217</f>
        <v>31</v>
      </c>
    </row>
    <row r="218" spans="1:43" s="53" customFormat="1" ht="15.6" customHeight="1" outlineLevel="1" x14ac:dyDescent="0.25">
      <c r="B218" s="284" t="s">
        <v>296</v>
      </c>
      <c r="C218" s="286"/>
      <c r="D218" s="212"/>
      <c r="E218" s="212"/>
      <c r="F218" s="212"/>
      <c r="G218" s="212"/>
      <c r="H218" s="214"/>
      <c r="I218" s="191"/>
      <c r="J218" s="212"/>
      <c r="K218" s="212"/>
      <c r="L218" s="191"/>
      <c r="M218" s="214"/>
      <c r="N218" s="139"/>
      <c r="O218" s="139"/>
      <c r="P218" s="139"/>
      <c r="Q218" s="139"/>
      <c r="R218" s="231"/>
      <c r="S218" s="139"/>
      <c r="T218" s="139"/>
      <c r="U218" s="139"/>
      <c r="V218" s="139"/>
      <c r="W218" s="211">
        <f>+W215-W213</f>
        <v>1.7090909090909073E-2</v>
      </c>
      <c r="X218" s="139"/>
      <c r="Y218" s="139"/>
      <c r="Z218" s="139"/>
      <c r="AA218" s="139"/>
      <c r="AB218" s="211">
        <f>+AB215-AB213</f>
        <v>-2.5000000000000022E-3</v>
      </c>
      <c r="AC218" s="139"/>
      <c r="AD218" s="139"/>
      <c r="AE218" s="139"/>
      <c r="AF218" s="139"/>
      <c r="AG218" s="211">
        <f>+AG215-AG213</f>
        <v>2.5000000000000022E-3</v>
      </c>
      <c r="AH218" s="139"/>
      <c r="AI218" s="139"/>
      <c r="AJ218" s="139"/>
      <c r="AK218" s="139"/>
      <c r="AL218" s="211">
        <f>+AL215-AL213</f>
        <v>2.5000000000000022E-3</v>
      </c>
      <c r="AM218" s="139"/>
      <c r="AN218" s="139"/>
      <c r="AO218" s="139"/>
      <c r="AP218" s="139"/>
      <c r="AQ218" s="211">
        <f>+AQ215-AQ213</f>
        <v>2.5000000000000022E-3</v>
      </c>
    </row>
    <row r="219" spans="1:43" s="53" customFormat="1" ht="15.6" customHeight="1" outlineLevel="1" x14ac:dyDescent="0.25">
      <c r="B219" s="284" t="s">
        <v>297</v>
      </c>
      <c r="C219" s="286"/>
      <c r="D219" s="212"/>
      <c r="E219" s="212"/>
      <c r="F219" s="212"/>
      <c r="G219" s="212"/>
      <c r="H219" s="214"/>
      <c r="I219" s="139"/>
      <c r="J219" s="139"/>
      <c r="K219" s="191"/>
      <c r="L219" s="139"/>
      <c r="M219" s="214"/>
      <c r="N219" s="139"/>
      <c r="O219" s="139"/>
      <c r="P219" s="139"/>
      <c r="Q219" s="139"/>
      <c r="R219" s="231"/>
      <c r="S219" s="139"/>
      <c r="T219" s="139"/>
      <c r="U219" s="139"/>
      <c r="V219" s="489"/>
      <c r="W219" s="221">
        <v>-1.1999999999999999E-3</v>
      </c>
      <c r="X219" s="426"/>
      <c r="Y219" s="139"/>
      <c r="Z219" s="139"/>
      <c r="AA219" s="139"/>
      <c r="AB219" s="221">
        <v>5.0000000000000001E-4</v>
      </c>
      <c r="AC219" s="139"/>
      <c r="AD219" s="139"/>
      <c r="AE219" s="139"/>
      <c r="AF219" s="139"/>
      <c r="AG219" s="221">
        <v>0</v>
      </c>
      <c r="AH219" s="139"/>
      <c r="AI219" s="139"/>
      <c r="AJ219" s="139"/>
      <c r="AK219" s="139"/>
      <c r="AL219" s="221">
        <f>+AG219</f>
        <v>0</v>
      </c>
      <c r="AM219" s="139"/>
      <c r="AN219" s="139"/>
      <c r="AO219" s="139"/>
      <c r="AP219" s="139"/>
      <c r="AQ219" s="221">
        <f>+AL219</f>
        <v>0</v>
      </c>
    </row>
    <row r="220" spans="1:43" s="53" customFormat="1" ht="15.6" customHeight="1" outlineLevel="1" x14ac:dyDescent="0.25">
      <c r="A220" s="229"/>
      <c r="B220" s="727" t="s">
        <v>295</v>
      </c>
      <c r="C220" s="728"/>
      <c r="D220" s="215"/>
      <c r="E220" s="215"/>
      <c r="F220" s="215"/>
      <c r="G220" s="215"/>
      <c r="H220" s="176"/>
      <c r="I220" s="215"/>
      <c r="J220" s="215"/>
      <c r="K220" s="215"/>
      <c r="L220" s="215"/>
      <c r="M220" s="176"/>
      <c r="N220" s="215"/>
      <c r="O220" s="215"/>
      <c r="P220" s="215"/>
      <c r="Q220" s="215"/>
      <c r="R220" s="216"/>
      <c r="S220" s="215"/>
      <c r="T220" s="215"/>
      <c r="U220" s="215"/>
      <c r="V220" s="215"/>
      <c r="W220" s="228" t="s">
        <v>294</v>
      </c>
      <c r="X220" s="425"/>
      <c r="Y220" s="215"/>
      <c r="Z220" s="215"/>
      <c r="AA220" s="215"/>
      <c r="AB220" s="228" t="s">
        <v>294</v>
      </c>
      <c r="AC220" s="215"/>
      <c r="AD220" s="215"/>
      <c r="AE220" s="215"/>
      <c r="AF220" s="215"/>
      <c r="AG220" s="228" t="s">
        <v>294</v>
      </c>
      <c r="AH220" s="215"/>
      <c r="AI220" s="215"/>
      <c r="AJ220" s="215"/>
      <c r="AK220" s="215"/>
      <c r="AL220" s="228" t="s">
        <v>294</v>
      </c>
      <c r="AM220" s="215"/>
      <c r="AN220" s="215"/>
      <c r="AO220" s="215"/>
      <c r="AP220" s="215"/>
      <c r="AQ220" s="228" t="s">
        <v>294</v>
      </c>
    </row>
    <row r="221" spans="1:43" ht="15" customHeight="1" x14ac:dyDescent="0.25">
      <c r="A221" s="53"/>
      <c r="B221" s="713" t="s">
        <v>76</v>
      </c>
      <c r="C221" s="714"/>
      <c r="D221" s="90" t="s">
        <v>71</v>
      </c>
      <c r="E221" s="90" t="s">
        <v>74</v>
      </c>
      <c r="F221" s="90" t="s">
        <v>75</v>
      </c>
      <c r="G221" s="90" t="s">
        <v>78</v>
      </c>
      <c r="H221" s="400" t="s">
        <v>79</v>
      </c>
      <c r="I221" s="90" t="s">
        <v>80</v>
      </c>
      <c r="J221" s="90" t="s">
        <v>91</v>
      </c>
      <c r="K221" s="90" t="s">
        <v>109</v>
      </c>
      <c r="L221" s="90" t="s">
        <v>113</v>
      </c>
      <c r="M221" s="400" t="s">
        <v>114</v>
      </c>
      <c r="N221" s="90" t="s">
        <v>115</v>
      </c>
      <c r="O221" s="90" t="s">
        <v>116</v>
      </c>
      <c r="P221" s="90" t="s">
        <v>117</v>
      </c>
      <c r="Q221" s="90" t="s">
        <v>118</v>
      </c>
      <c r="R221" s="400" t="s">
        <v>119</v>
      </c>
      <c r="S221" s="90" t="s">
        <v>507</v>
      </c>
      <c r="T221" s="90" t="s">
        <v>749</v>
      </c>
      <c r="U221" s="90" t="s">
        <v>769</v>
      </c>
      <c r="V221" s="92" t="s">
        <v>378</v>
      </c>
      <c r="W221" s="404" t="s">
        <v>379</v>
      </c>
      <c r="X221" s="92" t="s">
        <v>380</v>
      </c>
      <c r="Y221" s="92" t="s">
        <v>381</v>
      </c>
      <c r="Z221" s="92" t="s">
        <v>382</v>
      </c>
      <c r="AA221" s="92" t="s">
        <v>383</v>
      </c>
      <c r="AB221" s="404" t="s">
        <v>384</v>
      </c>
      <c r="AC221" s="92" t="s">
        <v>385</v>
      </c>
      <c r="AD221" s="92" t="s">
        <v>386</v>
      </c>
      <c r="AE221" s="92" t="s">
        <v>387</v>
      </c>
      <c r="AF221" s="92" t="s">
        <v>388</v>
      </c>
      <c r="AG221" s="404" t="s">
        <v>389</v>
      </c>
      <c r="AH221" s="92" t="s">
        <v>390</v>
      </c>
      <c r="AI221" s="92" t="s">
        <v>391</v>
      </c>
      <c r="AJ221" s="92" t="s">
        <v>392</v>
      </c>
      <c r="AK221" s="92" t="s">
        <v>393</v>
      </c>
      <c r="AL221" s="404" t="s">
        <v>394</v>
      </c>
      <c r="AM221" s="92" t="s">
        <v>395</v>
      </c>
      <c r="AN221" s="92" t="s">
        <v>396</v>
      </c>
      <c r="AO221" s="92" t="s">
        <v>397</v>
      </c>
      <c r="AP221" s="92" t="s">
        <v>398</v>
      </c>
      <c r="AQ221" s="404" t="s">
        <v>399</v>
      </c>
    </row>
    <row r="222" spans="1:43" s="111" customFormat="1" outlineLevel="1" x14ac:dyDescent="0.25">
      <c r="A222" s="229"/>
      <c r="B222" s="723" t="s">
        <v>530</v>
      </c>
      <c r="C222" s="724"/>
      <c r="D222" s="232">
        <f>D13/11684-1</f>
        <v>5.0924340979116689E-2</v>
      </c>
      <c r="E222" s="232">
        <f>E13/11939-1</f>
        <v>4.3052181924784216E-2</v>
      </c>
      <c r="F222" s="232">
        <f>F13/11716-1</f>
        <v>8.0061454421304301E-2</v>
      </c>
      <c r="G222" s="232">
        <f>G13/12114-1</f>
        <v>7.1404985966650125E-2</v>
      </c>
      <c r="H222" s="208">
        <f>H13/47453-1</f>
        <v>6.1365983183360395E-2</v>
      </c>
      <c r="I222" s="232">
        <f t="shared" ref="I222:AQ222" si="110">I13/D13-1</f>
        <v>0.19415261829139174</v>
      </c>
      <c r="J222" s="232">
        <f t="shared" si="110"/>
        <v>0.1989881956155144</v>
      </c>
      <c r="K222" s="232">
        <f t="shared" si="110"/>
        <v>0.18515884305357999</v>
      </c>
      <c r="L222" s="232">
        <f t="shared" si="110"/>
        <v>0.2118036828723322</v>
      </c>
      <c r="M222" s="208">
        <f t="shared" si="110"/>
        <v>0.19763724808895056</v>
      </c>
      <c r="N222" s="232">
        <f t="shared" si="110"/>
        <v>4.3238082247834653E-2</v>
      </c>
      <c r="O222" s="232">
        <f t="shared" si="110"/>
        <v>9.2559105217333126E-2</v>
      </c>
      <c r="P222" s="232">
        <f t="shared" si="110"/>
        <v>0.10195372407814896</v>
      </c>
      <c r="Q222" s="232">
        <f t="shared" si="110"/>
        <v>0.10084726513224807</v>
      </c>
      <c r="R222" s="209">
        <f t="shared" si="110"/>
        <v>8.5066492912680758E-2</v>
      </c>
      <c r="S222" s="232">
        <f t="shared" si="110"/>
        <v>0.11472837811335546</v>
      </c>
      <c r="T222" s="232">
        <f t="shared" si="110"/>
        <v>9.2625513394225534E-2</v>
      </c>
      <c r="U222" s="232">
        <f t="shared" si="110"/>
        <v>2.9287183831538277E-2</v>
      </c>
      <c r="V222" s="232">
        <f t="shared" si="110"/>
        <v>3.9964834982417097E-2</v>
      </c>
      <c r="W222" s="234">
        <f t="shared" si="110"/>
        <v>6.7867802033352964E-2</v>
      </c>
      <c r="X222" s="232">
        <f t="shared" si="110"/>
        <v>2.2450629347822382E-2</v>
      </c>
      <c r="Y222" s="232">
        <f t="shared" si="110"/>
        <v>2.1744474652624524E-2</v>
      </c>
      <c r="Z222" s="232">
        <f t="shared" si="110"/>
        <v>3.1485016014004774E-2</v>
      </c>
      <c r="AA222" s="232">
        <f t="shared" si="110"/>
        <v>3.329311134172519E-2</v>
      </c>
      <c r="AB222" s="208">
        <f t="shared" si="110"/>
        <v>2.7262605553720398E-2</v>
      </c>
      <c r="AC222" s="232">
        <f t="shared" si="110"/>
        <v>2.1858591019571438E-2</v>
      </c>
      <c r="AD222" s="232">
        <f t="shared" si="110"/>
        <v>1.9368160418830049E-2</v>
      </c>
      <c r="AE222" s="232">
        <f t="shared" si="110"/>
        <v>2.0512594734995115E-2</v>
      </c>
      <c r="AF222" s="232">
        <f t="shared" si="110"/>
        <v>1.8198062874148713E-2</v>
      </c>
      <c r="AG222" s="208">
        <f t="shared" si="110"/>
        <v>1.99493733729037E-2</v>
      </c>
      <c r="AH222" s="232">
        <f t="shared" si="110"/>
        <v>1.9148075290249755E-2</v>
      </c>
      <c r="AI222" s="232">
        <f t="shared" si="110"/>
        <v>1.6325566623520915E-2</v>
      </c>
      <c r="AJ222" s="232">
        <f t="shared" si="110"/>
        <v>1.7161490231585974E-2</v>
      </c>
      <c r="AK222" s="232">
        <f t="shared" si="110"/>
        <v>1.5348108119648041E-2</v>
      </c>
      <c r="AL222" s="208">
        <f t="shared" si="110"/>
        <v>1.6963777766684673E-2</v>
      </c>
      <c r="AM222" s="232">
        <f t="shared" si="110"/>
        <v>1.5928374395461464E-2</v>
      </c>
      <c r="AN222" s="232">
        <f t="shared" si="110"/>
        <v>1.3077237279237375E-2</v>
      </c>
      <c r="AO222" s="232">
        <f t="shared" si="110"/>
        <v>1.3722269177991464E-2</v>
      </c>
      <c r="AP222" s="232">
        <f t="shared" si="110"/>
        <v>1.194160423973667E-2</v>
      </c>
      <c r="AQ222" s="208">
        <f t="shared" si="110"/>
        <v>1.3636806744210084E-2</v>
      </c>
    </row>
    <row r="223" spans="1:43" s="111" customFormat="1" outlineLevel="1" x14ac:dyDescent="0.25">
      <c r="A223" s="229"/>
      <c r="B223" s="709" t="s">
        <v>28</v>
      </c>
      <c r="C223" s="710"/>
      <c r="D223" s="193">
        <f t="shared" ref="D223:AQ223" si="111">D25/D13</f>
        <v>9.3167196025734991E-2</v>
      </c>
      <c r="E223" s="193">
        <f t="shared" si="111"/>
        <v>9.1303300409539864E-2</v>
      </c>
      <c r="F223" s="193">
        <f t="shared" si="111"/>
        <v>6.8278805120910391E-2</v>
      </c>
      <c r="G223" s="193">
        <f t="shared" si="111"/>
        <v>-5.2392326065182218E-3</v>
      </c>
      <c r="H223" s="234">
        <f t="shared" si="111"/>
        <v>6.1094013699990075E-2</v>
      </c>
      <c r="I223" s="193">
        <f t="shared" si="111"/>
        <v>7.8565095819409403E-2</v>
      </c>
      <c r="J223" s="193">
        <f t="shared" si="111"/>
        <v>7.0658361797602307E-2</v>
      </c>
      <c r="K223" s="193">
        <f t="shared" si="111"/>
        <v>6.0812162432486494E-2</v>
      </c>
      <c r="L223" s="193">
        <f t="shared" si="111"/>
        <v>9.2001525940996948E-2</v>
      </c>
      <c r="M223" s="234">
        <f t="shared" si="111"/>
        <v>7.5697541404864135E-2</v>
      </c>
      <c r="N223" s="193">
        <f t="shared" si="111"/>
        <v>6.3476498659867944E-2</v>
      </c>
      <c r="O223" s="193">
        <f t="shared" si="111"/>
        <v>6.8350395390179605E-2</v>
      </c>
      <c r="P223" s="193">
        <f t="shared" si="111"/>
        <v>5.1918189519544959E-2</v>
      </c>
      <c r="Q223" s="193">
        <f t="shared" si="111"/>
        <v>7.6707643366776518E-2</v>
      </c>
      <c r="R223" s="234">
        <f t="shared" si="111"/>
        <v>6.5272995807042725E-2</v>
      </c>
      <c r="S223" s="193">
        <f t="shared" si="111"/>
        <v>6.2807881773399021E-2</v>
      </c>
      <c r="T223" s="193">
        <f t="shared" si="111"/>
        <v>6.5529622980251348E-2</v>
      </c>
      <c r="U223" s="193">
        <f t="shared" si="111"/>
        <v>5.3556731334509111E-2</v>
      </c>
      <c r="V223" s="193">
        <f t="shared" si="111"/>
        <v>7.7486969405805628E-2</v>
      </c>
      <c r="W223" s="234">
        <f t="shared" si="111"/>
        <v>6.5032212441857751E-2</v>
      </c>
      <c r="X223" s="193">
        <f t="shared" si="111"/>
        <v>6.514371884674143E-2</v>
      </c>
      <c r="Y223" s="193">
        <f t="shared" si="111"/>
        <v>6.4739644765025722E-2</v>
      </c>
      <c r="Z223" s="193">
        <f t="shared" si="111"/>
        <v>5.0355886398762401E-2</v>
      </c>
      <c r="AA223" s="193">
        <f t="shared" si="111"/>
        <v>8.4608836865237069E-2</v>
      </c>
      <c r="AB223" s="209">
        <f t="shared" si="111"/>
        <v>6.6471617066740443E-2</v>
      </c>
      <c r="AC223" s="193">
        <f t="shared" si="111"/>
        <v>7.4917072670398988E-2</v>
      </c>
      <c r="AD223" s="193">
        <f t="shared" si="111"/>
        <v>7.1371466817814727E-2</v>
      </c>
      <c r="AE223" s="193">
        <f t="shared" si="111"/>
        <v>5.4888327234745883E-2</v>
      </c>
      <c r="AF223" s="193">
        <f t="shared" si="111"/>
        <v>8.7022915377629462E-2</v>
      </c>
      <c r="AG223" s="209">
        <f t="shared" si="111"/>
        <v>7.2252710093094405E-2</v>
      </c>
      <c r="AH223" s="193">
        <f t="shared" si="111"/>
        <v>6.7121381395782193E-2</v>
      </c>
      <c r="AI223" s="193">
        <f t="shared" si="111"/>
        <v>6.1892853214163462E-2</v>
      </c>
      <c r="AJ223" s="193">
        <f t="shared" si="111"/>
        <v>4.5540287905059755E-2</v>
      </c>
      <c r="AK223" s="193">
        <f t="shared" si="111"/>
        <v>7.8001301138445042E-2</v>
      </c>
      <c r="AL223" s="209">
        <f t="shared" si="111"/>
        <v>6.3329015327379806E-2</v>
      </c>
      <c r="AM223" s="193">
        <f t="shared" si="111"/>
        <v>6.0745531789203271E-2</v>
      </c>
      <c r="AN223" s="193">
        <f t="shared" si="111"/>
        <v>5.3856862619713099E-2</v>
      </c>
      <c r="AO223" s="193">
        <f t="shared" si="111"/>
        <v>3.7744732077137202E-2</v>
      </c>
      <c r="AP223" s="193">
        <f t="shared" si="111"/>
        <v>7.030125974962971E-2</v>
      </c>
      <c r="AQ223" s="209">
        <f t="shared" si="111"/>
        <v>5.583971625778178E-2</v>
      </c>
    </row>
    <row r="224" spans="1:43" s="111" customFormat="1" outlineLevel="1" x14ac:dyDescent="0.25">
      <c r="A224" s="229"/>
      <c r="B224" s="709" t="s">
        <v>529</v>
      </c>
      <c r="C224" s="710"/>
      <c r="D224" s="193">
        <f t="shared" ref="D224:AQ224" si="112">+D27/D13</f>
        <v>9.3167196025734991E-2</v>
      </c>
      <c r="E224" s="193">
        <f t="shared" si="112"/>
        <v>9.1303300409539864E-2</v>
      </c>
      <c r="F224" s="193">
        <f t="shared" si="112"/>
        <v>6.8278805120910391E-2</v>
      </c>
      <c r="G224" s="193">
        <f t="shared" si="112"/>
        <v>-5.2392326065182218E-3</v>
      </c>
      <c r="H224" s="234">
        <f t="shared" si="112"/>
        <v>6.1094013699990075E-2</v>
      </c>
      <c r="I224" s="193">
        <f t="shared" si="112"/>
        <v>8.3168519402577912E-2</v>
      </c>
      <c r="J224" s="193">
        <f t="shared" si="112"/>
        <v>7.4509409952447925E-2</v>
      </c>
      <c r="K224" s="193">
        <f t="shared" si="112"/>
        <v>6.601320264052811E-2</v>
      </c>
      <c r="L224" s="193">
        <f t="shared" si="112"/>
        <v>0.10376398779247202</v>
      </c>
      <c r="M224" s="234">
        <f t="shared" si="112"/>
        <v>8.2130008786617817E-2</v>
      </c>
      <c r="N224" s="193">
        <f t="shared" si="112"/>
        <v>7.125580179120089E-2</v>
      </c>
      <c r="O224" s="193">
        <f t="shared" si="112"/>
        <v>7.5829093361123034E-2</v>
      </c>
      <c r="P224" s="193">
        <f t="shared" si="112"/>
        <v>5.8332324821493406E-2</v>
      </c>
      <c r="Q224" s="193">
        <f t="shared" si="112"/>
        <v>0.10599009206019853</v>
      </c>
      <c r="R224" s="234">
        <f t="shared" si="112"/>
        <v>7.8336377882052999E-2</v>
      </c>
      <c r="S224" s="193">
        <f t="shared" si="112"/>
        <v>6.9903823598404885E-2</v>
      </c>
      <c r="T224" s="193">
        <f t="shared" si="112"/>
        <v>7.4506283662477552E-2</v>
      </c>
      <c r="U224" s="193">
        <f t="shared" si="112"/>
        <v>5.7848324514991181E-2</v>
      </c>
      <c r="V224" s="193">
        <f t="shared" si="112"/>
        <v>0.10120117890505151</v>
      </c>
      <c r="W224" s="234">
        <f t="shared" si="112"/>
        <v>7.620658267139277E-2</v>
      </c>
      <c r="X224" s="193">
        <f t="shared" si="112"/>
        <v>7.6256532723489714E-2</v>
      </c>
      <c r="Y224" s="193">
        <f t="shared" si="112"/>
        <v>7.2632976984345593E-2</v>
      </c>
      <c r="Z224" s="193">
        <f t="shared" si="112"/>
        <v>5.49866875492072E-2</v>
      </c>
      <c r="AA224" s="193">
        <f t="shared" si="112"/>
        <v>8.2929231455274852E-2</v>
      </c>
      <c r="AB224" s="209">
        <f t="shared" si="112"/>
        <v>7.1868739251126884E-2</v>
      </c>
      <c r="AC224" s="193">
        <f t="shared" si="112"/>
        <v>7.7723549966904018E-2</v>
      </c>
      <c r="AD224" s="193">
        <f t="shared" si="112"/>
        <v>7.4064808600989337E-2</v>
      </c>
      <c r="AE224" s="193">
        <f t="shared" si="112"/>
        <v>5.5446815939263858E-2</v>
      </c>
      <c r="AF224" s="193">
        <f t="shared" si="112"/>
        <v>8.4119643775256658E-2</v>
      </c>
      <c r="AG224" s="209">
        <f t="shared" si="112"/>
        <v>7.3003770066020671E-2</v>
      </c>
      <c r="AH224" s="193">
        <f t="shared" si="112"/>
        <v>6.7121381395782193E-2</v>
      </c>
      <c r="AI224" s="193">
        <f t="shared" si="112"/>
        <v>6.1892853214163462E-2</v>
      </c>
      <c r="AJ224" s="193">
        <f t="shared" si="112"/>
        <v>4.5540287905059755E-2</v>
      </c>
      <c r="AK224" s="193">
        <f t="shared" si="112"/>
        <v>7.5141915693044001E-2</v>
      </c>
      <c r="AL224" s="209">
        <f t="shared" si="112"/>
        <v>6.259048364184068E-2</v>
      </c>
      <c r="AM224" s="193">
        <f t="shared" si="112"/>
        <v>6.0745531789203271E-2</v>
      </c>
      <c r="AN224" s="193">
        <f t="shared" si="112"/>
        <v>5.3856862619713099E-2</v>
      </c>
      <c r="AO224" s="193">
        <f t="shared" si="112"/>
        <v>3.7744732077137202E-2</v>
      </c>
      <c r="AP224" s="193">
        <f t="shared" si="112"/>
        <v>6.7475617011529945E-2</v>
      </c>
      <c r="AQ224" s="209">
        <f t="shared" si="112"/>
        <v>5.511112029458734E-2</v>
      </c>
    </row>
    <row r="225" spans="1:43" s="111" customFormat="1" outlineLevel="1" x14ac:dyDescent="0.25">
      <c r="A225" s="229"/>
      <c r="B225" s="525" t="s">
        <v>531</v>
      </c>
      <c r="C225" s="526"/>
      <c r="D225" s="193"/>
      <c r="E225" s="193"/>
      <c r="F225" s="193"/>
      <c r="G225" s="193"/>
      <c r="H225" s="234"/>
      <c r="I225" s="193"/>
      <c r="J225" s="193"/>
      <c r="K225" s="193"/>
      <c r="L225" s="193"/>
      <c r="M225" s="234">
        <f>+M45/H45-1</f>
        <v>0.85705339645100276</v>
      </c>
      <c r="N225" s="193"/>
      <c r="O225" s="193"/>
      <c r="P225" s="193"/>
      <c r="Q225" s="193"/>
      <c r="R225" s="234">
        <f>+R45/M45-1</f>
        <v>0.26678573434812791</v>
      </c>
      <c r="S225" s="193"/>
      <c r="T225" s="193"/>
      <c r="U225" s="193"/>
      <c r="V225" s="193"/>
      <c r="W225" s="234">
        <f>+W45/R45-1</f>
        <v>3.5230732076167781E-2</v>
      </c>
      <c r="X225" s="193"/>
      <c r="Y225" s="193"/>
      <c r="Z225" s="193"/>
      <c r="AA225" s="193"/>
      <c r="AB225" s="234">
        <f>+AB45/W45-1</f>
        <v>-4.6239872388103898E-2</v>
      </c>
      <c r="AC225" s="193"/>
      <c r="AD225" s="193"/>
      <c r="AE225" s="193"/>
      <c r="AF225" s="193"/>
      <c r="AG225" s="234">
        <f>+AG45/AB45-1</f>
        <v>7.1064584079747029E-2</v>
      </c>
      <c r="AH225" s="193"/>
      <c r="AI225" s="193"/>
      <c r="AJ225" s="193"/>
      <c r="AK225" s="193"/>
      <c r="AL225" s="234">
        <f>+AL45/AG45-1</f>
        <v>-0.10530738126288963</v>
      </c>
      <c r="AM225" s="193"/>
      <c r="AN225" s="193"/>
      <c r="AO225" s="193"/>
      <c r="AP225" s="193"/>
      <c r="AQ225" s="234">
        <f>+AQ45/AL45-1</f>
        <v>-9.3022941682289639E-2</v>
      </c>
    </row>
    <row r="226" spans="1:43" outlineLevel="1" x14ac:dyDescent="0.25">
      <c r="A226" s="53"/>
      <c r="B226" s="235" t="s">
        <v>302</v>
      </c>
      <c r="C226" s="96"/>
      <c r="D226" s="233">
        <f t="shared" ref="D226:AQ226" si="113">+D15/D13</f>
        <v>0.36851535141298153</v>
      </c>
      <c r="E226" s="233">
        <f t="shared" si="113"/>
        <v>0.36697984421424557</v>
      </c>
      <c r="F226" s="233">
        <f t="shared" si="113"/>
        <v>0.37237237237237236</v>
      </c>
      <c r="G226" s="233">
        <f t="shared" si="113"/>
        <v>0.3678249479929116</v>
      </c>
      <c r="H226" s="209">
        <f t="shared" si="113"/>
        <v>0.36892683411098975</v>
      </c>
      <c r="I226" s="233">
        <f t="shared" si="113"/>
        <v>0.36220418741048899</v>
      </c>
      <c r="J226" s="233">
        <f t="shared" si="113"/>
        <v>0.35851583952849775</v>
      </c>
      <c r="K226" s="233">
        <f t="shared" si="113"/>
        <v>0.35973861438954458</v>
      </c>
      <c r="L226" s="233">
        <f t="shared" si="113"/>
        <v>0.34861393692777215</v>
      </c>
      <c r="M226" s="209">
        <f t="shared" si="113"/>
        <v>0.35713456788076725</v>
      </c>
      <c r="N226" s="233">
        <f t="shared" si="113"/>
        <v>0.36072432503105184</v>
      </c>
      <c r="O226" s="233">
        <f t="shared" si="113"/>
        <v>0.35198921105866487</v>
      </c>
      <c r="P226" s="233">
        <f t="shared" si="113"/>
        <v>0.3619145588769212</v>
      </c>
      <c r="Q226" s="233">
        <f t="shared" si="113"/>
        <v>0.34457413985198371</v>
      </c>
      <c r="R226" s="209">
        <f t="shared" si="113"/>
        <v>0.35457533077750103</v>
      </c>
      <c r="S226" s="233">
        <f t="shared" si="113"/>
        <v>0.36711236218625382</v>
      </c>
      <c r="T226" s="233">
        <f t="shared" si="113"/>
        <v>0.35121184919210052</v>
      </c>
      <c r="U226" s="233">
        <f t="shared" si="113"/>
        <v>0.35679012345679012</v>
      </c>
      <c r="V226" s="233">
        <f t="shared" si="113"/>
        <v>0.35297178008890862</v>
      </c>
      <c r="W226" s="209">
        <f t="shared" si="113"/>
        <v>0.35690221413207979</v>
      </c>
      <c r="X226" s="233">
        <f t="shared" si="113"/>
        <v>0.36531307285964321</v>
      </c>
      <c r="Y226" s="233">
        <f t="shared" si="113"/>
        <v>0.35215629993322789</v>
      </c>
      <c r="Z226" s="233">
        <f t="shared" si="113"/>
        <v>0.3571399792345657</v>
      </c>
      <c r="AA226" s="233">
        <f t="shared" si="113"/>
        <v>0.35236216888470651</v>
      </c>
      <c r="AB226" s="209">
        <f t="shared" si="113"/>
        <v>0.35662244050221331</v>
      </c>
      <c r="AC226" s="233">
        <f t="shared" si="113"/>
        <v>0.36067792572590462</v>
      </c>
      <c r="AD226" s="233">
        <f t="shared" si="113"/>
        <v>0.34819526283875624</v>
      </c>
      <c r="AE226" s="233">
        <f t="shared" si="113"/>
        <v>0.35331682208055415</v>
      </c>
      <c r="AF226" s="233">
        <f t="shared" si="113"/>
        <v>0.34828938897314987</v>
      </c>
      <c r="AG226" s="209">
        <f t="shared" si="113"/>
        <v>0.35250876787234092</v>
      </c>
      <c r="AH226" s="233">
        <f t="shared" si="113"/>
        <v>0.36121917442417328</v>
      </c>
      <c r="AI226" s="233">
        <f t="shared" si="113"/>
        <v>0.34934657524898383</v>
      </c>
      <c r="AJ226" s="233">
        <f t="shared" si="113"/>
        <v>0.35438638328781863</v>
      </c>
      <c r="AK226" s="233">
        <f t="shared" si="113"/>
        <v>0.34927888772880411</v>
      </c>
      <c r="AL226" s="209">
        <f t="shared" si="113"/>
        <v>0.35345628129741075</v>
      </c>
      <c r="AM226" s="233">
        <f t="shared" si="113"/>
        <v>0.36178131521039264</v>
      </c>
      <c r="AN226" s="233">
        <f t="shared" si="113"/>
        <v>0.35049460460743992</v>
      </c>
      <c r="AO226" s="233">
        <f t="shared" si="113"/>
        <v>0.35542729031124737</v>
      </c>
      <c r="AP226" s="233">
        <f t="shared" si="113"/>
        <v>0.35028960081568167</v>
      </c>
      <c r="AQ226" s="209">
        <f t="shared" si="113"/>
        <v>0.35440621219878971</v>
      </c>
    </row>
    <row r="227" spans="1:43" outlineLevel="1" x14ac:dyDescent="0.25">
      <c r="A227" s="53"/>
      <c r="B227" s="284" t="s">
        <v>301</v>
      </c>
      <c r="C227" s="283"/>
      <c r="D227" s="233">
        <f t="shared" ref="D227:AQ227" si="114">+D16/D13</f>
        <v>0.19089502402475772</v>
      </c>
      <c r="E227" s="233">
        <f t="shared" si="114"/>
        <v>0.20380631173211275</v>
      </c>
      <c r="F227" s="233">
        <f t="shared" si="114"/>
        <v>0.20728623360202308</v>
      </c>
      <c r="G227" s="233">
        <f t="shared" si="114"/>
        <v>0.18961399183296093</v>
      </c>
      <c r="H227" s="209">
        <f t="shared" si="114"/>
        <v>0.19787550878586319</v>
      </c>
      <c r="I227" s="233">
        <f t="shared" si="114"/>
        <v>0.22096433199208892</v>
      </c>
      <c r="J227" s="233">
        <f t="shared" si="114"/>
        <v>0.22979036903087535</v>
      </c>
      <c r="K227" s="233">
        <f t="shared" si="114"/>
        <v>0.23324664932986597</v>
      </c>
      <c r="L227" s="233">
        <f t="shared" si="114"/>
        <v>0.2200534079348932</v>
      </c>
      <c r="M227" s="209">
        <f t="shared" si="114"/>
        <v>0.22596528457036755</v>
      </c>
      <c r="N227" s="233">
        <f t="shared" si="114"/>
        <v>0.22520755703732759</v>
      </c>
      <c r="O227" s="233">
        <f t="shared" si="114"/>
        <v>0.23539508367559614</v>
      </c>
      <c r="P227" s="233">
        <f t="shared" si="114"/>
        <v>0.23810964540723709</v>
      </c>
      <c r="Q227" s="233">
        <f t="shared" si="114"/>
        <v>0.2241522354618754</v>
      </c>
      <c r="R227" s="209">
        <f t="shared" si="114"/>
        <v>0.23072530142073699</v>
      </c>
      <c r="S227" s="233">
        <f t="shared" si="114"/>
        <v>0.23264133239502699</v>
      </c>
      <c r="T227" s="233">
        <f t="shared" si="114"/>
        <v>0.24382854578096949</v>
      </c>
      <c r="U227" s="233">
        <f t="shared" si="114"/>
        <v>0.25002939447383893</v>
      </c>
      <c r="V227" s="233">
        <f t="shared" si="114"/>
        <v>0.2296150651232072</v>
      </c>
      <c r="W227" s="209">
        <f t="shared" si="114"/>
        <v>0.23894649026712336</v>
      </c>
      <c r="X227" s="233">
        <f t="shared" si="114"/>
        <v>0.23150111182655028</v>
      </c>
      <c r="Y227" s="233">
        <f t="shared" si="114"/>
        <v>0.24448422995364352</v>
      </c>
      <c r="Z227" s="233">
        <f t="shared" si="114"/>
        <v>0.25027456445618845</v>
      </c>
      <c r="AA227" s="233">
        <f t="shared" si="114"/>
        <v>0.22921850107970931</v>
      </c>
      <c r="AB227" s="209">
        <f t="shared" si="114"/>
        <v>0.23879056254250811</v>
      </c>
      <c r="AC227" s="233">
        <f t="shared" si="114"/>
        <v>0.22856379095122425</v>
      </c>
      <c r="AD227" s="233">
        <f t="shared" si="114"/>
        <v>0.24173428311457423</v>
      </c>
      <c r="AE227" s="233">
        <f t="shared" si="114"/>
        <v>0.24759539369065689</v>
      </c>
      <c r="AF227" s="233">
        <f t="shared" si="114"/>
        <v>0.22656907787542652</v>
      </c>
      <c r="AG227" s="209">
        <f t="shared" si="114"/>
        <v>0.23604001271683453</v>
      </c>
      <c r="AH227" s="233">
        <f t="shared" si="114"/>
        <v>0.22890678353685232</v>
      </c>
      <c r="AI227" s="233">
        <f t="shared" si="114"/>
        <v>0.24253358083579607</v>
      </c>
      <c r="AJ227" s="233">
        <f t="shared" si="114"/>
        <v>0.24834491483326618</v>
      </c>
      <c r="AK227" s="233">
        <f t="shared" si="114"/>
        <v>0.22721276622116807</v>
      </c>
      <c r="AL227" s="209">
        <f t="shared" si="114"/>
        <v>0.23667532311205797</v>
      </c>
      <c r="AM227" s="233">
        <f t="shared" si="114"/>
        <v>0.22926301556543568</v>
      </c>
      <c r="AN227" s="233">
        <f t="shared" si="114"/>
        <v>0.24333059930094789</v>
      </c>
      <c r="AO227" s="233">
        <f t="shared" si="114"/>
        <v>0.24907435585660487</v>
      </c>
      <c r="AP227" s="233">
        <f t="shared" si="114"/>
        <v>0.22787025490540738</v>
      </c>
      <c r="AQ227" s="209">
        <f t="shared" si="114"/>
        <v>0.23731135106654438</v>
      </c>
    </row>
    <row r="228" spans="1:43" outlineLevel="1" x14ac:dyDescent="0.25">
      <c r="A228" s="53"/>
      <c r="B228" s="235" t="s">
        <v>300</v>
      </c>
      <c r="C228" s="96"/>
      <c r="D228" s="233">
        <f t="shared" ref="D228:AQ228" si="115">+D19/D13</f>
        <v>5.7985177946086812E-2</v>
      </c>
      <c r="E228" s="233">
        <f t="shared" si="115"/>
        <v>4.9385690195133704E-2</v>
      </c>
      <c r="F228" s="233">
        <f t="shared" si="115"/>
        <v>4.2437174016121383E-2</v>
      </c>
      <c r="G228" s="233">
        <f t="shared" si="115"/>
        <v>4.1220433007165422E-2</v>
      </c>
      <c r="H228" s="209">
        <f t="shared" si="115"/>
        <v>4.7632284324431652E-2</v>
      </c>
      <c r="I228" s="233">
        <f t="shared" si="115"/>
        <v>4.4329264134215375E-2</v>
      </c>
      <c r="J228" s="233">
        <f t="shared" si="115"/>
        <v>4.4069385841537738E-2</v>
      </c>
      <c r="K228" s="233">
        <f t="shared" si="115"/>
        <v>4.9009801960392077E-2</v>
      </c>
      <c r="L228" s="233">
        <f t="shared" si="115"/>
        <v>4.6414038657171926E-2</v>
      </c>
      <c r="M228" s="209">
        <f t="shared" si="115"/>
        <v>4.5972247550523052E-2</v>
      </c>
      <c r="N228" s="233">
        <f t="shared" si="115"/>
        <v>4.5956723540563509E-2</v>
      </c>
      <c r="O228" s="233">
        <f t="shared" si="115"/>
        <v>5.0144056887145225E-2</v>
      </c>
      <c r="P228" s="233">
        <f t="shared" si="115"/>
        <v>5.5306789301706405E-2</v>
      </c>
      <c r="Q228" s="233">
        <f t="shared" si="115"/>
        <v>5.4233174207343728E-2</v>
      </c>
      <c r="R228" s="209">
        <f t="shared" si="115"/>
        <v>5.1550703065596094E-2</v>
      </c>
      <c r="S228" s="233">
        <f t="shared" si="115"/>
        <v>5.7823129251700682E-2</v>
      </c>
      <c r="T228" s="233">
        <f t="shared" si="115"/>
        <v>5.9021543985637345E-2</v>
      </c>
      <c r="U228" s="233">
        <f t="shared" si="115"/>
        <v>5.3321575543797767E-2</v>
      </c>
      <c r="V228" s="233">
        <f t="shared" si="115"/>
        <v>5.3971186797970722E-2</v>
      </c>
      <c r="W228" s="209">
        <f t="shared" si="115"/>
        <v>5.6040820406410959E-2</v>
      </c>
      <c r="X228" s="233">
        <f t="shared" si="115"/>
        <v>5.6063908691838957E-2</v>
      </c>
      <c r="Y228" s="233">
        <f t="shared" si="115"/>
        <v>5.4235347337647274E-2</v>
      </c>
      <c r="Z228" s="233">
        <f t="shared" si="115"/>
        <v>5.3484014256245556E-2</v>
      </c>
      <c r="AA228" s="233">
        <f t="shared" si="115"/>
        <v>5.0906423829664225E-2</v>
      </c>
      <c r="AB228" s="209">
        <f t="shared" si="115"/>
        <v>5.3633120505047968E-2</v>
      </c>
      <c r="AC228" s="233">
        <f t="shared" si="115"/>
        <v>5.3381750131321182E-2</v>
      </c>
      <c r="AD228" s="233">
        <f t="shared" si="115"/>
        <v>5.3552732544690382E-2</v>
      </c>
      <c r="AE228" s="233">
        <f t="shared" si="115"/>
        <v>5.4510489564621373E-2</v>
      </c>
      <c r="AF228" s="233">
        <f t="shared" si="115"/>
        <v>5.2103967513018622E-2</v>
      </c>
      <c r="AG228" s="209">
        <f t="shared" si="115"/>
        <v>5.3370528927100307E-2</v>
      </c>
      <c r="AH228" s="233">
        <f t="shared" si="115"/>
        <v>5.6461521610726137E-2</v>
      </c>
      <c r="AI228" s="233">
        <f t="shared" si="115"/>
        <v>5.6808100360599995E-2</v>
      </c>
      <c r="AJ228" s="233">
        <f t="shared" si="115"/>
        <v>5.7744049913635825E-2</v>
      </c>
      <c r="AK228" s="233">
        <f t="shared" si="115"/>
        <v>5.5290194300982462E-2</v>
      </c>
      <c r="AL228" s="209">
        <f t="shared" si="115"/>
        <v>5.6560444977094552E-2</v>
      </c>
      <c r="AM228" s="233">
        <f t="shared" si="115"/>
        <v>5.7955623004976149E-2</v>
      </c>
      <c r="AN228" s="233">
        <f t="shared" si="115"/>
        <v>5.8494166506129971E-2</v>
      </c>
      <c r="AO228" s="233">
        <f t="shared" si="115"/>
        <v>5.9348723896552512E-2</v>
      </c>
      <c r="AP228" s="233">
        <f t="shared" si="115"/>
        <v>5.6967392834694985E-2</v>
      </c>
      <c r="AQ228" s="209">
        <f t="shared" si="115"/>
        <v>5.8177892930424767E-2</v>
      </c>
    </row>
    <row r="229" spans="1:43" s="111" customFormat="1" outlineLevel="1" x14ac:dyDescent="0.25">
      <c r="A229" s="229"/>
      <c r="B229" s="776" t="s">
        <v>2</v>
      </c>
      <c r="C229" s="777"/>
      <c r="D229" s="363">
        <f t="shared" ref="D229:T229" si="116">+D37/D35</f>
        <v>0.36162361623616235</v>
      </c>
      <c r="E229" s="363">
        <f t="shared" si="116"/>
        <v>0.34502369668246446</v>
      </c>
      <c r="F229" s="363">
        <f t="shared" si="116"/>
        <v>0.35166240409207161</v>
      </c>
      <c r="G229" s="363">
        <f t="shared" si="116"/>
        <v>0.61325966850828728</v>
      </c>
      <c r="H229" s="364">
        <f t="shared" si="116"/>
        <v>0.33576642335766421</v>
      </c>
      <c r="I229" s="363">
        <f t="shared" si="116"/>
        <v>0.37390542907180385</v>
      </c>
      <c r="J229" s="363">
        <f t="shared" si="116"/>
        <v>0.35064935064935066</v>
      </c>
      <c r="K229" s="363">
        <f t="shared" si="116"/>
        <v>0.37486095661846497</v>
      </c>
      <c r="L229" s="363">
        <f t="shared" si="116"/>
        <v>0.30136986301369861</v>
      </c>
      <c r="M229" s="364">
        <f t="shared" si="116"/>
        <v>0.34549028172089974</v>
      </c>
      <c r="N229" s="363">
        <f t="shared" si="116"/>
        <v>0.39307535641547864</v>
      </c>
      <c r="O229" s="363">
        <f t="shared" si="116"/>
        <v>0.31957857769973663</v>
      </c>
      <c r="P229" s="363">
        <f t="shared" si="116"/>
        <v>-1.3729977116704806</v>
      </c>
      <c r="Q229" s="363">
        <f t="shared" si="116"/>
        <v>0.17008733828723618</v>
      </c>
      <c r="R229" s="364">
        <f t="shared" si="116"/>
        <v>-5.0308677204853956E-2</v>
      </c>
      <c r="S229" s="363">
        <f t="shared" si="116"/>
        <v>0.24159854677565848</v>
      </c>
      <c r="T229" s="363">
        <f t="shared" si="116"/>
        <v>0.20560747663551401</v>
      </c>
      <c r="U229" s="363">
        <f t="shared" ref="U229" si="117">+U37/U35</f>
        <v>0.20622986036519872</v>
      </c>
      <c r="V229" s="363">
        <v>0.24</v>
      </c>
      <c r="W229" s="704">
        <f>+W37/W35</f>
        <v>0.22478692713133516</v>
      </c>
      <c r="X229" s="308">
        <v>0.25</v>
      </c>
      <c r="Y229" s="308">
        <f>X229</f>
        <v>0.25</v>
      </c>
      <c r="Z229" s="308">
        <f>Y229</f>
        <v>0.25</v>
      </c>
      <c r="AA229" s="308">
        <f>Z229</f>
        <v>0.25</v>
      </c>
      <c r="AB229" s="364">
        <f>+AB37/AB35</f>
        <v>0.25000000000000017</v>
      </c>
      <c r="AC229" s="308">
        <f>AA229</f>
        <v>0.25</v>
      </c>
      <c r="AD229" s="308">
        <f>AC229</f>
        <v>0.25</v>
      </c>
      <c r="AE229" s="308">
        <f>AD229</f>
        <v>0.25</v>
      </c>
      <c r="AF229" s="308">
        <f>AE229</f>
        <v>0.25</v>
      </c>
      <c r="AG229" s="364">
        <f>+AG37/AG35</f>
        <v>0.24999999999999917</v>
      </c>
      <c r="AH229" s="308">
        <f>AF229</f>
        <v>0.25</v>
      </c>
      <c r="AI229" s="308">
        <f>AH229</f>
        <v>0.25</v>
      </c>
      <c r="AJ229" s="308">
        <f>AI229</f>
        <v>0.25</v>
      </c>
      <c r="AK229" s="308">
        <f>AJ229</f>
        <v>0.25</v>
      </c>
      <c r="AL229" s="364">
        <f>+AL37/AL35</f>
        <v>0.24999999999999961</v>
      </c>
      <c r="AM229" s="308">
        <f>AK229</f>
        <v>0.25</v>
      </c>
      <c r="AN229" s="308">
        <f>AM229</f>
        <v>0.25</v>
      </c>
      <c r="AO229" s="308">
        <f>AN229</f>
        <v>0.25</v>
      </c>
      <c r="AP229" s="308">
        <f>AO229</f>
        <v>0.25</v>
      </c>
      <c r="AQ229" s="364">
        <f>+AQ37/AQ35</f>
        <v>0.24999999999999936</v>
      </c>
    </row>
    <row r="230" spans="1:43" outlineLevel="1" x14ac:dyDescent="0.25">
      <c r="A230" s="53"/>
      <c r="B230" s="717" t="s">
        <v>406</v>
      </c>
      <c r="C230" s="718"/>
      <c r="D230" s="365"/>
      <c r="E230" s="366"/>
      <c r="F230" s="366"/>
      <c r="G230" s="366"/>
      <c r="H230" s="367"/>
      <c r="I230" s="366"/>
      <c r="J230" s="366"/>
      <c r="K230" s="366"/>
      <c r="L230" s="366"/>
      <c r="M230" s="367">
        <f>+M30/((M258+H258)/2)</f>
        <v>8.7964814074370252E-3</v>
      </c>
      <c r="N230" s="366"/>
      <c r="O230" s="366"/>
      <c r="P230" s="366"/>
      <c r="Q230" s="366"/>
      <c r="R230" s="367">
        <f>+R30/((R258+M258)/2)</f>
        <v>1.3270435549487699E-2</v>
      </c>
      <c r="S230" s="675">
        <f>+S30/((S258+Q258)/2)</f>
        <v>3.2302426981512179E-2</v>
      </c>
      <c r="T230" s="365">
        <f>+T30/((T258+S258)/2)</f>
        <v>9.3494318665909432E-3</v>
      </c>
      <c r="U230" s="365">
        <f>+U30/((U258+T258)/2)</f>
        <v>6.0057035301604705E-3</v>
      </c>
      <c r="V230" s="244">
        <f>+U230</f>
        <v>6.0057035301604705E-3</v>
      </c>
      <c r="W230" s="367">
        <f>+W30/((W258+R258)/2)</f>
        <v>3.5683835288821769E-2</v>
      </c>
      <c r="X230" s="244">
        <f>+V230</f>
        <v>6.0057035301604705E-3</v>
      </c>
      <c r="Y230" s="244">
        <f>+X230</f>
        <v>6.0057035301604705E-3</v>
      </c>
      <c r="Z230" s="244">
        <f>+Y230</f>
        <v>6.0057035301604705E-3</v>
      </c>
      <c r="AA230" s="244">
        <f>+Z230</f>
        <v>6.0057035301604705E-3</v>
      </c>
      <c r="AB230" s="367">
        <f>+AB30/((AB258+W258)/2)</f>
        <v>4.7809695808540562E-3</v>
      </c>
      <c r="AC230" s="244">
        <f>+AA230</f>
        <v>6.0057035301604705E-3</v>
      </c>
      <c r="AD230" s="244">
        <f>+AC230</f>
        <v>6.0057035301604705E-3</v>
      </c>
      <c r="AE230" s="244">
        <f>+AD230</f>
        <v>6.0057035301604705E-3</v>
      </c>
      <c r="AF230" s="244">
        <f>+AE230</f>
        <v>6.0057035301604705E-3</v>
      </c>
      <c r="AG230" s="367">
        <f>+AG30/((AG258+AB258)/2)</f>
        <v>5.1017148412025627E-3</v>
      </c>
      <c r="AH230" s="244">
        <f>+AF230</f>
        <v>6.0057035301604705E-3</v>
      </c>
      <c r="AI230" s="244">
        <f>+AH230</f>
        <v>6.0057035301604705E-3</v>
      </c>
      <c r="AJ230" s="244">
        <f>+AI230</f>
        <v>6.0057035301604705E-3</v>
      </c>
      <c r="AK230" s="244">
        <f>+AJ230</f>
        <v>6.0057035301604705E-3</v>
      </c>
      <c r="AL230" s="367">
        <f>+AL30/((AL258+AG258)/2)</f>
        <v>5.2468389295477575E-3</v>
      </c>
      <c r="AM230" s="244">
        <f>+AK230</f>
        <v>6.0057035301604705E-3</v>
      </c>
      <c r="AN230" s="244">
        <f>+AM230</f>
        <v>6.0057035301604705E-3</v>
      </c>
      <c r="AO230" s="244">
        <f>+AN230</f>
        <v>6.0057035301604705E-3</v>
      </c>
      <c r="AP230" s="244">
        <f>+AO230</f>
        <v>6.0057035301604705E-3</v>
      </c>
      <c r="AQ230" s="367">
        <f>+AQ30/((AQ258+AL258)/2)</f>
        <v>5.2780861628412929E-3</v>
      </c>
    </row>
    <row r="231" spans="1:43" outlineLevel="1" x14ac:dyDescent="0.25">
      <c r="A231" s="53"/>
      <c r="B231" s="178" t="s">
        <v>405</v>
      </c>
      <c r="C231" s="128"/>
      <c r="D231" s="365"/>
      <c r="E231" s="366"/>
      <c r="F231" s="366"/>
      <c r="G231" s="366"/>
      <c r="H231" s="368"/>
      <c r="I231" s="366"/>
      <c r="J231" s="366"/>
      <c r="K231" s="366"/>
      <c r="L231" s="366"/>
      <c r="M231" s="367">
        <f>+M29/((M272+M277+H272+H277)/2)</f>
        <v>-3.5688146934792456E-2</v>
      </c>
      <c r="N231" s="366"/>
      <c r="O231" s="366"/>
      <c r="P231" s="366"/>
      <c r="Q231" s="366"/>
      <c r="R231" s="367">
        <f>+R29/((R272+R277+M272+M277)/2)</f>
        <v>-3.5410585099631936E-2</v>
      </c>
      <c r="S231" s="675">
        <f>+S29/((S272+S277+S271+Q271+Q272+Q277)/2)</f>
        <v>-1.2108920635867458E-2</v>
      </c>
      <c r="T231" s="678">
        <f>+T29/((T272+T277+T271+S271+S272+S277)/2)</f>
        <v>-8.7629618811158171E-3</v>
      </c>
      <c r="U231" s="678">
        <f>+U29/((U272+U277+U271+T271+T272+T277)/2)</f>
        <v>-8.4017139496457283E-3</v>
      </c>
      <c r="V231" s="244">
        <f t="shared" ref="V231" si="118">+U231</f>
        <v>-8.4017139496457283E-3</v>
      </c>
      <c r="W231" s="367">
        <f>+W29/((W272+W277+R272+R277)/2)</f>
        <v>-3.6932852632768007E-2</v>
      </c>
      <c r="X231" s="244">
        <f>+V231</f>
        <v>-8.4017139496457283E-3</v>
      </c>
      <c r="Y231" s="244">
        <f>+X231</f>
        <v>-8.4017139496457283E-3</v>
      </c>
      <c r="Z231" s="244">
        <f t="shared" ref="Z231:AA231" si="119">+Y231</f>
        <v>-8.4017139496457283E-3</v>
      </c>
      <c r="AA231" s="244">
        <f t="shared" si="119"/>
        <v>-8.4017139496457283E-3</v>
      </c>
      <c r="AB231" s="367">
        <f>+AB29/((AB272+AB277+W272+W277)/2)</f>
        <v>-3.3427844947200892E-2</v>
      </c>
      <c r="AC231" s="244">
        <f>+AA231</f>
        <v>-8.4017139496457283E-3</v>
      </c>
      <c r="AD231" s="244">
        <f>+AC231</f>
        <v>-8.4017139496457283E-3</v>
      </c>
      <c r="AE231" s="244">
        <f t="shared" ref="AE231" si="120">+AD231</f>
        <v>-8.4017139496457283E-3</v>
      </c>
      <c r="AF231" s="244">
        <f t="shared" ref="AF231" si="121">+AE231</f>
        <v>-8.4017139496457283E-3</v>
      </c>
      <c r="AG231" s="367">
        <f>+AG29/((AG272+AG277+AB272+AB277)/2)</f>
        <v>-3.3581541834452187E-2</v>
      </c>
      <c r="AH231" s="244">
        <f>+AF231</f>
        <v>-8.4017139496457283E-3</v>
      </c>
      <c r="AI231" s="244">
        <f>+AH231</f>
        <v>-8.4017139496457283E-3</v>
      </c>
      <c r="AJ231" s="244">
        <f t="shared" ref="AJ231" si="122">+AI231</f>
        <v>-8.4017139496457283E-3</v>
      </c>
      <c r="AK231" s="244">
        <f t="shared" ref="AK231" si="123">+AJ231</f>
        <v>-8.4017139496457283E-3</v>
      </c>
      <c r="AL231" s="367">
        <f>+AL29/((AL272+AL277+AG272+AG277)/2)</f>
        <v>-3.3736731344851834E-2</v>
      </c>
      <c r="AM231" s="244">
        <f>+AK231</f>
        <v>-8.4017139496457283E-3</v>
      </c>
      <c r="AN231" s="244">
        <f>+AM231</f>
        <v>-8.4017139496457283E-3</v>
      </c>
      <c r="AO231" s="244">
        <f t="shared" ref="AO231" si="124">+AN231</f>
        <v>-8.4017139496457283E-3</v>
      </c>
      <c r="AP231" s="244">
        <f t="shared" ref="AP231" si="125">+AO231</f>
        <v>-8.4017139496457283E-3</v>
      </c>
      <c r="AQ231" s="367">
        <f>+AQ29/((AQ272+AQ277+AL272+AL277)/2)</f>
        <v>-3.3784773834672134E-2</v>
      </c>
    </row>
    <row r="232" spans="1:43" ht="15.75" x14ac:dyDescent="0.25">
      <c r="B232" s="713" t="s">
        <v>88</v>
      </c>
      <c r="C232" s="714"/>
      <c r="D232" s="90" t="s">
        <v>71</v>
      </c>
      <c r="E232" s="90" t="s">
        <v>74</v>
      </c>
      <c r="F232" s="90" t="s">
        <v>75</v>
      </c>
      <c r="G232" s="90" t="s">
        <v>78</v>
      </c>
      <c r="H232" s="400" t="s">
        <v>79</v>
      </c>
      <c r="I232" s="90" t="s">
        <v>80</v>
      </c>
      <c r="J232" s="90" t="s">
        <v>91</v>
      </c>
      <c r="K232" s="90" t="s">
        <v>109</v>
      </c>
      <c r="L232" s="90" t="s">
        <v>113</v>
      </c>
      <c r="M232" s="400" t="s">
        <v>114</v>
      </c>
      <c r="N232" s="90" t="s">
        <v>115</v>
      </c>
      <c r="O232" s="90" t="s">
        <v>116</v>
      </c>
      <c r="P232" s="90" t="s">
        <v>117</v>
      </c>
      <c r="Q232" s="90" t="s">
        <v>118</v>
      </c>
      <c r="R232" s="400" t="s">
        <v>119</v>
      </c>
      <c r="S232" s="90" t="s">
        <v>507</v>
      </c>
      <c r="T232" s="90" t="s">
        <v>749</v>
      </c>
      <c r="U232" s="90" t="s">
        <v>769</v>
      </c>
      <c r="V232" s="92" t="s">
        <v>378</v>
      </c>
      <c r="W232" s="404" t="s">
        <v>379</v>
      </c>
      <c r="X232" s="92" t="s">
        <v>380</v>
      </c>
      <c r="Y232" s="92" t="s">
        <v>381</v>
      </c>
      <c r="Z232" s="92" t="s">
        <v>382</v>
      </c>
      <c r="AA232" s="92" t="s">
        <v>383</v>
      </c>
      <c r="AB232" s="404" t="s">
        <v>384</v>
      </c>
      <c r="AC232" s="92" t="s">
        <v>385</v>
      </c>
      <c r="AD232" s="92" t="s">
        <v>386</v>
      </c>
      <c r="AE232" s="92" t="s">
        <v>387</v>
      </c>
      <c r="AF232" s="92" t="s">
        <v>388</v>
      </c>
      <c r="AG232" s="404" t="s">
        <v>389</v>
      </c>
      <c r="AH232" s="92" t="s">
        <v>390</v>
      </c>
      <c r="AI232" s="92" t="s">
        <v>391</v>
      </c>
      <c r="AJ232" s="92" t="s">
        <v>392</v>
      </c>
      <c r="AK232" s="92" t="s">
        <v>393</v>
      </c>
      <c r="AL232" s="404" t="s">
        <v>394</v>
      </c>
      <c r="AM232" s="92" t="s">
        <v>395</v>
      </c>
      <c r="AN232" s="92" t="s">
        <v>396</v>
      </c>
      <c r="AO232" s="92" t="s">
        <v>397</v>
      </c>
      <c r="AP232" s="92" t="s">
        <v>398</v>
      </c>
      <c r="AQ232" s="404" t="s">
        <v>399</v>
      </c>
    </row>
    <row r="233" spans="1:43" outlineLevel="1" x14ac:dyDescent="0.25">
      <c r="B233" s="709" t="s">
        <v>68</v>
      </c>
      <c r="C233" s="710"/>
      <c r="D233" s="193">
        <f>(D41+D237)/283-1</f>
        <v>3.697920946665878E-4</v>
      </c>
      <c r="E233" s="193">
        <f>(E41+E237)/D41-1</f>
        <v>1.3352786723233923E-2</v>
      </c>
      <c r="F233" s="193">
        <f>(F41+F237)/E41-1</f>
        <v>-1.6534967987091864E-3</v>
      </c>
      <c r="G233" s="193">
        <f>(G41+G237)/F41-1</f>
        <v>2.9134173621392367E-3</v>
      </c>
      <c r="H233" s="208"/>
      <c r="I233" s="193">
        <f>(I41+I237)/G41-1</f>
        <v>-8.230703284084262E-3</v>
      </c>
      <c r="J233" s="193">
        <f>(J41+J237)/I41-1</f>
        <v>4.7106921884758624E-3</v>
      </c>
      <c r="K233" s="193">
        <f>(K41+K237)/J41-1</f>
        <v>4.8161398478585582E-4</v>
      </c>
      <c r="L233" s="193">
        <f>(L41+L237)/K41-1</f>
        <v>8.4050081076847416E-3</v>
      </c>
      <c r="M233" s="208"/>
      <c r="N233" s="193">
        <f>(N41+N237)/L41-1</f>
        <v>3.7397157816005944E-3</v>
      </c>
      <c r="O233" s="193">
        <f>(O41+O237)/N41-1</f>
        <v>2.9850746268658135E-3</v>
      </c>
      <c r="P233" s="193">
        <f>(P41+P237)/O41-1</f>
        <v>4.4776119402984982E-3</v>
      </c>
      <c r="Q233" s="193">
        <f>(Q41+Q237)/P41-1</f>
        <v>1.1194029850745135E-3</v>
      </c>
      <c r="R233" s="61"/>
      <c r="S233" s="193">
        <f>(S41+S237)/Q41-1</f>
        <v>4.5570570570570013E-3</v>
      </c>
      <c r="T233" s="193">
        <f>(T41+T237)/S41-1</f>
        <v>8.6411541369368905E-4</v>
      </c>
      <c r="U233" s="193">
        <f>(U41+U237)/T41-1</f>
        <v>-3.2202743902437492E-3</v>
      </c>
      <c r="V233" s="244">
        <f>AVERAGE(U233,T233,S233,Q233)-0.560855909153889%</f>
        <v>-4.7784838251435265E-3</v>
      </c>
      <c r="W233" s="61"/>
      <c r="X233" s="244">
        <f>AVERAGE(V233,U233,T233,S233)</f>
        <v>-6.4439643615914633E-4</v>
      </c>
      <c r="Y233" s="244">
        <f>AVERAGE(X233,V233,U233,T233)</f>
        <v>-1.944759809463183E-3</v>
      </c>
      <c r="Z233" s="244">
        <f>AVERAGE(Y233,X233,V233,U233)</f>
        <v>-2.6469786152524015E-3</v>
      </c>
      <c r="AA233" s="244">
        <f>AVERAGE(Z233,Y233,X233,V233)</f>
        <v>-2.5036546715045643E-3</v>
      </c>
      <c r="AB233" s="61"/>
      <c r="AC233" s="244">
        <f>AVERAGE(AA233,Z233,Y233,X233)</f>
        <v>-1.9349473830948237E-3</v>
      </c>
      <c r="AD233" s="244">
        <f>AVERAGE(AC233,AA233,Z233,Y233)</f>
        <v>-2.2575851198287432E-3</v>
      </c>
      <c r="AE233" s="244">
        <f>AVERAGE(AD233,AC233,AA233,Z233)</f>
        <v>-2.3357914474201333E-3</v>
      </c>
      <c r="AF233" s="244">
        <f>AVERAGE(AE233,AD233,AC233,AA233)</f>
        <v>-2.2579946554620658E-3</v>
      </c>
      <c r="AG233" s="61"/>
      <c r="AH233" s="244">
        <f>AVERAGE(AF233,AE233,AD233,AC233)</f>
        <v>-2.1965796514514416E-3</v>
      </c>
      <c r="AI233" s="244">
        <f>AVERAGE(AH233,AF233,AE233,AD233)</f>
        <v>-2.261987718540596E-3</v>
      </c>
      <c r="AJ233" s="244">
        <f>AVERAGE(AI233,AH233,AF233,AE233)</f>
        <v>-2.2630883682185588E-3</v>
      </c>
      <c r="AK233" s="244">
        <f>AVERAGE(AJ233,AI233,AH233,AF233)</f>
        <v>-2.2449125984181657E-3</v>
      </c>
      <c r="AL233" s="61"/>
      <c r="AM233" s="244">
        <f>AVERAGE(AK233,AJ233,AI233,AH233)</f>
        <v>-2.2416420841571906E-3</v>
      </c>
      <c r="AN233" s="244">
        <f>AVERAGE(AM233,AK233,AJ233,AI233)</f>
        <v>-2.2529076923336277E-3</v>
      </c>
      <c r="AO233" s="244">
        <f>AVERAGE(AN233,AM233,AK233,AJ233)</f>
        <v>-2.2506376857818859E-3</v>
      </c>
      <c r="AP233" s="244">
        <f>AVERAGE(AO233,AN233,AM233,AK233)</f>
        <v>-2.2475250151727175E-3</v>
      </c>
      <c r="AQ233" s="61"/>
    </row>
    <row r="234" spans="1:43" outlineLevel="1" x14ac:dyDescent="0.25">
      <c r="B234" s="709" t="s">
        <v>69</v>
      </c>
      <c r="C234" s="710"/>
      <c r="D234" s="193">
        <f>(D42+D237)/283-1</f>
        <v>1.4504067713041247E-2</v>
      </c>
      <c r="E234" s="193">
        <f>(E42+E237)/D42-1</f>
        <v>1.0499647953522429E-2</v>
      </c>
      <c r="F234" s="193">
        <f>(F42+F237)/E42-1</f>
        <v>-2.4734982332155209E-3</v>
      </c>
      <c r="G234" s="193">
        <f>(G42+G237)/F42-1</f>
        <v>-8.0274562818112294E-3</v>
      </c>
      <c r="H234" s="208"/>
      <c r="I234" s="193">
        <f>(I42+I237)/G42-1</f>
        <v>6.6391851917522171E-3</v>
      </c>
      <c r="J234" s="193">
        <f>(J42+J237)/I42-1</f>
        <v>4.6407487261377334E-3</v>
      </c>
      <c r="K234" s="193">
        <f>(K42+K237)/J42-1</f>
        <v>4.1781826664926136E-3</v>
      </c>
      <c r="L234" s="193">
        <f>(L42+L237)/K42-1</f>
        <v>5.6669083271001508E-3</v>
      </c>
      <c r="M234" s="208"/>
      <c r="N234" s="193">
        <f>(N42+N237)/L42-1</f>
        <v>2.5763709974235827E-3</v>
      </c>
      <c r="O234" s="193">
        <f>(O42+O237)/N42-1</f>
        <v>6.225305502846501E-3</v>
      </c>
      <c r="P234" s="193">
        <f>(P42+P237)/O42-1</f>
        <v>4.7883806021065123E-3</v>
      </c>
      <c r="Q234" s="193">
        <f>(Q42+Q237)/P42-1</f>
        <v>1.098901098900873E-3</v>
      </c>
      <c r="R234" s="61"/>
      <c r="S234" s="193">
        <f>(S42+S237)/Q42-1</f>
        <v>1.5254237288135908E-3</v>
      </c>
      <c r="T234" s="193">
        <f>(T42+T237)/S42-1</f>
        <v>1.0769162194956827E-4</v>
      </c>
      <c r="U234" s="193">
        <f>(U42+U237)/T42-1</f>
        <v>-8.9151651651649955E-3</v>
      </c>
      <c r="V234" s="244">
        <f>AVERAGE(U234,T234,S234,Q234)-0.560855909153889%</f>
        <v>-7.154346270414131E-3</v>
      </c>
      <c r="W234" s="61"/>
      <c r="X234" s="244">
        <f>AVERAGE(V234,U234,T234,S234)</f>
        <v>-3.6090990212039918E-3</v>
      </c>
      <c r="Y234" s="244">
        <f>AVERAGE(X234,V234,U234,T234)</f>
        <v>-4.8927297087083873E-3</v>
      </c>
      <c r="Z234" s="244">
        <f>AVERAGE(Y234,X234,V234,U234)</f>
        <v>-6.1428350413728766E-3</v>
      </c>
      <c r="AA234" s="244">
        <f>AVERAGE(Z234,Y234,X234,V234)</f>
        <v>-5.4497525104248469E-3</v>
      </c>
      <c r="AB234" s="61"/>
      <c r="AC234" s="244">
        <f>AVERAGE(AA234,Z234,Y234,X234)</f>
        <v>-5.023604070427525E-3</v>
      </c>
      <c r="AD234" s="244">
        <f>AVERAGE(AC234,AA234,Z234,Y234)</f>
        <v>-5.3772303327334087E-3</v>
      </c>
      <c r="AE234" s="244">
        <f>AVERAGE(AD234,AC234,AA234,Z234)</f>
        <v>-5.4983554887396641E-3</v>
      </c>
      <c r="AF234" s="244">
        <f>AVERAGE(AE234,AD234,AC234,AA234)</f>
        <v>-5.3372356005813616E-3</v>
      </c>
      <c r="AG234" s="61"/>
      <c r="AH234" s="244">
        <f>AVERAGE(AF234,AE234,AD234,AC234)</f>
        <v>-5.3091063731204903E-3</v>
      </c>
      <c r="AI234" s="244">
        <f>AVERAGE(AH234,AF234,AE234,AD234)</f>
        <v>-5.3804819487937305E-3</v>
      </c>
      <c r="AJ234" s="244">
        <f>AVERAGE(AI234,AH234,AF234,AE234)</f>
        <v>-5.3812948528088114E-3</v>
      </c>
      <c r="AK234" s="244">
        <f>AVERAGE(AJ234,AI234,AH234,AF234)</f>
        <v>-5.3520296938260985E-3</v>
      </c>
      <c r="AL234" s="61"/>
      <c r="AM234" s="244">
        <f>AVERAGE(AK234,AJ234,AI234,AH234)</f>
        <v>-5.3557282171372827E-3</v>
      </c>
      <c r="AN234" s="244">
        <f>AVERAGE(AM234,AK234,AJ234,AI234)</f>
        <v>-5.3673836781414803E-3</v>
      </c>
      <c r="AO234" s="244">
        <f>AVERAGE(AN234,AM234,AK234,AJ234)</f>
        <v>-5.3641091104784187E-3</v>
      </c>
      <c r="AP234" s="244">
        <f>AVERAGE(AO234,AN234,AM234,AK234)</f>
        <v>-5.35981267489582E-3</v>
      </c>
      <c r="AQ234" s="61"/>
    </row>
    <row r="235" spans="1:43" outlineLevel="1" x14ac:dyDescent="0.25">
      <c r="B235" s="709" t="s">
        <v>29</v>
      </c>
      <c r="C235" s="710"/>
      <c r="D235" s="256">
        <v>172</v>
      </c>
      <c r="E235" s="256">
        <v>151.76</v>
      </c>
      <c r="F235" s="256">
        <v>140.41999999999999</v>
      </c>
      <c r="G235" s="256">
        <f>+G236/G237</f>
        <v>156.12706154342965</v>
      </c>
      <c r="H235" s="269">
        <v>149.35</v>
      </c>
      <c r="I235" s="256">
        <v>160.18</v>
      </c>
      <c r="J235" s="256">
        <v>172.25</v>
      </c>
      <c r="K235" s="256">
        <v>187.34</v>
      </c>
      <c r="L235" s="256">
        <f>+L236/L237</f>
        <v>189.52244297504288</v>
      </c>
      <c r="M235" s="269">
        <v>172.13</v>
      </c>
      <c r="N235" s="256">
        <v>207.92</v>
      </c>
      <c r="O235" s="256">
        <v>220.67</v>
      </c>
      <c r="P235" s="256">
        <v>248.73</v>
      </c>
      <c r="Q235" s="256">
        <f>+Q236/Q237</f>
        <v>243.60789473684207</v>
      </c>
      <c r="R235" s="269">
        <v>237.45</v>
      </c>
      <c r="S235" s="256">
        <v>238.95</v>
      </c>
      <c r="T235" s="256">
        <v>228.35</v>
      </c>
      <c r="U235" s="256">
        <v>168.43</v>
      </c>
      <c r="V235" s="258">
        <f>+U235</f>
        <v>168.43</v>
      </c>
      <c r="W235" s="257"/>
      <c r="X235" s="258">
        <f>+V235</f>
        <v>168.43</v>
      </c>
      <c r="Y235" s="258">
        <f>+X235</f>
        <v>168.43</v>
      </c>
      <c r="Z235" s="258">
        <f>+Y235</f>
        <v>168.43</v>
      </c>
      <c r="AA235" s="258">
        <f>+Z235</f>
        <v>168.43</v>
      </c>
      <c r="AB235" s="257"/>
      <c r="AC235" s="258">
        <f>+AA235</f>
        <v>168.43</v>
      </c>
      <c r="AD235" s="258">
        <f>+AC235</f>
        <v>168.43</v>
      </c>
      <c r="AE235" s="258">
        <f>+AD235</f>
        <v>168.43</v>
      </c>
      <c r="AF235" s="258">
        <f>+AE235</f>
        <v>168.43</v>
      </c>
      <c r="AG235" s="257"/>
      <c r="AH235" s="258">
        <f>+AF235</f>
        <v>168.43</v>
      </c>
      <c r="AI235" s="258">
        <f>+AH235</f>
        <v>168.43</v>
      </c>
      <c r="AJ235" s="258">
        <f>+AI235</f>
        <v>168.43</v>
      </c>
      <c r="AK235" s="258">
        <f>+AJ235</f>
        <v>168.43</v>
      </c>
      <c r="AL235" s="257"/>
      <c r="AM235" s="258">
        <f>+AK235</f>
        <v>168.43</v>
      </c>
      <c r="AN235" s="258">
        <f>+AM235</f>
        <v>168.43</v>
      </c>
      <c r="AO235" s="258">
        <f>+AN235</f>
        <v>168.43</v>
      </c>
      <c r="AP235" s="258">
        <f>+AO235</f>
        <v>168.43</v>
      </c>
      <c r="AQ235" s="42"/>
    </row>
    <row r="236" spans="1:43" outlineLevel="1" x14ac:dyDescent="0.25">
      <c r="B236" s="709" t="s">
        <v>30</v>
      </c>
      <c r="C236" s="710"/>
      <c r="D236" s="100">
        <v>190</v>
      </c>
      <c r="E236" s="100">
        <v>911</v>
      </c>
      <c r="F236" s="100">
        <v>1025.0659999999998</v>
      </c>
      <c r="G236" s="100">
        <f>+H236-F236-E236-D236</f>
        <v>592.10399999999981</v>
      </c>
      <c r="H236" s="112">
        <f>+H235*H237</f>
        <v>2718.1699999999996</v>
      </c>
      <c r="I236" s="100">
        <v>222</v>
      </c>
      <c r="J236" s="100">
        <v>112</v>
      </c>
      <c r="K236" s="100">
        <v>24</v>
      </c>
      <c r="L236" s="100">
        <f>+M236-K236-J236-I236</f>
        <v>158.38999999999999</v>
      </c>
      <c r="M236" s="112">
        <f>+M235*M237</f>
        <v>516.39</v>
      </c>
      <c r="N236" s="100">
        <f>+N235*N237</f>
        <v>83.168000000000006</v>
      </c>
      <c r="O236" s="100">
        <f>+O235*O237</f>
        <v>176.536</v>
      </c>
      <c r="P236" s="100">
        <f>+P235*P237</f>
        <v>298.476</v>
      </c>
      <c r="Q236" s="100">
        <f>+R236-P236-O236-N236</f>
        <v>462.8549999999999</v>
      </c>
      <c r="R236" s="112">
        <f>+R235*R237</f>
        <v>1021.0349999999999</v>
      </c>
      <c r="S236" s="100">
        <f>+S235*S237</f>
        <v>624.61529999999993</v>
      </c>
      <c r="T236" s="100">
        <f>+T235*T237</f>
        <v>646</v>
      </c>
      <c r="U236" s="100">
        <v>93.478650000000016</v>
      </c>
      <c r="V236" s="242">
        <v>0</v>
      </c>
      <c r="W236" s="110">
        <f>+SUM(S236:V236)</f>
        <v>1364.0939499999999</v>
      </c>
      <c r="X236" s="242">
        <f>AVERAGE(V236,U236,T236,S236)</f>
        <v>341.02348749999999</v>
      </c>
      <c r="Y236" s="242">
        <f>AVERAGE(X236,V236,U236,T236)</f>
        <v>270.12553437500003</v>
      </c>
      <c r="Z236" s="242">
        <f>AVERAGE(Y236,X236,V236,U236)</f>
        <v>176.15691796875001</v>
      </c>
      <c r="AA236" s="242">
        <f>AVERAGE(Z236,Y236,X236,V236)</f>
        <v>196.82648496093751</v>
      </c>
      <c r="AB236" s="110">
        <f>+SUM(X236:AA236)</f>
        <v>984.1324248046875</v>
      </c>
      <c r="AC236" s="242">
        <f>AVERAGE(AA236,Z236,Y236,X236)</f>
        <v>246.03310620117188</v>
      </c>
      <c r="AD236" s="242">
        <f>AVERAGE(AC236,AA236,Z236,Y236)</f>
        <v>222.28551087646485</v>
      </c>
      <c r="AE236" s="242">
        <f>AVERAGE(AD236,AC236,AA236,Z236)</f>
        <v>210.32550500183106</v>
      </c>
      <c r="AF236" s="242">
        <f>AVERAGE(AE236,AD236,AC236,AA236)</f>
        <v>218.86765176010132</v>
      </c>
      <c r="AG236" s="110">
        <f>+SUM(AC236:AF236)</f>
        <v>897.51177383956917</v>
      </c>
      <c r="AH236" s="242">
        <f>AVERAGE(AF236,AE236,AD236,AC236)-75</f>
        <v>149.37794345989229</v>
      </c>
      <c r="AI236" s="242">
        <f>AVERAGE(AH236,AF236,AE236,AD236)-75</f>
        <v>125.2141527745724</v>
      </c>
      <c r="AJ236" s="242">
        <f>AVERAGE(AI236,AH236,AF236,AE236)-75</f>
        <v>100.94631324909926</v>
      </c>
      <c r="AK236" s="242">
        <f>AVERAGE(AJ236,AI236,AH236,AF236)-75</f>
        <v>73.601515310916312</v>
      </c>
      <c r="AL236" s="110">
        <f>+SUM(AH236:AK236)</f>
        <v>449.13992479448029</v>
      </c>
      <c r="AM236" s="242">
        <f>AVERAGE(AK236,AJ236,AI236,AH236)-75</f>
        <v>37.284981198620073</v>
      </c>
      <c r="AN236" s="242">
        <f>AVERAGE(AM236,AK236,AJ236,AI236)-75</f>
        <v>9.2617406333020114</v>
      </c>
      <c r="AO236" s="242">
        <f>AVERAGE(AN236,AM236,AK236,AJ236)-75</f>
        <v>-19.726362402015582</v>
      </c>
      <c r="AP236" s="242">
        <f>AVERAGE(AO236,AN236,AM236,AK236)-75</f>
        <v>-49.894531314794293</v>
      </c>
      <c r="AQ236" s="110">
        <f>+SUM(AM236:AP236)</f>
        <v>-23.074171884887789</v>
      </c>
    </row>
    <row r="237" spans="1:43" outlineLevel="1" x14ac:dyDescent="0.25">
      <c r="B237" s="711" t="s">
        <v>77</v>
      </c>
      <c r="C237" s="712"/>
      <c r="D237" s="270">
        <f>IF((D236)&gt;0,(D236/D235),0)</f>
        <v>1.1046511627906976</v>
      </c>
      <c r="E237" s="270">
        <f>IF((E236)&gt;0,(E236/E235),0)</f>
        <v>6.0028993147074328</v>
      </c>
      <c r="F237" s="270">
        <f>IF((F236)&gt;0,(F236/F235),0)</f>
        <v>7.2999999999999989</v>
      </c>
      <c r="G237" s="270">
        <f>+H237-F237-E237-D237</f>
        <v>3.7924495225018697</v>
      </c>
      <c r="H237" s="271">
        <v>18.2</v>
      </c>
      <c r="I237" s="270">
        <f>IF((I236)&gt;0,(I236/I235),0)</f>
        <v>1.3859408165813458</v>
      </c>
      <c r="J237" s="270">
        <f>IF((J236)&gt;0,(J236/J235),0)</f>
        <v>0.65021770682148039</v>
      </c>
      <c r="K237" s="270">
        <f>IF((K236)&gt;0,(K236/K235),0)</f>
        <v>0.12810931995302657</v>
      </c>
      <c r="L237" s="270">
        <f>+M237-K237-J237-I237</f>
        <v>0.83573215664414713</v>
      </c>
      <c r="M237" s="271">
        <v>3</v>
      </c>
      <c r="N237" s="270">
        <v>0.4</v>
      </c>
      <c r="O237" s="270">
        <v>0.8</v>
      </c>
      <c r="P237" s="270">
        <v>1.2</v>
      </c>
      <c r="Q237" s="270">
        <f>+R237-P237-O237-N237</f>
        <v>1.9</v>
      </c>
      <c r="R237" s="271">
        <v>4.3</v>
      </c>
      <c r="S237" s="270">
        <v>2.6139999999999999</v>
      </c>
      <c r="T237" s="270">
        <v>2.8289905846288592</v>
      </c>
      <c r="U237" s="270">
        <f>IF((U236)&gt;0,(U236/U235),0)</f>
        <v>0.55500000000000005</v>
      </c>
      <c r="V237" s="270">
        <f>IF((V236)&gt;0,(V236/V235),0)</f>
        <v>0</v>
      </c>
      <c r="W237" s="487">
        <f>+SUM(S237:V237)</f>
        <v>5.9979905846288588</v>
      </c>
      <c r="X237" s="270">
        <f>IF((X236)&gt;0,(X236/X235),0)</f>
        <v>2.0247193938134536</v>
      </c>
      <c r="Y237" s="270">
        <f>IF((Y236)&gt;0,(Y236/Y235),0)</f>
        <v>1.6037851592649766</v>
      </c>
      <c r="Z237" s="270">
        <f>IF((Z236)&gt;0,(Z236/Z235),0)</f>
        <v>1.0458761382696076</v>
      </c>
      <c r="AA237" s="270">
        <f>IF((AA236)&gt;0,(AA236/AA235),0)</f>
        <v>1.1685951728370094</v>
      </c>
      <c r="AB237" s="487">
        <f>+SUM(X237:AA237)</f>
        <v>5.8429758641850471</v>
      </c>
      <c r="AC237" s="270">
        <f>IF((AC236)&gt;0,(AC236/AC235),0)</f>
        <v>1.4607439660462618</v>
      </c>
      <c r="AD237" s="270">
        <f>IF((AD236)&gt;0,(AD236/AD235),0)</f>
        <v>1.3197501091044639</v>
      </c>
      <c r="AE237" s="270">
        <f>IF((AE236)&gt;0,(AE236/AE235),0)</f>
        <v>1.2487413465643356</v>
      </c>
      <c r="AF237" s="270">
        <f>IF((AF236)&gt;0,(AF236/AF235),0)</f>
        <v>1.2994576486380176</v>
      </c>
      <c r="AG237" s="487">
        <f>+SUM(AC237:AF237)</f>
        <v>5.3286930703530784</v>
      </c>
      <c r="AH237" s="270">
        <f>IF((AH236)&gt;0,(AH236/AH235),0)</f>
        <v>0.88688442355810893</v>
      </c>
      <c r="AI237" s="270">
        <f>IF((AI236)&gt;0,(AI236/AI235),0)</f>
        <v>0.74341953793607074</v>
      </c>
      <c r="AJ237" s="270">
        <f>IF((AJ236)&gt;0,(AJ236/AJ235),0)</f>
        <v>0.59933689514397237</v>
      </c>
      <c r="AK237" s="270">
        <f>IF((AK236)&gt;0,(AK236/AK235),0)</f>
        <v>0.43698578228888146</v>
      </c>
      <c r="AL237" s="487">
        <f>+SUM(AH237:AK237)</f>
        <v>2.6666266389270339</v>
      </c>
      <c r="AM237" s="270">
        <f>IF((AM236)&gt;0,(AM236/AM235),0)</f>
        <v>0.22136781570159753</v>
      </c>
      <c r="AN237" s="270">
        <f>IF((AN236)&gt;0,(AN236/AN235),0)</f>
        <v>5.4988663737469634E-2</v>
      </c>
      <c r="AO237" s="270">
        <f>IF((AO236)&gt;0,(AO236/AO235),0)</f>
        <v>0</v>
      </c>
      <c r="AP237" s="270">
        <f>IF((AP236)&gt;0,(AP236/AP235),0)</f>
        <v>0</v>
      </c>
      <c r="AQ237" s="487">
        <f>+SUM(AM237:AP237)</f>
        <v>0.27635647943906716</v>
      </c>
    </row>
    <row r="238" spans="1:43" ht="15.75" x14ac:dyDescent="0.25">
      <c r="A238" s="53"/>
      <c r="B238" s="713" t="s">
        <v>347</v>
      </c>
      <c r="C238" s="714"/>
      <c r="D238" s="90" t="s">
        <v>71</v>
      </c>
      <c r="E238" s="90" t="s">
        <v>74</v>
      </c>
      <c r="F238" s="90" t="s">
        <v>75</v>
      </c>
      <c r="G238" s="90" t="s">
        <v>78</v>
      </c>
      <c r="H238" s="400" t="s">
        <v>79</v>
      </c>
      <c r="I238" s="90" t="s">
        <v>80</v>
      </c>
      <c r="J238" s="90" t="s">
        <v>91</v>
      </c>
      <c r="K238" s="90" t="s">
        <v>109</v>
      </c>
      <c r="L238" s="90" t="s">
        <v>113</v>
      </c>
      <c r="M238" s="400" t="s">
        <v>114</v>
      </c>
      <c r="N238" s="90" t="s">
        <v>115</v>
      </c>
      <c r="O238" s="90" t="s">
        <v>116</v>
      </c>
      <c r="P238" s="90" t="s">
        <v>117</v>
      </c>
      <c r="Q238" s="90" t="s">
        <v>118</v>
      </c>
      <c r="R238" s="400" t="s">
        <v>119</v>
      </c>
      <c r="S238" s="90" t="s">
        <v>507</v>
      </c>
      <c r="T238" s="90" t="s">
        <v>749</v>
      </c>
      <c r="U238" s="90" t="s">
        <v>769</v>
      </c>
      <c r="V238" s="92" t="s">
        <v>378</v>
      </c>
      <c r="W238" s="404" t="s">
        <v>379</v>
      </c>
      <c r="X238" s="92" t="s">
        <v>380</v>
      </c>
      <c r="Y238" s="92" t="s">
        <v>381</v>
      </c>
      <c r="Z238" s="92" t="s">
        <v>382</v>
      </c>
      <c r="AA238" s="92" t="s">
        <v>383</v>
      </c>
      <c r="AB238" s="404" t="s">
        <v>384</v>
      </c>
      <c r="AC238" s="92" t="s">
        <v>385</v>
      </c>
      <c r="AD238" s="92" t="s">
        <v>386</v>
      </c>
      <c r="AE238" s="92" t="s">
        <v>387</v>
      </c>
      <c r="AF238" s="92" t="s">
        <v>388</v>
      </c>
      <c r="AG238" s="404" t="s">
        <v>389</v>
      </c>
      <c r="AH238" s="92" t="s">
        <v>390</v>
      </c>
      <c r="AI238" s="92" t="s">
        <v>391</v>
      </c>
      <c r="AJ238" s="92" t="s">
        <v>392</v>
      </c>
      <c r="AK238" s="92" t="s">
        <v>393</v>
      </c>
      <c r="AL238" s="404" t="s">
        <v>394</v>
      </c>
      <c r="AM238" s="92" t="s">
        <v>395</v>
      </c>
      <c r="AN238" s="92" t="s">
        <v>396</v>
      </c>
      <c r="AO238" s="92" t="s">
        <v>397</v>
      </c>
      <c r="AP238" s="92" t="s">
        <v>398</v>
      </c>
      <c r="AQ238" s="404" t="s">
        <v>399</v>
      </c>
    </row>
    <row r="239" spans="1:43" outlineLevel="1" x14ac:dyDescent="0.25">
      <c r="A239" s="53"/>
      <c r="B239" s="709" t="s">
        <v>348</v>
      </c>
      <c r="C239" s="710"/>
      <c r="D239" s="100"/>
      <c r="E239" s="100"/>
      <c r="F239" s="100"/>
      <c r="G239" s="100"/>
      <c r="H239" s="112"/>
      <c r="I239" s="100"/>
      <c r="J239" s="100"/>
      <c r="K239" s="100"/>
      <c r="L239" s="100">
        <v>0</v>
      </c>
      <c r="M239" s="112">
        <v>0</v>
      </c>
      <c r="N239" s="100">
        <v>0</v>
      </c>
      <c r="O239" s="100">
        <v>0</v>
      </c>
      <c r="P239" s="100">
        <v>0</v>
      </c>
      <c r="Q239" s="100">
        <v>380</v>
      </c>
      <c r="R239" s="112">
        <v>380</v>
      </c>
      <c r="S239" s="100">
        <v>0</v>
      </c>
      <c r="T239" s="100">
        <v>0</v>
      </c>
      <c r="U239" s="100">
        <v>0</v>
      </c>
      <c r="V239" s="242">
        <v>0</v>
      </c>
      <c r="W239" s="112">
        <f t="shared" ref="W239:W253" si="126">SUM(S239:V239)</f>
        <v>0</v>
      </c>
      <c r="X239" s="242">
        <v>0</v>
      </c>
      <c r="Y239" s="242">
        <v>0</v>
      </c>
      <c r="Z239" s="242">
        <v>0</v>
      </c>
      <c r="AA239" s="242">
        <v>0</v>
      </c>
      <c r="AB239" s="112">
        <f t="shared" ref="AB239:AB253" si="127">SUM(X239:AA239)</f>
        <v>0</v>
      </c>
      <c r="AC239" s="242">
        <v>0</v>
      </c>
      <c r="AD239" s="242">
        <v>0</v>
      </c>
      <c r="AE239" s="242">
        <v>0</v>
      </c>
      <c r="AF239" s="242">
        <v>0</v>
      </c>
      <c r="AG239" s="112">
        <f t="shared" ref="AG239:AG253" si="128">SUM(AC239:AF239)</f>
        <v>0</v>
      </c>
      <c r="AH239" s="242">
        <v>0</v>
      </c>
      <c r="AI239" s="242">
        <v>0</v>
      </c>
      <c r="AJ239" s="242">
        <v>0</v>
      </c>
      <c r="AK239" s="242">
        <v>0</v>
      </c>
      <c r="AL239" s="112">
        <f t="shared" ref="AL239:AL253" si="129">SUM(AH239:AK239)</f>
        <v>0</v>
      </c>
      <c r="AM239" s="242">
        <v>0</v>
      </c>
      <c r="AN239" s="242">
        <v>0</v>
      </c>
      <c r="AO239" s="242">
        <v>0</v>
      </c>
      <c r="AP239" s="242">
        <v>0</v>
      </c>
      <c r="AQ239" s="112">
        <f t="shared" ref="AQ239:AQ253" si="130">SUM(AM239:AP239)</f>
        <v>0</v>
      </c>
    </row>
    <row r="240" spans="1:43" outlineLevel="1" x14ac:dyDescent="0.25">
      <c r="A240" s="53"/>
      <c r="B240" s="709" t="s">
        <v>349</v>
      </c>
      <c r="C240" s="710"/>
      <c r="D240" s="100"/>
      <c r="E240" s="100"/>
      <c r="F240" s="100"/>
      <c r="G240" s="100"/>
      <c r="H240" s="112"/>
      <c r="I240" s="100"/>
      <c r="J240" s="100"/>
      <c r="K240" s="100"/>
      <c r="L240" s="100">
        <v>0</v>
      </c>
      <c r="M240" s="112">
        <v>0</v>
      </c>
      <c r="N240" s="100">
        <v>0</v>
      </c>
      <c r="O240" s="100">
        <v>0</v>
      </c>
      <c r="P240" s="100">
        <v>0</v>
      </c>
      <c r="Q240" s="100">
        <v>1</v>
      </c>
      <c r="R240" s="112">
        <v>1</v>
      </c>
      <c r="S240" s="100">
        <v>0</v>
      </c>
      <c r="T240" s="100">
        <f>+T239*T229</f>
        <v>0</v>
      </c>
      <c r="U240" s="100">
        <f>+U239*U229</f>
        <v>0</v>
      </c>
      <c r="V240" s="100">
        <f>+V239*V229</f>
        <v>0</v>
      </c>
      <c r="W240" s="112">
        <f t="shared" si="126"/>
        <v>0</v>
      </c>
      <c r="X240" s="100">
        <f>+X239*X229</f>
        <v>0</v>
      </c>
      <c r="Y240" s="100">
        <f>+Y239*Y229</f>
        <v>0</v>
      </c>
      <c r="Z240" s="100">
        <f>+Z239*Z229</f>
        <v>0</v>
      </c>
      <c r="AA240" s="100">
        <f>+AA239*AA229</f>
        <v>0</v>
      </c>
      <c r="AB240" s="112">
        <f t="shared" si="127"/>
        <v>0</v>
      </c>
      <c r="AC240" s="100">
        <f>+AC239*AC229</f>
        <v>0</v>
      </c>
      <c r="AD240" s="100">
        <f>+AD239*AD229</f>
        <v>0</v>
      </c>
      <c r="AE240" s="100">
        <f>+AE239*AE229</f>
        <v>0</v>
      </c>
      <c r="AF240" s="100">
        <f>+AF239*AF229</f>
        <v>0</v>
      </c>
      <c r="AG240" s="112">
        <f t="shared" si="128"/>
        <v>0</v>
      </c>
      <c r="AH240" s="100">
        <f>+AH239*AH229</f>
        <v>0</v>
      </c>
      <c r="AI240" s="100">
        <f>+AI239*AI229</f>
        <v>0</v>
      </c>
      <c r="AJ240" s="100">
        <f>+AJ239*AJ229</f>
        <v>0</v>
      </c>
      <c r="AK240" s="100">
        <f>+AK239*AK229</f>
        <v>0</v>
      </c>
      <c r="AL240" s="112">
        <f t="shared" si="129"/>
        <v>0</v>
      </c>
      <c r="AM240" s="100">
        <f>+AM239*AM229</f>
        <v>0</v>
      </c>
      <c r="AN240" s="100">
        <f>+AN239*AN229</f>
        <v>0</v>
      </c>
      <c r="AO240" s="100">
        <f>+AO239*AO229</f>
        <v>0</v>
      </c>
      <c r="AP240" s="100">
        <f>+AP239*AP229</f>
        <v>0</v>
      </c>
      <c r="AQ240" s="112">
        <f t="shared" si="130"/>
        <v>0</v>
      </c>
    </row>
    <row r="241" spans="1:43" outlineLevel="1" x14ac:dyDescent="0.25">
      <c r="A241" s="53"/>
      <c r="B241" s="289" t="s">
        <v>751</v>
      </c>
      <c r="C241" s="290"/>
      <c r="D241" s="100"/>
      <c r="E241" s="100"/>
      <c r="F241" s="100"/>
      <c r="G241" s="100"/>
      <c r="H241" s="112"/>
      <c r="I241" s="100">
        <v>67.5</v>
      </c>
      <c r="J241" s="100">
        <v>57.5</v>
      </c>
      <c r="K241" s="100">
        <v>78</v>
      </c>
      <c r="L241" s="100">
        <v>124</v>
      </c>
      <c r="M241" s="112">
        <v>327</v>
      </c>
      <c r="N241" s="100">
        <v>112</v>
      </c>
      <c r="O241" s="100">
        <v>122</v>
      </c>
      <c r="P241" s="100">
        <v>106</v>
      </c>
      <c r="Q241" s="100">
        <v>136</v>
      </c>
      <c r="R241" s="112">
        <v>477</v>
      </c>
      <c r="S241" s="100">
        <v>121</v>
      </c>
      <c r="T241" s="100">
        <v>114</v>
      </c>
      <c r="U241" s="100">
        <v>69</v>
      </c>
      <c r="V241" s="242">
        <v>131</v>
      </c>
      <c r="W241" s="422">
        <f t="shared" si="126"/>
        <v>435</v>
      </c>
      <c r="X241" s="242">
        <v>68.75</v>
      </c>
      <c r="Y241" s="242">
        <v>68.75</v>
      </c>
      <c r="Z241" s="242">
        <v>68.75</v>
      </c>
      <c r="AA241" s="242">
        <v>68.75</v>
      </c>
      <c r="AB241" s="112">
        <f t="shared" si="127"/>
        <v>275</v>
      </c>
      <c r="AC241" s="242">
        <v>50</v>
      </c>
      <c r="AD241" s="242">
        <v>50</v>
      </c>
      <c r="AE241" s="242">
        <v>10</v>
      </c>
      <c r="AF241" s="242">
        <v>0</v>
      </c>
      <c r="AG241" s="112">
        <f t="shared" si="128"/>
        <v>110</v>
      </c>
      <c r="AH241" s="242">
        <v>0</v>
      </c>
      <c r="AI241" s="242">
        <v>0</v>
      </c>
      <c r="AJ241" s="242">
        <v>0</v>
      </c>
      <c r="AK241" s="242">
        <v>0</v>
      </c>
      <c r="AL241" s="112">
        <f t="shared" si="129"/>
        <v>0</v>
      </c>
      <c r="AM241" s="242">
        <v>0</v>
      </c>
      <c r="AN241" s="242">
        <v>0</v>
      </c>
      <c r="AO241" s="242">
        <v>0</v>
      </c>
      <c r="AP241" s="242">
        <v>0</v>
      </c>
      <c r="AQ241" s="112">
        <f t="shared" si="130"/>
        <v>0</v>
      </c>
    </row>
    <row r="242" spans="1:43" outlineLevel="1" x14ac:dyDescent="0.25">
      <c r="A242" s="53"/>
      <c r="B242" s="295" t="s">
        <v>782</v>
      </c>
      <c r="C242" s="692"/>
      <c r="D242" s="100"/>
      <c r="E242" s="100"/>
      <c r="F242" s="100"/>
      <c r="G242" s="100"/>
      <c r="H242" s="112"/>
      <c r="I242" s="100">
        <f>+I241</f>
        <v>67.5</v>
      </c>
      <c r="J242" s="100">
        <f>+J241+I242</f>
        <v>125</v>
      </c>
      <c r="K242" s="100">
        <f t="shared" ref="K242:L242" si="131">+K241+J242</f>
        <v>203</v>
      </c>
      <c r="L242" s="100">
        <f t="shared" si="131"/>
        <v>327</v>
      </c>
      <c r="M242" s="112"/>
      <c r="N242" s="100">
        <f>L242+N241</f>
        <v>439</v>
      </c>
      <c r="O242" s="100">
        <f>+O241+N242</f>
        <v>561</v>
      </c>
      <c r="P242" s="100">
        <f t="shared" ref="P242" si="132">+P241+O242</f>
        <v>667</v>
      </c>
      <c r="Q242" s="100">
        <f t="shared" ref="Q242" si="133">+Q241+P242</f>
        <v>803</v>
      </c>
      <c r="R242" s="112"/>
      <c r="S242" s="100">
        <f>Q242+S241</f>
        <v>924</v>
      </c>
      <c r="T242" s="100">
        <f>+T241+S242</f>
        <v>1038</v>
      </c>
      <c r="U242" s="100">
        <f t="shared" ref="U242" si="134">+U241+T242</f>
        <v>1107</v>
      </c>
      <c r="V242" s="100">
        <f t="shared" ref="V242" si="135">+V241+U242</f>
        <v>1238</v>
      </c>
      <c r="W242" s="112"/>
      <c r="X242" s="100">
        <f>V242+X241</f>
        <v>1306.75</v>
      </c>
      <c r="Y242" s="100">
        <f>+Y241+X242</f>
        <v>1375.5</v>
      </c>
      <c r="Z242" s="100">
        <f t="shared" ref="Z242" si="136">+Z241+Y242</f>
        <v>1444.25</v>
      </c>
      <c r="AA242" s="100">
        <f t="shared" ref="AA242" si="137">+AA241+Z242</f>
        <v>1513</v>
      </c>
      <c r="AB242" s="112"/>
      <c r="AC242" s="100">
        <f>AA242+AC241</f>
        <v>1563</v>
      </c>
      <c r="AD242" s="100">
        <f>+AD241+AC242</f>
        <v>1613</v>
      </c>
      <c r="AE242" s="100">
        <f t="shared" ref="AE242" si="138">+AE241+AD242</f>
        <v>1623</v>
      </c>
      <c r="AF242" s="705">
        <f t="shared" ref="AF242" si="139">+AF241+AE242</f>
        <v>1623</v>
      </c>
      <c r="AG242" s="112"/>
      <c r="AH242" s="242"/>
      <c r="AI242" s="242"/>
      <c r="AJ242" s="242"/>
      <c r="AK242" s="242"/>
      <c r="AL242" s="112"/>
      <c r="AM242" s="242"/>
      <c r="AN242" s="242"/>
      <c r="AO242" s="242"/>
      <c r="AP242" s="242"/>
      <c r="AQ242" s="112"/>
    </row>
    <row r="243" spans="1:43" s="662" customFormat="1" outlineLevel="1" x14ac:dyDescent="0.25">
      <c r="A243" s="695"/>
      <c r="B243" s="663" t="s">
        <v>752</v>
      </c>
      <c r="C243" s="664"/>
      <c r="D243" s="665"/>
      <c r="E243" s="665"/>
      <c r="F243" s="665"/>
      <c r="G243" s="665"/>
      <c r="H243" s="666"/>
      <c r="I243" s="665">
        <v>68</v>
      </c>
      <c r="J243" s="665">
        <v>58</v>
      </c>
      <c r="K243" s="665">
        <v>78</v>
      </c>
      <c r="L243" s="665">
        <v>83</v>
      </c>
      <c r="M243" s="666">
        <f>117+89+74</f>
        <v>280</v>
      </c>
      <c r="N243" s="665">
        <v>88</v>
      </c>
      <c r="O243" s="665">
        <v>96</v>
      </c>
      <c r="P243" s="665">
        <v>86</v>
      </c>
      <c r="Q243" s="665">
        <v>110</v>
      </c>
      <c r="R243" s="666">
        <f>+SUM(N243:Q243)</f>
        <v>380</v>
      </c>
      <c r="S243" s="665">
        <v>102</v>
      </c>
      <c r="T243" s="665">
        <v>99</v>
      </c>
      <c r="U243" s="665">
        <v>56</v>
      </c>
      <c r="V243" s="667">
        <f t="shared" ref="V243:AA243" si="140">0.85*V241</f>
        <v>111.35</v>
      </c>
      <c r="W243" s="666">
        <f>+SUM(S243:V243)</f>
        <v>368.35</v>
      </c>
      <c r="X243" s="667">
        <f t="shared" si="140"/>
        <v>58.4375</v>
      </c>
      <c r="Y243" s="667">
        <f t="shared" si="140"/>
        <v>58.4375</v>
      </c>
      <c r="Z243" s="667">
        <f t="shared" si="140"/>
        <v>58.4375</v>
      </c>
      <c r="AA243" s="667">
        <f t="shared" si="140"/>
        <v>58.4375</v>
      </c>
      <c r="AB243" s="666">
        <f>+SUM(X243:AA243)</f>
        <v>233.75</v>
      </c>
      <c r="AC243" s="667">
        <f t="shared" ref="AC243" si="141">0.85*AC241</f>
        <v>42.5</v>
      </c>
      <c r="AD243" s="667">
        <f t="shared" ref="AD243" si="142">0.85*AD241</f>
        <v>42.5</v>
      </c>
      <c r="AE243" s="667">
        <f t="shared" ref="AE243" si="143">0.85*AE241</f>
        <v>8.5</v>
      </c>
      <c r="AF243" s="667">
        <f t="shared" ref="AF243" si="144">0.85*AF241</f>
        <v>0</v>
      </c>
      <c r="AG243" s="666">
        <f>+SUM(AC243:AF243)</f>
        <v>93.5</v>
      </c>
      <c r="AH243" s="667">
        <f t="shared" ref="AH243" si="145">0.85*AH241</f>
        <v>0</v>
      </c>
      <c r="AI243" s="667">
        <f t="shared" ref="AI243" si="146">0.85*AI241</f>
        <v>0</v>
      </c>
      <c r="AJ243" s="667">
        <f t="shared" ref="AJ243" si="147">0.85*AJ241</f>
        <v>0</v>
      </c>
      <c r="AK243" s="667">
        <f t="shared" ref="AK243" si="148">0.85*AK241</f>
        <v>0</v>
      </c>
      <c r="AL243" s="666">
        <f>+SUM(AH243:AK243)</f>
        <v>0</v>
      </c>
      <c r="AM243" s="667">
        <f t="shared" ref="AM243" si="149">0.85*AM241</f>
        <v>0</v>
      </c>
      <c r="AN243" s="667">
        <f t="shared" ref="AN243" si="150">0.85*AN241</f>
        <v>0</v>
      </c>
      <c r="AO243" s="667">
        <f t="shared" ref="AO243" si="151">0.85*AO241</f>
        <v>0</v>
      </c>
      <c r="AP243" s="667">
        <f t="shared" ref="AP243" si="152">0.85*AP241</f>
        <v>0</v>
      </c>
      <c r="AQ243" s="666">
        <f>+SUM(AM243:AP243)</f>
        <v>0</v>
      </c>
    </row>
    <row r="244" spans="1:43" outlineLevel="1" x14ac:dyDescent="0.25">
      <c r="A244" s="53"/>
      <c r="B244" s="289" t="s">
        <v>350</v>
      </c>
      <c r="C244" s="290"/>
      <c r="D244" s="100"/>
      <c r="E244" s="100"/>
      <c r="F244" s="100"/>
      <c r="G244" s="100"/>
      <c r="H244" s="112"/>
      <c r="I244" s="100">
        <v>22.5</v>
      </c>
      <c r="J244" s="100">
        <v>7.5</v>
      </c>
      <c r="K244" s="100">
        <v>15</v>
      </c>
      <c r="L244" s="100">
        <v>37</v>
      </c>
      <c r="M244" s="112">
        <v>82</v>
      </c>
      <c r="N244" s="100">
        <v>30</v>
      </c>
      <c r="O244" s="100">
        <v>31</v>
      </c>
      <c r="P244" s="100">
        <v>14</v>
      </c>
      <c r="Q244" s="100">
        <v>30</v>
      </c>
      <c r="R244" s="112">
        <v>105</v>
      </c>
      <c r="S244" s="100">
        <v>23.4</v>
      </c>
      <c r="T244" s="100">
        <v>24</v>
      </c>
      <c r="U244" s="100">
        <v>14</v>
      </c>
      <c r="V244" s="100">
        <v>23.5</v>
      </c>
      <c r="W244" s="422">
        <f t="shared" si="126"/>
        <v>84.9</v>
      </c>
      <c r="X244" s="100">
        <f>+X241*X229</f>
        <v>17.1875</v>
      </c>
      <c r="Y244" s="100">
        <f>+Y241*Y229</f>
        <v>17.1875</v>
      </c>
      <c r="Z244" s="100">
        <f>+Z241*Z229</f>
        <v>17.1875</v>
      </c>
      <c r="AA244" s="100">
        <f>+AA241*AA229</f>
        <v>17.1875</v>
      </c>
      <c r="AB244" s="112">
        <f t="shared" si="127"/>
        <v>68.75</v>
      </c>
      <c r="AC244" s="100">
        <f>+AC241*AC229</f>
        <v>12.5</v>
      </c>
      <c r="AD244" s="100">
        <f>+AD241*AD229</f>
        <v>12.5</v>
      </c>
      <c r="AE244" s="100">
        <f>+AE241*AE229</f>
        <v>2.5</v>
      </c>
      <c r="AF244" s="100">
        <f>+AF241*AF229</f>
        <v>0</v>
      </c>
      <c r="AG244" s="112">
        <f t="shared" si="128"/>
        <v>27.5</v>
      </c>
      <c r="AH244" s="100">
        <f>+AH241*AH229</f>
        <v>0</v>
      </c>
      <c r="AI244" s="100">
        <f>+AI241*AI229</f>
        <v>0</v>
      </c>
      <c r="AJ244" s="100">
        <f>+AJ241*AJ229</f>
        <v>0</v>
      </c>
      <c r="AK244" s="100">
        <f>+AK241*AK229</f>
        <v>0</v>
      </c>
      <c r="AL244" s="112">
        <f t="shared" si="129"/>
        <v>0</v>
      </c>
      <c r="AM244" s="100">
        <f>+AM241*AM229</f>
        <v>0</v>
      </c>
      <c r="AN244" s="100">
        <f>+AN241*AN229</f>
        <v>0</v>
      </c>
      <c r="AO244" s="100">
        <f>+AO241*AO229</f>
        <v>0</v>
      </c>
      <c r="AP244" s="100">
        <f>+AP241*AP229</f>
        <v>0</v>
      </c>
      <c r="AQ244" s="112">
        <f t="shared" si="130"/>
        <v>0</v>
      </c>
    </row>
    <row r="245" spans="1:43" outlineLevel="1" x14ac:dyDescent="0.25">
      <c r="A245" s="53"/>
      <c r="B245" s="289" t="s">
        <v>354</v>
      </c>
      <c r="C245" s="290"/>
      <c r="D245" s="100"/>
      <c r="E245" s="100"/>
      <c r="F245" s="100"/>
      <c r="G245" s="100"/>
      <c r="H245" s="112"/>
      <c r="I245" s="100"/>
      <c r="J245" s="100"/>
      <c r="K245" s="100"/>
      <c r="L245" s="100">
        <f>39+22</f>
        <v>61</v>
      </c>
      <c r="M245" s="112">
        <f>39+22</f>
        <v>61</v>
      </c>
      <c r="N245" s="100">
        <v>7</v>
      </c>
      <c r="O245" s="100">
        <v>0</v>
      </c>
      <c r="P245" s="100">
        <v>0</v>
      </c>
      <c r="Q245" s="100">
        <v>1</v>
      </c>
      <c r="R245" s="112">
        <v>8</v>
      </c>
      <c r="S245" s="100">
        <v>0</v>
      </c>
      <c r="T245" s="100">
        <v>46</v>
      </c>
      <c r="U245" s="100">
        <v>0</v>
      </c>
      <c r="V245" s="242">
        <v>0</v>
      </c>
      <c r="W245" s="422">
        <f t="shared" si="126"/>
        <v>46</v>
      </c>
      <c r="X245" s="242">
        <v>0</v>
      </c>
      <c r="Y245" s="242">
        <v>0</v>
      </c>
      <c r="Z245" s="242">
        <v>0</v>
      </c>
      <c r="AA245" s="242">
        <v>0</v>
      </c>
      <c r="AB245" s="112">
        <f t="shared" si="127"/>
        <v>0</v>
      </c>
      <c r="AC245" s="242">
        <v>0</v>
      </c>
      <c r="AD245" s="242">
        <v>0</v>
      </c>
      <c r="AE245" s="242">
        <v>0</v>
      </c>
      <c r="AF245" s="242">
        <v>0</v>
      </c>
      <c r="AG245" s="112">
        <f t="shared" si="128"/>
        <v>0</v>
      </c>
      <c r="AH245" s="242">
        <v>0</v>
      </c>
      <c r="AI245" s="242">
        <v>0</v>
      </c>
      <c r="AJ245" s="242">
        <v>0</v>
      </c>
      <c r="AK245" s="242">
        <v>0</v>
      </c>
      <c r="AL245" s="112">
        <f t="shared" si="129"/>
        <v>0</v>
      </c>
      <c r="AM245" s="242">
        <v>0</v>
      </c>
      <c r="AN245" s="242">
        <v>0</v>
      </c>
      <c r="AO245" s="242">
        <v>0</v>
      </c>
      <c r="AP245" s="242">
        <v>0</v>
      </c>
      <c r="AQ245" s="112">
        <f t="shared" si="130"/>
        <v>0</v>
      </c>
    </row>
    <row r="246" spans="1:43" outlineLevel="1" x14ac:dyDescent="0.25">
      <c r="A246" s="53"/>
      <c r="B246" s="289" t="s">
        <v>355</v>
      </c>
      <c r="C246" s="290"/>
      <c r="D246" s="100"/>
      <c r="E246" s="100"/>
      <c r="F246" s="100"/>
      <c r="G246" s="100"/>
      <c r="H246" s="112"/>
      <c r="I246" s="100"/>
      <c r="J246" s="100"/>
      <c r="K246" s="100"/>
      <c r="L246" s="100">
        <f>15+9</f>
        <v>24</v>
      </c>
      <c r="M246" s="112">
        <f>15+9</f>
        <v>24</v>
      </c>
      <c r="N246" s="100">
        <v>2</v>
      </c>
      <c r="O246" s="100">
        <v>0</v>
      </c>
      <c r="P246" s="100">
        <v>0</v>
      </c>
      <c r="Q246" s="100">
        <v>-0.5</v>
      </c>
      <c r="R246" s="112">
        <v>2</v>
      </c>
      <c r="S246" s="100">
        <v>0</v>
      </c>
      <c r="T246" s="100">
        <v>0</v>
      </c>
      <c r="U246" s="100">
        <v>0</v>
      </c>
      <c r="V246" s="100">
        <f>+V245*V229</f>
        <v>0</v>
      </c>
      <c r="W246" s="112">
        <f t="shared" si="126"/>
        <v>0</v>
      </c>
      <c r="X246" s="100">
        <f>+X245*X229</f>
        <v>0</v>
      </c>
      <c r="Y246" s="100">
        <f>+Y245*Y229</f>
        <v>0</v>
      </c>
      <c r="Z246" s="100">
        <f>+Z245*Z229</f>
        <v>0</v>
      </c>
      <c r="AA246" s="100">
        <f>+AA245*AA229</f>
        <v>0</v>
      </c>
      <c r="AB246" s="112">
        <f t="shared" si="127"/>
        <v>0</v>
      </c>
      <c r="AC246" s="100">
        <f>+AC245*AC229</f>
        <v>0</v>
      </c>
      <c r="AD246" s="100">
        <f>+AD245*AD229</f>
        <v>0</v>
      </c>
      <c r="AE246" s="100">
        <f>+AE245*AE229</f>
        <v>0</v>
      </c>
      <c r="AF246" s="100">
        <f>+AF245*AF229</f>
        <v>0</v>
      </c>
      <c r="AG246" s="112">
        <f t="shared" si="128"/>
        <v>0</v>
      </c>
      <c r="AH246" s="100">
        <f>+AH245*AH229</f>
        <v>0</v>
      </c>
      <c r="AI246" s="100">
        <f>+AI245*AI229</f>
        <v>0</v>
      </c>
      <c r="AJ246" s="100">
        <f>+AJ245*AJ229</f>
        <v>0</v>
      </c>
      <c r="AK246" s="100">
        <f>+AK245*AK229</f>
        <v>0</v>
      </c>
      <c r="AL246" s="112">
        <f t="shared" si="129"/>
        <v>0</v>
      </c>
      <c r="AM246" s="100">
        <f>+AM245*AM229</f>
        <v>0</v>
      </c>
      <c r="AN246" s="100">
        <f>+AN245*AN229</f>
        <v>0</v>
      </c>
      <c r="AO246" s="100">
        <f>+AO245*AO229</f>
        <v>0</v>
      </c>
      <c r="AP246" s="100">
        <f>+AP245*AP229</f>
        <v>0</v>
      </c>
      <c r="AQ246" s="112">
        <f t="shared" si="130"/>
        <v>0</v>
      </c>
    </row>
    <row r="247" spans="1:43" outlineLevel="1" x14ac:dyDescent="0.25">
      <c r="A247" s="53"/>
      <c r="B247" s="654" t="s">
        <v>780</v>
      </c>
      <c r="C247" s="655"/>
      <c r="D247" s="100"/>
      <c r="E247" s="100"/>
      <c r="F247" s="100"/>
      <c r="G247" s="100"/>
      <c r="H247" s="112"/>
      <c r="I247" s="100"/>
      <c r="J247" s="100"/>
      <c r="K247" s="100"/>
      <c r="L247" s="100"/>
      <c r="M247" s="112"/>
      <c r="N247" s="100"/>
      <c r="O247" s="100"/>
      <c r="P247" s="100"/>
      <c r="Q247" s="100"/>
      <c r="R247" s="112"/>
      <c r="S247" s="100"/>
      <c r="T247" s="100"/>
      <c r="U247" s="100">
        <v>0</v>
      </c>
      <c r="V247" s="242">
        <v>300</v>
      </c>
      <c r="W247" s="422">
        <f>+SUM(S247:V247)</f>
        <v>300</v>
      </c>
      <c r="X247" s="242">
        <v>125</v>
      </c>
      <c r="Y247" s="242">
        <v>75</v>
      </c>
      <c r="Z247" s="242">
        <v>12.5</v>
      </c>
      <c r="AA247" s="242">
        <v>0</v>
      </c>
      <c r="AB247" s="112">
        <f>+SUM(X247:AA247)</f>
        <v>212.5</v>
      </c>
      <c r="AC247" s="100"/>
      <c r="AD247" s="100"/>
      <c r="AE247" s="100"/>
      <c r="AF247" s="100"/>
      <c r="AG247" s="112">
        <f>+SUM(AC247:AF247)</f>
        <v>0</v>
      </c>
      <c r="AH247" s="100"/>
      <c r="AI247" s="100"/>
      <c r="AJ247" s="100"/>
      <c r="AK247" s="100"/>
      <c r="AL247" s="112">
        <f>+SUM(AH247:AK247)</f>
        <v>0</v>
      </c>
      <c r="AM247" s="100"/>
      <c r="AN247" s="100"/>
      <c r="AO247" s="100"/>
      <c r="AP247" s="100"/>
      <c r="AQ247" s="112">
        <f>+SUM(AM247:AP247)</f>
        <v>0</v>
      </c>
    </row>
    <row r="248" spans="1:43" outlineLevel="1" x14ac:dyDescent="0.25">
      <c r="A248" s="53"/>
      <c r="B248" s="295" t="s">
        <v>783</v>
      </c>
      <c r="C248" s="692"/>
      <c r="D248" s="100"/>
      <c r="E248" s="100"/>
      <c r="F248" s="100"/>
      <c r="G248" s="100"/>
      <c r="H248" s="112"/>
      <c r="I248" s="100"/>
      <c r="J248" s="100"/>
      <c r="K248" s="100"/>
      <c r="L248" s="100"/>
      <c r="M248" s="112"/>
      <c r="N248" s="100"/>
      <c r="O248" s="100"/>
      <c r="P248" s="100"/>
      <c r="Q248" s="100"/>
      <c r="R248" s="112"/>
      <c r="S248" s="100"/>
      <c r="T248" s="100"/>
      <c r="U248" s="100"/>
      <c r="V248" s="242">
        <f>V247</f>
        <v>300</v>
      </c>
      <c r="W248" s="112"/>
      <c r="X248" s="242">
        <f>+X247+V248</f>
        <v>425</v>
      </c>
      <c r="Y248" s="242">
        <f>+Y247+X248</f>
        <v>500</v>
      </c>
      <c r="Z248" s="705">
        <f t="shared" ref="Z248:AA248" si="153">+Z247+Y248</f>
        <v>512.5</v>
      </c>
      <c r="AA248" s="242">
        <f t="shared" si="153"/>
        <v>512.5</v>
      </c>
      <c r="AB248" s="112"/>
      <c r="AC248" s="100"/>
      <c r="AD248" s="100"/>
      <c r="AE248" s="100"/>
      <c r="AF248" s="100"/>
      <c r="AG248" s="112"/>
      <c r="AH248" s="100"/>
      <c r="AI248" s="100"/>
      <c r="AJ248" s="100"/>
      <c r="AK248" s="100"/>
      <c r="AL248" s="112"/>
      <c r="AM248" s="100"/>
      <c r="AN248" s="100"/>
      <c r="AO248" s="100"/>
      <c r="AP248" s="100"/>
      <c r="AQ248" s="112"/>
    </row>
    <row r="249" spans="1:43" outlineLevel="1" x14ac:dyDescent="0.25">
      <c r="A249" s="53"/>
      <c r="B249" s="654" t="s">
        <v>781</v>
      </c>
      <c r="C249" s="655"/>
      <c r="D249" s="100"/>
      <c r="E249" s="100"/>
      <c r="F249" s="100"/>
      <c r="G249" s="100"/>
      <c r="H249" s="112"/>
      <c r="I249" s="100"/>
      <c r="J249" s="100"/>
      <c r="K249" s="100"/>
      <c r="L249" s="100"/>
      <c r="M249" s="112"/>
      <c r="N249" s="100"/>
      <c r="O249" s="100"/>
      <c r="P249" s="100"/>
      <c r="Q249" s="100"/>
      <c r="R249" s="112"/>
      <c r="S249" s="100"/>
      <c r="T249" s="100"/>
      <c r="U249" s="100">
        <f>0.25*U247</f>
        <v>0</v>
      </c>
      <c r="V249" s="242">
        <f>0.244*V247</f>
        <v>73.2</v>
      </c>
      <c r="W249" s="112">
        <f>+SUM(S249:V249)</f>
        <v>73.2</v>
      </c>
      <c r="X249" s="242">
        <f>0.244*X247</f>
        <v>30.5</v>
      </c>
      <c r="Y249" s="242">
        <f>0.244*Y247</f>
        <v>18.3</v>
      </c>
      <c r="Z249" s="242">
        <f t="shared" ref="Z249:AA249" si="154">0.244*Z247</f>
        <v>3.05</v>
      </c>
      <c r="AA249" s="242">
        <f t="shared" si="154"/>
        <v>0</v>
      </c>
      <c r="AB249" s="112">
        <f>+SUM(X249:AA249)</f>
        <v>51.849999999999994</v>
      </c>
      <c r="AC249" s="100"/>
      <c r="AD249" s="100"/>
      <c r="AE249" s="100"/>
      <c r="AF249" s="100"/>
      <c r="AG249" s="112">
        <f>+SUM(AC249:AF249)</f>
        <v>0</v>
      </c>
      <c r="AH249" s="100"/>
      <c r="AI249" s="100"/>
      <c r="AJ249" s="100"/>
      <c r="AK249" s="100"/>
      <c r="AL249" s="112">
        <f>+SUM(AH249:AK249)</f>
        <v>0</v>
      </c>
      <c r="AM249" s="100"/>
      <c r="AN249" s="100"/>
      <c r="AO249" s="100"/>
      <c r="AP249" s="100"/>
      <c r="AQ249" s="112">
        <f>+SUM(AM249:AP249)</f>
        <v>0</v>
      </c>
    </row>
    <row r="250" spans="1:43" outlineLevel="1" x14ac:dyDescent="0.25">
      <c r="A250" s="53"/>
      <c r="B250" s="663" t="s">
        <v>761</v>
      </c>
      <c r="C250" s="655"/>
      <c r="D250" s="100"/>
      <c r="E250" s="100"/>
      <c r="F250" s="100"/>
      <c r="G250" s="100"/>
      <c r="H250" s="112"/>
      <c r="I250" s="100"/>
      <c r="J250" s="100"/>
      <c r="K250" s="100"/>
      <c r="L250" s="100"/>
      <c r="M250" s="112"/>
      <c r="N250" s="100"/>
      <c r="O250" s="100"/>
      <c r="P250" s="100"/>
      <c r="Q250" s="100"/>
      <c r="R250" s="112"/>
      <c r="S250" s="100"/>
      <c r="T250" s="100"/>
      <c r="U250" s="100">
        <f>0.75*U247</f>
        <v>0</v>
      </c>
      <c r="V250" s="667">
        <f>0.75*V247</f>
        <v>225</v>
      </c>
      <c r="W250" s="666">
        <f>+SUM(S250:V250)</f>
        <v>225</v>
      </c>
      <c r="X250" s="667">
        <f t="shared" ref="X250:AA250" si="155">0.75*X247</f>
        <v>93.75</v>
      </c>
      <c r="Y250" s="667">
        <f t="shared" si="155"/>
        <v>56.25</v>
      </c>
      <c r="Z250" s="667">
        <f t="shared" si="155"/>
        <v>9.375</v>
      </c>
      <c r="AA250" s="667">
        <f t="shared" si="155"/>
        <v>0</v>
      </c>
      <c r="AB250" s="666">
        <f>+SUM(X250:AA250)</f>
        <v>159.375</v>
      </c>
      <c r="AC250" s="100"/>
      <c r="AD250" s="100"/>
      <c r="AE250" s="100"/>
      <c r="AF250" s="100"/>
      <c r="AG250" s="112">
        <f>+SUM(AC250:AF250)</f>
        <v>0</v>
      </c>
      <c r="AH250" s="100"/>
      <c r="AI250" s="100"/>
      <c r="AJ250" s="100"/>
      <c r="AK250" s="100"/>
      <c r="AL250" s="112">
        <f>+SUM(AH250:AK250)</f>
        <v>0</v>
      </c>
      <c r="AM250" s="100"/>
      <c r="AN250" s="100"/>
      <c r="AO250" s="100"/>
      <c r="AP250" s="100"/>
      <c r="AQ250" s="112">
        <f>+SUM(AM250:AP250)</f>
        <v>0</v>
      </c>
    </row>
    <row r="251" spans="1:43" outlineLevel="1" x14ac:dyDescent="0.25">
      <c r="A251" s="53"/>
      <c r="B251" s="289" t="s">
        <v>351</v>
      </c>
      <c r="C251" s="290"/>
      <c r="D251" s="100"/>
      <c r="E251" s="100"/>
      <c r="F251" s="100"/>
      <c r="G251" s="100"/>
      <c r="H251" s="112"/>
      <c r="I251" s="100"/>
      <c r="J251" s="100"/>
      <c r="K251" s="100"/>
      <c r="L251" s="100">
        <v>0</v>
      </c>
      <c r="M251" s="112">
        <f>SUM(I251:L251)</f>
        <v>0</v>
      </c>
      <c r="N251" s="100">
        <v>0</v>
      </c>
      <c r="O251" s="100">
        <v>0</v>
      </c>
      <c r="P251" s="100">
        <v>0</v>
      </c>
      <c r="Q251" s="100">
        <v>-10</v>
      </c>
      <c r="R251" s="112">
        <v>-10</v>
      </c>
      <c r="S251" s="100">
        <v>0</v>
      </c>
      <c r="T251" s="100">
        <v>0</v>
      </c>
      <c r="U251" s="100">
        <v>4</v>
      </c>
      <c r="V251" s="242">
        <f>+V211</f>
        <v>-3.9999999999997158</v>
      </c>
      <c r="W251" s="112">
        <f t="shared" si="126"/>
        <v>2.8421709430404007E-13</v>
      </c>
      <c r="X251" s="242">
        <v>0</v>
      </c>
      <c r="Y251" s="242">
        <v>0</v>
      </c>
      <c r="Z251" s="242">
        <v>0</v>
      </c>
      <c r="AA251" s="242">
        <f>+AA211</f>
        <v>-99.999999999999943</v>
      </c>
      <c r="AB251" s="112">
        <f t="shared" si="127"/>
        <v>-99.999999999999943</v>
      </c>
      <c r="AC251" s="242">
        <v>0</v>
      </c>
      <c r="AD251" s="242">
        <v>0</v>
      </c>
      <c r="AE251" s="242">
        <v>0</v>
      </c>
      <c r="AF251" s="242">
        <f>+AF211</f>
        <v>-55.00000000000005</v>
      </c>
      <c r="AG251" s="112">
        <f t="shared" si="128"/>
        <v>-55.00000000000005</v>
      </c>
      <c r="AH251" s="242">
        <v>0</v>
      </c>
      <c r="AI251" s="242">
        <v>0</v>
      </c>
      <c r="AJ251" s="242">
        <v>0</v>
      </c>
      <c r="AK251" s="242">
        <f>+AK211</f>
        <v>-55.00000000000005</v>
      </c>
      <c r="AL251" s="112">
        <f t="shared" si="129"/>
        <v>-55.00000000000005</v>
      </c>
      <c r="AM251" s="242">
        <v>0</v>
      </c>
      <c r="AN251" s="242">
        <v>0</v>
      </c>
      <c r="AO251" s="242">
        <v>0</v>
      </c>
      <c r="AP251" s="242">
        <f>+AP211</f>
        <v>-55.00000000000005</v>
      </c>
      <c r="AQ251" s="112">
        <f t="shared" si="130"/>
        <v>-55.00000000000005</v>
      </c>
    </row>
    <row r="252" spans="1:43" outlineLevel="1" x14ac:dyDescent="0.25">
      <c r="A252" s="53"/>
      <c r="B252" s="289" t="s">
        <v>352</v>
      </c>
      <c r="C252" s="290"/>
      <c r="D252" s="100"/>
      <c r="E252" s="100"/>
      <c r="F252" s="100"/>
      <c r="G252" s="100"/>
      <c r="H252" s="112"/>
      <c r="I252" s="100"/>
      <c r="J252" s="100"/>
      <c r="K252" s="100"/>
      <c r="L252" s="100">
        <v>6</v>
      </c>
      <c r="M252" s="112">
        <f>SUM(I252:L252)</f>
        <v>6</v>
      </c>
      <c r="N252" s="100">
        <v>0</v>
      </c>
      <c r="O252" s="100">
        <v>0</v>
      </c>
      <c r="P252" s="100">
        <v>0</v>
      </c>
      <c r="Q252" s="100">
        <v>-0.5</v>
      </c>
      <c r="R252" s="112">
        <v>-1</v>
      </c>
      <c r="S252" s="100">
        <v>0</v>
      </c>
      <c r="T252" s="100">
        <f>+T251*T229</f>
        <v>0</v>
      </c>
      <c r="U252" s="100">
        <v>1</v>
      </c>
      <c r="V252" s="100">
        <f>+V251*V229</f>
        <v>-0.9599999999999318</v>
      </c>
      <c r="W252" s="112">
        <f t="shared" si="126"/>
        <v>4.0000000000068203E-2</v>
      </c>
      <c r="X252" s="100">
        <f>+X251*X229</f>
        <v>0</v>
      </c>
      <c r="Y252" s="100">
        <f>+Y251*Y229</f>
        <v>0</v>
      </c>
      <c r="Z252" s="100">
        <f>+Z251*Z229</f>
        <v>0</v>
      </c>
      <c r="AA252" s="100">
        <f>+AA251*AA229</f>
        <v>-24.999999999999986</v>
      </c>
      <c r="AB252" s="112">
        <f t="shared" si="127"/>
        <v>-24.999999999999986</v>
      </c>
      <c r="AC252" s="100">
        <f>+AC251*AC229</f>
        <v>0</v>
      </c>
      <c r="AD252" s="100">
        <f>+AD251*AD229</f>
        <v>0</v>
      </c>
      <c r="AE252" s="100">
        <f>+AE251*AE229</f>
        <v>0</v>
      </c>
      <c r="AF252" s="100">
        <f>+AF251*AF229</f>
        <v>-13.750000000000012</v>
      </c>
      <c r="AG252" s="112">
        <f t="shared" si="128"/>
        <v>-13.750000000000012</v>
      </c>
      <c r="AH252" s="100">
        <f>+AH251*AH229</f>
        <v>0</v>
      </c>
      <c r="AI252" s="100">
        <f>+AI251*AI229</f>
        <v>0</v>
      </c>
      <c r="AJ252" s="100">
        <f>+AJ251*AJ229</f>
        <v>0</v>
      </c>
      <c r="AK252" s="100">
        <f>+AK251*AK229</f>
        <v>-13.750000000000012</v>
      </c>
      <c r="AL252" s="112">
        <f t="shared" si="129"/>
        <v>-13.750000000000012</v>
      </c>
      <c r="AM252" s="100">
        <f>+AM251*AM229</f>
        <v>0</v>
      </c>
      <c r="AN252" s="100">
        <f>+AN251*AN229</f>
        <v>0</v>
      </c>
      <c r="AO252" s="100">
        <f>+AO251*AO229</f>
        <v>0</v>
      </c>
      <c r="AP252" s="100">
        <f>+AP251*AP229</f>
        <v>-13.750000000000012</v>
      </c>
      <c r="AQ252" s="112">
        <f t="shared" si="130"/>
        <v>-13.750000000000012</v>
      </c>
    </row>
    <row r="253" spans="1:43" outlineLevel="1" x14ac:dyDescent="0.25">
      <c r="A253" s="53"/>
      <c r="B253" s="711" t="s">
        <v>353</v>
      </c>
      <c r="C253" s="712"/>
      <c r="D253" s="281"/>
      <c r="E253" s="281"/>
      <c r="F253" s="281"/>
      <c r="G253" s="281"/>
      <c r="H253" s="282"/>
      <c r="I253" s="281"/>
      <c r="J253" s="281"/>
      <c r="K253" s="281"/>
      <c r="L253" s="281">
        <v>0</v>
      </c>
      <c r="M253" s="282">
        <v>0</v>
      </c>
      <c r="N253" s="281">
        <v>0</v>
      </c>
      <c r="O253" s="281">
        <v>0</v>
      </c>
      <c r="P253" s="281">
        <v>1150</v>
      </c>
      <c r="Q253" s="281"/>
      <c r="R253" s="282">
        <v>1150</v>
      </c>
      <c r="S253" s="281">
        <v>0</v>
      </c>
      <c r="T253" s="281">
        <v>-3.5</v>
      </c>
      <c r="U253" s="281">
        <v>0</v>
      </c>
      <c r="V253" s="310">
        <v>0</v>
      </c>
      <c r="W253" s="282">
        <f t="shared" si="126"/>
        <v>-3.5</v>
      </c>
      <c r="X253" s="310">
        <v>0</v>
      </c>
      <c r="Y253" s="310">
        <v>0</v>
      </c>
      <c r="Z253" s="310">
        <v>0</v>
      </c>
      <c r="AA253" s="310">
        <v>0</v>
      </c>
      <c r="AB253" s="282">
        <f t="shared" si="127"/>
        <v>0</v>
      </c>
      <c r="AC253" s="310">
        <v>0</v>
      </c>
      <c r="AD253" s="310">
        <v>0</v>
      </c>
      <c r="AE253" s="310">
        <v>0</v>
      </c>
      <c r="AF253" s="310">
        <v>0</v>
      </c>
      <c r="AG253" s="282">
        <f t="shared" si="128"/>
        <v>0</v>
      </c>
      <c r="AH253" s="310">
        <v>0</v>
      </c>
      <c r="AI253" s="310">
        <v>0</v>
      </c>
      <c r="AJ253" s="310">
        <v>0</v>
      </c>
      <c r="AK253" s="310">
        <v>0</v>
      </c>
      <c r="AL253" s="282">
        <f t="shared" si="129"/>
        <v>0</v>
      </c>
      <c r="AM253" s="310">
        <v>0</v>
      </c>
      <c r="AN253" s="310">
        <v>0</v>
      </c>
      <c r="AO253" s="310">
        <v>0</v>
      </c>
      <c r="AP253" s="310">
        <v>0</v>
      </c>
      <c r="AQ253" s="282">
        <f t="shared" si="130"/>
        <v>0</v>
      </c>
    </row>
    <row r="254" spans="1:43" x14ac:dyDescent="0.25">
      <c r="A254" s="53"/>
      <c r="B254" s="52"/>
      <c r="C254" s="52"/>
      <c r="F254" s="3"/>
      <c r="G254" s="3"/>
      <c r="H254" s="3"/>
      <c r="J254" s="64"/>
      <c r="K254" s="64"/>
      <c r="L254" s="64"/>
      <c r="M254" s="486"/>
      <c r="P254" s="3"/>
      <c r="Q254" s="3"/>
      <c r="R254" s="486"/>
      <c r="U254" s="3"/>
      <c r="V254" s="79"/>
      <c r="W254" s="3"/>
      <c r="Z254" s="37"/>
      <c r="AA254" s="3"/>
      <c r="AB254" s="486"/>
      <c r="AE254" s="3"/>
      <c r="AF254" s="3"/>
      <c r="AG254" s="486"/>
      <c r="AJ254" s="3"/>
      <c r="AK254" s="3"/>
      <c r="AL254" s="486"/>
      <c r="AO254" s="3"/>
      <c r="AP254" s="3"/>
      <c r="AQ254" s="486"/>
    </row>
    <row r="255" spans="1:43" ht="15.75" x14ac:dyDescent="0.25">
      <c r="B255" s="713" t="s">
        <v>111</v>
      </c>
      <c r="C255" s="714"/>
      <c r="D255" s="90" t="s">
        <v>120</v>
      </c>
      <c r="E255" s="90" t="s">
        <v>121</v>
      </c>
      <c r="F255" s="90" t="s">
        <v>122</v>
      </c>
      <c r="G255" s="90" t="s">
        <v>123</v>
      </c>
      <c r="H255" s="400" t="s">
        <v>123</v>
      </c>
      <c r="I255" s="90" t="s">
        <v>124</v>
      </c>
      <c r="J255" s="90" t="s">
        <v>125</v>
      </c>
      <c r="K255" s="90" t="s">
        <v>126</v>
      </c>
      <c r="L255" s="90" t="s">
        <v>127</v>
      </c>
      <c r="M255" s="400" t="s">
        <v>127</v>
      </c>
      <c r="N255" s="90" t="s">
        <v>128</v>
      </c>
      <c r="O255" s="90" t="s">
        <v>129</v>
      </c>
      <c r="P255" s="90" t="s">
        <v>130</v>
      </c>
      <c r="Q255" s="90" t="s">
        <v>131</v>
      </c>
      <c r="R255" s="400" t="s">
        <v>131</v>
      </c>
      <c r="S255" s="90" t="s">
        <v>132</v>
      </c>
      <c r="T255" s="90" t="s">
        <v>133</v>
      </c>
      <c r="U255" s="90" t="s">
        <v>134</v>
      </c>
      <c r="V255" s="92" t="s">
        <v>135</v>
      </c>
      <c r="W255" s="404" t="s">
        <v>135</v>
      </c>
      <c r="X255" s="92" t="s">
        <v>136</v>
      </c>
      <c r="Y255" s="92" t="s">
        <v>137</v>
      </c>
      <c r="Z255" s="92" t="s">
        <v>138</v>
      </c>
      <c r="AA255" s="92" t="s">
        <v>139</v>
      </c>
      <c r="AB255" s="404" t="s">
        <v>139</v>
      </c>
      <c r="AC255" s="92" t="s">
        <v>140</v>
      </c>
      <c r="AD255" s="92" t="s">
        <v>141</v>
      </c>
      <c r="AE255" s="92" t="s">
        <v>142</v>
      </c>
      <c r="AF255" s="92" t="s">
        <v>143</v>
      </c>
      <c r="AG255" s="404" t="s">
        <v>143</v>
      </c>
      <c r="AH255" s="92" t="s">
        <v>144</v>
      </c>
      <c r="AI255" s="92" t="s">
        <v>145</v>
      </c>
      <c r="AJ255" s="92" t="s">
        <v>146</v>
      </c>
      <c r="AK255" s="92" t="s">
        <v>147</v>
      </c>
      <c r="AL255" s="404" t="s">
        <v>147</v>
      </c>
      <c r="AM255" s="92" t="s">
        <v>148</v>
      </c>
      <c r="AN255" s="92" t="s">
        <v>149</v>
      </c>
      <c r="AO255" s="92" t="s">
        <v>150</v>
      </c>
      <c r="AP255" s="92" t="s">
        <v>151</v>
      </c>
      <c r="AQ255" s="404" t="s">
        <v>151</v>
      </c>
    </row>
    <row r="256" spans="1:43" ht="17.25" x14ac:dyDescent="0.4">
      <c r="B256" s="291" t="s">
        <v>3</v>
      </c>
      <c r="C256" s="406"/>
      <c r="D256" s="91" t="s">
        <v>71</v>
      </c>
      <c r="E256" s="91" t="s">
        <v>74</v>
      </c>
      <c r="F256" s="91" t="s">
        <v>75</v>
      </c>
      <c r="G256" s="91" t="s">
        <v>78</v>
      </c>
      <c r="H256" s="401" t="s">
        <v>79</v>
      </c>
      <c r="I256" s="91" t="s">
        <v>80</v>
      </c>
      <c r="J256" s="91" t="s">
        <v>91</v>
      </c>
      <c r="K256" s="91" t="s">
        <v>109</v>
      </c>
      <c r="L256" s="91" t="s">
        <v>113</v>
      </c>
      <c r="M256" s="401" t="s">
        <v>114</v>
      </c>
      <c r="N256" s="91" t="s">
        <v>115</v>
      </c>
      <c r="O256" s="91" t="s">
        <v>116</v>
      </c>
      <c r="P256" s="91" t="s">
        <v>117</v>
      </c>
      <c r="Q256" s="91" t="s">
        <v>118</v>
      </c>
      <c r="R256" s="401" t="s">
        <v>119</v>
      </c>
      <c r="S256" s="91" t="s">
        <v>507</v>
      </c>
      <c r="T256" s="91" t="s">
        <v>749</v>
      </c>
      <c r="U256" s="91" t="s">
        <v>769</v>
      </c>
      <c r="V256" s="89" t="s">
        <v>378</v>
      </c>
      <c r="W256" s="405" t="s">
        <v>379</v>
      </c>
      <c r="X256" s="89" t="s">
        <v>380</v>
      </c>
      <c r="Y256" s="89" t="s">
        <v>381</v>
      </c>
      <c r="Z256" s="89" t="s">
        <v>382</v>
      </c>
      <c r="AA256" s="89" t="s">
        <v>383</v>
      </c>
      <c r="AB256" s="405" t="s">
        <v>384</v>
      </c>
      <c r="AC256" s="89" t="s">
        <v>385</v>
      </c>
      <c r="AD256" s="89" t="s">
        <v>386</v>
      </c>
      <c r="AE256" s="89" t="s">
        <v>387</v>
      </c>
      <c r="AF256" s="89" t="s">
        <v>388</v>
      </c>
      <c r="AG256" s="405" t="s">
        <v>389</v>
      </c>
      <c r="AH256" s="89" t="s">
        <v>390</v>
      </c>
      <c r="AI256" s="89" t="s">
        <v>391</v>
      </c>
      <c r="AJ256" s="89" t="s">
        <v>392</v>
      </c>
      <c r="AK256" s="89" t="s">
        <v>393</v>
      </c>
      <c r="AL256" s="405" t="s">
        <v>394</v>
      </c>
      <c r="AM256" s="89" t="s">
        <v>395</v>
      </c>
      <c r="AN256" s="89" t="s">
        <v>396</v>
      </c>
      <c r="AO256" s="89" t="s">
        <v>397</v>
      </c>
      <c r="AP256" s="89" t="s">
        <v>398</v>
      </c>
      <c r="AQ256" s="405" t="s">
        <v>399</v>
      </c>
    </row>
    <row r="257" spans="1:43" ht="14.45" customHeight="1" x14ac:dyDescent="0.25">
      <c r="B257" s="713" t="s">
        <v>6</v>
      </c>
      <c r="C257" s="714"/>
      <c r="D257" s="90"/>
      <c r="E257" s="90"/>
      <c r="F257" s="90"/>
      <c r="G257" s="90"/>
      <c r="H257" s="400"/>
      <c r="I257" s="90"/>
      <c r="J257" s="90"/>
      <c r="K257" s="90"/>
      <c r="L257" s="90"/>
      <c r="M257" s="400"/>
      <c r="N257" s="90"/>
      <c r="O257" s="90"/>
      <c r="P257" s="90"/>
      <c r="Q257" s="90"/>
      <c r="R257" s="400"/>
      <c r="S257" s="90"/>
      <c r="T257" s="90"/>
      <c r="U257" s="90"/>
      <c r="V257" s="92"/>
      <c r="W257" s="404"/>
      <c r="X257" s="92"/>
      <c r="Y257" s="92"/>
      <c r="Z257" s="92"/>
      <c r="AA257" s="92"/>
      <c r="AB257" s="404"/>
      <c r="AC257" s="92"/>
      <c r="AD257" s="92"/>
      <c r="AE257" s="92"/>
      <c r="AF257" s="92"/>
      <c r="AG257" s="404"/>
      <c r="AH257" s="92"/>
      <c r="AI257" s="92"/>
      <c r="AJ257" s="92"/>
      <c r="AK257" s="92"/>
      <c r="AL257" s="404"/>
      <c r="AM257" s="92"/>
      <c r="AN257" s="92"/>
      <c r="AO257" s="92"/>
      <c r="AP257" s="92"/>
      <c r="AQ257" s="404"/>
    </row>
    <row r="258" spans="1:43" ht="14.45" customHeight="1" outlineLevel="1" x14ac:dyDescent="0.25">
      <c r="B258" s="709" t="s">
        <v>43</v>
      </c>
      <c r="C258" s="710"/>
      <c r="D258" s="100">
        <f>D353</f>
        <v>3543</v>
      </c>
      <c r="E258" s="100">
        <f>E353</f>
        <v>3647</v>
      </c>
      <c r="F258" s="100">
        <f>F353</f>
        <v>2841</v>
      </c>
      <c r="G258" s="93">
        <f>G353</f>
        <v>3534</v>
      </c>
      <c r="H258" s="94">
        <f>G258</f>
        <v>3534</v>
      </c>
      <c r="I258" s="93">
        <f>I353</f>
        <v>2989</v>
      </c>
      <c r="J258" s="100">
        <f>J353</f>
        <v>3059</v>
      </c>
      <c r="K258" s="100">
        <f>K353</f>
        <v>3173</v>
      </c>
      <c r="L258" s="93">
        <f>L353</f>
        <v>3969</v>
      </c>
      <c r="M258" s="94">
        <f>L258</f>
        <v>3969</v>
      </c>
      <c r="N258" s="100">
        <f>N353</f>
        <v>3503</v>
      </c>
      <c r="O258" s="100">
        <f>O353</f>
        <v>2768</v>
      </c>
      <c r="P258" s="100">
        <f>P353</f>
        <v>2789</v>
      </c>
      <c r="Q258" s="93">
        <f>Q353</f>
        <v>3265.1257859999969</v>
      </c>
      <c r="R258" s="94">
        <f>Q258</f>
        <v>3265.1257859999969</v>
      </c>
      <c r="S258" s="100">
        <f>S353</f>
        <v>2369.1257859999969</v>
      </c>
      <c r="T258" s="93">
        <f>T353</f>
        <v>2123.1257859999969</v>
      </c>
      <c r="U258" s="93">
        <f>U353</f>
        <v>2872.1257859999969</v>
      </c>
      <c r="V258" s="93">
        <f>V353</f>
        <v>4094.6371391554071</v>
      </c>
      <c r="W258" s="94">
        <f>V258</f>
        <v>4094.6371391554071</v>
      </c>
      <c r="X258" s="93">
        <f>X353</f>
        <v>3926.9249015426171</v>
      </c>
      <c r="Y258" s="93">
        <f>Y353</f>
        <v>4197.219537115212</v>
      </c>
      <c r="Z258" s="93">
        <f>Z353</f>
        <v>4367.9201561816899</v>
      </c>
      <c r="AA258" s="93">
        <f>AA353</f>
        <v>6323.2092278755717</v>
      </c>
      <c r="AB258" s="94">
        <f>AA258</f>
        <v>6323.2092278755717</v>
      </c>
      <c r="AC258" s="93">
        <f>AC353</f>
        <v>6137.0416815812241</v>
      </c>
      <c r="AD258" s="93">
        <f>AD353</f>
        <v>7003.7436183700847</v>
      </c>
      <c r="AE258" s="93">
        <f>AE353</f>
        <v>6760.8495637308642</v>
      </c>
      <c r="AF258" s="93">
        <f>AF353</f>
        <v>9112.6435824954569</v>
      </c>
      <c r="AG258" s="94">
        <f>AF258</f>
        <v>9112.6435824954569</v>
      </c>
      <c r="AH258" s="93">
        <f>AH353</f>
        <v>8475.0803572688474</v>
      </c>
      <c r="AI258" s="93">
        <f>AI353</f>
        <v>9498.3852251633234</v>
      </c>
      <c r="AJ258" s="93">
        <f>AJ353</f>
        <v>8754.7169679495637</v>
      </c>
      <c r="AK258" s="93">
        <f>AK353</f>
        <v>11399.647619918229</v>
      </c>
      <c r="AL258" s="94">
        <f>AK258</f>
        <v>11399.647619918229</v>
      </c>
      <c r="AM258" s="93">
        <f>AM353</f>
        <v>10409.969888274538</v>
      </c>
      <c r="AN258" s="93">
        <f>AN353</f>
        <v>11866.365494945159</v>
      </c>
      <c r="AO258" s="93">
        <f>AO353</f>
        <v>10732.814208932075</v>
      </c>
      <c r="AP258" s="93">
        <f>AP353</f>
        <v>13865.766960121175</v>
      </c>
      <c r="AQ258" s="94">
        <f>AP258</f>
        <v>13865.766960121175</v>
      </c>
    </row>
    <row r="259" spans="1:43" s="111" customFormat="1" ht="14.45" customHeight="1" outlineLevel="1" x14ac:dyDescent="0.25">
      <c r="A259" s="229"/>
      <c r="B259" s="709" t="s">
        <v>209</v>
      </c>
      <c r="C259" s="710"/>
      <c r="D259" s="100">
        <v>5617</v>
      </c>
      <c r="E259" s="93">
        <v>5865</v>
      </c>
      <c r="F259" s="93">
        <v>5634</v>
      </c>
      <c r="G259" s="93">
        <v>7252</v>
      </c>
      <c r="H259" s="94">
        <f>G259</f>
        <v>7252</v>
      </c>
      <c r="I259" s="93">
        <v>7233</v>
      </c>
      <c r="J259" s="100">
        <v>7575</v>
      </c>
      <c r="K259" s="100">
        <v>7418</v>
      </c>
      <c r="L259" s="93">
        <v>7599</v>
      </c>
      <c r="M259" s="94">
        <f>L259</f>
        <v>7599</v>
      </c>
      <c r="N259" s="100">
        <v>8006</v>
      </c>
      <c r="O259" s="93">
        <v>8655</v>
      </c>
      <c r="P259" s="93">
        <v>8671</v>
      </c>
      <c r="Q259" s="93">
        <v>8522</v>
      </c>
      <c r="R259" s="94">
        <f>Q259</f>
        <v>8522</v>
      </c>
      <c r="S259" s="100">
        <v>8716</v>
      </c>
      <c r="T259" s="93">
        <v>9573</v>
      </c>
      <c r="U259" s="93">
        <v>9037</v>
      </c>
      <c r="V259" s="93">
        <f>(V13/V303*2)-U259</f>
        <v>8843.1154078526961</v>
      </c>
      <c r="W259" s="94">
        <f>V259</f>
        <v>8843.1154078526961</v>
      </c>
      <c r="X259" s="93">
        <f>(X13/X303*2)-V259</f>
        <v>8781.888540845066</v>
      </c>
      <c r="Y259" s="93">
        <f>(Y13/Y303*2)-X259</f>
        <v>9904.7961560767835</v>
      </c>
      <c r="Z259" s="93">
        <f>(Z13/Z303*2)-Y259</f>
        <v>9291.1399919438409</v>
      </c>
      <c r="AA259" s="93">
        <f>(AA13/AA303*2)-Z259</f>
        <v>9184.2600889853929</v>
      </c>
      <c r="AB259" s="94">
        <f>AA259</f>
        <v>9184.2600889853929</v>
      </c>
      <c r="AC259" s="93">
        <f>(AC13/AC303*2)-AA259</f>
        <v>8826.0016127452836</v>
      </c>
      <c r="AD259" s="93">
        <f>(AD13/AD303*2)-AC259</f>
        <v>10222.609791082647</v>
      </c>
      <c r="AE259" s="93">
        <f>(AE13/AE303*2)-AD259</f>
        <v>9367.0848157011678</v>
      </c>
      <c r="AF259" s="93">
        <f>(AF13/AF303*2)-AE259</f>
        <v>9444.5317575258705</v>
      </c>
      <c r="AG259" s="94">
        <f>AF259</f>
        <v>9444.5317575258705</v>
      </c>
      <c r="AH259" s="93">
        <f>(AH13/AH303*2)-AF259</f>
        <v>8910.5917912666482</v>
      </c>
      <c r="AI259" s="93">
        <f>(AI13/AI303*2)-AH259</f>
        <v>10448.998987120034</v>
      </c>
      <c r="AJ259" s="93">
        <f>(AJ13/AJ303*2)-AI259</f>
        <v>9476.8839722978555</v>
      </c>
      <c r="AK259" s="93">
        <f>(AK13/AK303*2)-AJ259</f>
        <v>9623.4553260004359</v>
      </c>
      <c r="AL259" s="94">
        <f>AK259</f>
        <v>9623.4553260004359</v>
      </c>
      <c r="AM259" s="93">
        <f>(AM13/AM303*2)-AK259</f>
        <v>9024.0355027522019</v>
      </c>
      <c r="AN259" s="93">
        <f>(AN13/AN303*2)-AM259</f>
        <v>10588.725237872382</v>
      </c>
      <c r="AO259" s="93">
        <f>(AO13/AO303*2)-AN259</f>
        <v>9610.5860511237915</v>
      </c>
      <c r="AP259" s="93">
        <f>(AP13/AP303*2)-AO259</f>
        <v>9717.8419399194645</v>
      </c>
      <c r="AQ259" s="94">
        <f>AP259</f>
        <v>9717.8419399194645</v>
      </c>
    </row>
    <row r="260" spans="1:43" ht="14.45" customHeight="1" outlineLevel="1" x14ac:dyDescent="0.25">
      <c r="B260" s="289" t="s">
        <v>210</v>
      </c>
      <c r="C260" s="290"/>
      <c r="D260" s="100">
        <v>488</v>
      </c>
      <c r="E260" s="93">
        <v>493</v>
      </c>
      <c r="F260" s="93">
        <v>476</v>
      </c>
      <c r="G260" s="93">
        <v>496</v>
      </c>
      <c r="H260" s="94">
        <f>G260</f>
        <v>496</v>
      </c>
      <c r="I260" s="93">
        <v>512</v>
      </c>
      <c r="J260" s="100">
        <v>517</v>
      </c>
      <c r="K260" s="100">
        <v>527</v>
      </c>
      <c r="L260" s="93">
        <v>514</v>
      </c>
      <c r="M260" s="94">
        <f>L260</f>
        <v>514</v>
      </c>
      <c r="N260" s="100">
        <v>516</v>
      </c>
      <c r="O260" s="93">
        <v>533</v>
      </c>
      <c r="P260" s="93">
        <v>523</v>
      </c>
      <c r="Q260" s="139">
        <v>525</v>
      </c>
      <c r="R260" s="170">
        <f>Q260</f>
        <v>525</v>
      </c>
      <c r="S260" s="139">
        <v>523</v>
      </c>
      <c r="T260" s="139">
        <v>522</v>
      </c>
      <c r="U260" s="139">
        <v>546</v>
      </c>
      <c r="V260" s="139">
        <f>+V264*V305</f>
        <v>555.77318056978879</v>
      </c>
      <c r="W260" s="94">
        <f>V260</f>
        <v>555.77318056978879</v>
      </c>
      <c r="X260" s="139">
        <f>+X264*X305</f>
        <v>564.77435556787339</v>
      </c>
      <c r="Y260" s="139">
        <f>+Y264*Y305</f>
        <v>577.33609250299764</v>
      </c>
      <c r="Z260" s="139">
        <f>+Z264*Z305</f>
        <v>592.41510610764749</v>
      </c>
      <c r="AA260" s="139">
        <f>+AA264*AA305</f>
        <v>604.45582020198981</v>
      </c>
      <c r="AB260" s="94">
        <f>AA260</f>
        <v>604.45582020198981</v>
      </c>
      <c r="AC260" s="139">
        <f>+AC264*AC305</f>
        <v>616.47906414658598</v>
      </c>
      <c r="AD260" s="139">
        <f>+AD264*AD305</f>
        <v>629.79354351844904</v>
      </c>
      <c r="AE260" s="139">
        <f>+AE264*AE305</f>
        <v>642.78461989469986</v>
      </c>
      <c r="AF260" s="139">
        <f>+AF264*AF305</f>
        <v>655.85481305235396</v>
      </c>
      <c r="AG260" s="94">
        <f>AF260</f>
        <v>655.85481305235396</v>
      </c>
      <c r="AH260" s="139">
        <f>+AH264*AH305</f>
        <v>668.5943236299654</v>
      </c>
      <c r="AI260" s="139">
        <f>+AI264*AI305</f>
        <v>681.96506371451505</v>
      </c>
      <c r="AJ260" s="139">
        <f>+AJ264*AJ305</f>
        <v>694.83096010577992</v>
      </c>
      <c r="AK260" s="139">
        <f>+AK264*AK305</f>
        <v>708.32248503253436</v>
      </c>
      <c r="AL260" s="94">
        <f>AK260</f>
        <v>708.32248503253436</v>
      </c>
      <c r="AM260" s="139">
        <f>+AM264*AM305</f>
        <v>721.31886879694684</v>
      </c>
      <c r="AN260" s="139">
        <f>+AN264*AN305</f>
        <v>734.8000779993132</v>
      </c>
      <c r="AO260" s="139">
        <f>+AO264*AO305</f>
        <v>747.80496392460782</v>
      </c>
      <c r="AP260" s="139">
        <f>+AP264*AP305</f>
        <v>761.50545052498421</v>
      </c>
      <c r="AQ260" s="94">
        <f>AP260</f>
        <v>761.50545052498421</v>
      </c>
    </row>
    <row r="261" spans="1:43" ht="14.45" customHeight="1" outlineLevel="1" x14ac:dyDescent="0.25">
      <c r="B261" s="709" t="s">
        <v>211</v>
      </c>
      <c r="C261" s="710"/>
      <c r="D261" s="100">
        <v>606</v>
      </c>
      <c r="E261" s="100">
        <v>687</v>
      </c>
      <c r="F261" s="100">
        <v>608</v>
      </c>
      <c r="G261" s="100">
        <v>0</v>
      </c>
      <c r="H261" s="94">
        <f>G261</f>
        <v>0</v>
      </c>
      <c r="I261" s="100">
        <v>0</v>
      </c>
      <c r="J261" s="100">
        <f>I261</f>
        <v>0</v>
      </c>
      <c r="K261" s="100">
        <f>J261</f>
        <v>0</v>
      </c>
      <c r="L261" s="100">
        <f>K261</f>
        <v>0</v>
      </c>
      <c r="M261" s="94">
        <f>L261</f>
        <v>0</v>
      </c>
      <c r="N261" s="100">
        <f>M261</f>
        <v>0</v>
      </c>
      <c r="O261" s="100">
        <v>0</v>
      </c>
      <c r="P261" s="100">
        <v>0</v>
      </c>
      <c r="Q261" s="100">
        <v>0</v>
      </c>
      <c r="R261" s="94">
        <f>Q261</f>
        <v>0</v>
      </c>
      <c r="S261" s="100">
        <v>0</v>
      </c>
      <c r="T261" s="100">
        <v>0</v>
      </c>
      <c r="U261" s="100">
        <v>0</v>
      </c>
      <c r="V261" s="100">
        <v>0</v>
      </c>
      <c r="W261" s="94">
        <f>V261</f>
        <v>0</v>
      </c>
      <c r="X261" s="100">
        <v>0</v>
      </c>
      <c r="Y261" s="100">
        <v>0</v>
      </c>
      <c r="Z261" s="100">
        <v>0</v>
      </c>
      <c r="AA261" s="100">
        <v>0</v>
      </c>
      <c r="AB261" s="94">
        <f>AA261</f>
        <v>0</v>
      </c>
      <c r="AC261" s="100">
        <v>0</v>
      </c>
      <c r="AD261" s="100">
        <v>0</v>
      </c>
      <c r="AE261" s="100">
        <v>0</v>
      </c>
      <c r="AF261" s="100">
        <v>0</v>
      </c>
      <c r="AG261" s="94">
        <f>AF261</f>
        <v>0</v>
      </c>
      <c r="AH261" s="100">
        <v>0</v>
      </c>
      <c r="AI261" s="100">
        <v>0</v>
      </c>
      <c r="AJ261" s="100">
        <v>0</v>
      </c>
      <c r="AK261" s="100">
        <v>0</v>
      </c>
      <c r="AL261" s="94">
        <f>AK261</f>
        <v>0</v>
      </c>
      <c r="AM261" s="100">
        <v>0</v>
      </c>
      <c r="AN261" s="100">
        <v>0</v>
      </c>
      <c r="AO261" s="100">
        <v>0</v>
      </c>
      <c r="AP261" s="100">
        <v>0</v>
      </c>
      <c r="AQ261" s="94">
        <f>AP261</f>
        <v>0</v>
      </c>
    </row>
    <row r="262" spans="1:43" ht="16.149999999999999" customHeight="1" outlineLevel="1" x14ac:dyDescent="0.4">
      <c r="B262" s="709" t="s">
        <v>307</v>
      </c>
      <c r="C262" s="710"/>
      <c r="D262" s="101">
        <v>449</v>
      </c>
      <c r="E262" s="101">
        <v>460</v>
      </c>
      <c r="F262" s="101">
        <v>678</v>
      </c>
      <c r="G262" s="101">
        <v>707</v>
      </c>
      <c r="H262" s="99">
        <f>G262</f>
        <v>707</v>
      </c>
      <c r="I262" s="101">
        <v>667</v>
      </c>
      <c r="J262" s="101">
        <v>901</v>
      </c>
      <c r="K262" s="101">
        <v>820</v>
      </c>
      <c r="L262" s="101">
        <v>546</v>
      </c>
      <c r="M262" s="99">
        <f>L262</f>
        <v>546</v>
      </c>
      <c r="N262" s="101">
        <v>697</v>
      </c>
      <c r="O262" s="101">
        <v>925</v>
      </c>
      <c r="P262" s="101">
        <v>1592</v>
      </c>
      <c r="Q262" s="101">
        <v>1040</v>
      </c>
      <c r="R262" s="99">
        <f>Q262</f>
        <v>1040</v>
      </c>
      <c r="S262" s="101">
        <v>1033</v>
      </c>
      <c r="T262" s="101">
        <v>1220</v>
      </c>
      <c r="U262" s="101">
        <v>1045</v>
      </c>
      <c r="V262" s="240">
        <f>AVERAGE(Q262,S262,T262,U262)</f>
        <v>1084.5</v>
      </c>
      <c r="W262" s="99">
        <f>V262</f>
        <v>1084.5</v>
      </c>
      <c r="X262" s="240">
        <f>AVERAGE(S262,T262,U262,V262)</f>
        <v>1095.625</v>
      </c>
      <c r="Y262" s="240">
        <f>AVERAGE(T262,U262,V262,X262)</f>
        <v>1111.28125</v>
      </c>
      <c r="Z262" s="240">
        <f>AVERAGE(U262,V262,X262,Y262)</f>
        <v>1084.1015625</v>
      </c>
      <c r="AA262" s="240">
        <f>AVERAGE(V262,X262,Y262,Z262)</f>
        <v>1093.876953125</v>
      </c>
      <c r="AB262" s="99">
        <f>AA262</f>
        <v>1093.876953125</v>
      </c>
      <c r="AC262" s="240">
        <f>AVERAGE(X262,Y262,Z262,AA262)</f>
        <v>1096.22119140625</v>
      </c>
      <c r="AD262" s="240">
        <f>AVERAGE(Y262,Z262,AA262,AC262)</f>
        <v>1096.3702392578125</v>
      </c>
      <c r="AE262" s="240">
        <f>AVERAGE(Z262,AA262,AC262,AD262)</f>
        <v>1092.6424865722656</v>
      </c>
      <c r="AF262" s="240">
        <f>AVERAGE(AA262,AC262,AD262,AE262)</f>
        <v>1094.777717590332</v>
      </c>
      <c r="AG262" s="99">
        <f>AF262</f>
        <v>1094.777717590332</v>
      </c>
      <c r="AH262" s="240">
        <f>AVERAGE(AC262,AD262,AE262,AF262)</f>
        <v>1095.002908706665</v>
      </c>
      <c r="AI262" s="240">
        <f>AVERAGE(AD262,AE262,AF262,AH262)</f>
        <v>1094.6983380317688</v>
      </c>
      <c r="AJ262" s="240">
        <f>AVERAGE(AE262,AF262,AH262,AI262)</f>
        <v>1094.2803627252579</v>
      </c>
      <c r="AK262" s="240">
        <f>AVERAGE(AF262,AH262,AI262,AJ262)</f>
        <v>1094.6898317635059</v>
      </c>
      <c r="AL262" s="99">
        <f>AK262</f>
        <v>1094.6898317635059</v>
      </c>
      <c r="AM262" s="240">
        <f>AVERAGE(AH262,AI262,AJ262,AK262)</f>
        <v>1094.6678603067994</v>
      </c>
      <c r="AN262" s="240">
        <f>AVERAGE(AI262,AJ262,AK262,AM262)</f>
        <v>1094.584098206833</v>
      </c>
      <c r="AO262" s="240">
        <f>AVERAGE(AJ262,AK262,AM262,AN262)</f>
        <v>1094.5555382505991</v>
      </c>
      <c r="AP262" s="240">
        <f>AVERAGE(AK262,AM262,AN262,AO262)</f>
        <v>1094.6243321319344</v>
      </c>
      <c r="AQ262" s="99">
        <f>AP262</f>
        <v>1094.6243321319344</v>
      </c>
    </row>
    <row r="263" spans="1:43" ht="14.45" customHeight="1" outlineLevel="1" x14ac:dyDescent="0.25">
      <c r="B263" s="287" t="s">
        <v>4</v>
      </c>
      <c r="C263" s="288"/>
      <c r="D263" s="109">
        <f t="shared" ref="D263:AQ263" si="156">SUM(D258:D262)</f>
        <v>10703</v>
      </c>
      <c r="E263" s="107">
        <f t="shared" si="156"/>
        <v>11152</v>
      </c>
      <c r="F263" s="109">
        <f t="shared" si="156"/>
        <v>10237</v>
      </c>
      <c r="G263" s="109">
        <f t="shared" si="156"/>
        <v>11989</v>
      </c>
      <c r="H263" s="108">
        <f t="shared" si="156"/>
        <v>11989</v>
      </c>
      <c r="I263" s="107">
        <f t="shared" si="156"/>
        <v>11401</v>
      </c>
      <c r="J263" s="109">
        <f t="shared" si="156"/>
        <v>12052</v>
      </c>
      <c r="K263" s="109">
        <f t="shared" si="156"/>
        <v>11938</v>
      </c>
      <c r="L263" s="109">
        <f t="shared" si="156"/>
        <v>12628</v>
      </c>
      <c r="M263" s="108">
        <f t="shared" si="156"/>
        <v>12628</v>
      </c>
      <c r="N263" s="109">
        <f t="shared" si="156"/>
        <v>12722</v>
      </c>
      <c r="O263" s="107">
        <f t="shared" si="156"/>
        <v>12881</v>
      </c>
      <c r="P263" s="107">
        <f t="shared" si="156"/>
        <v>13575</v>
      </c>
      <c r="Q263" s="109">
        <f t="shared" si="156"/>
        <v>13352.125785999997</v>
      </c>
      <c r="R263" s="108">
        <f t="shared" si="156"/>
        <v>13352.125785999997</v>
      </c>
      <c r="S263" s="109">
        <f t="shared" si="156"/>
        <v>12641.125785999997</v>
      </c>
      <c r="T263" s="109">
        <f t="shared" si="156"/>
        <v>13438.125785999997</v>
      </c>
      <c r="U263" s="109">
        <f t="shared" si="156"/>
        <v>13500.125785999997</v>
      </c>
      <c r="V263" s="107">
        <f t="shared" si="156"/>
        <v>14578.025727577893</v>
      </c>
      <c r="W263" s="108">
        <f t="shared" si="156"/>
        <v>14578.025727577893</v>
      </c>
      <c r="X263" s="107">
        <f t="shared" si="156"/>
        <v>14369.212797955557</v>
      </c>
      <c r="Y263" s="107">
        <f t="shared" si="156"/>
        <v>15790.633035694993</v>
      </c>
      <c r="Z263" s="107">
        <f t="shared" si="156"/>
        <v>15335.576816733179</v>
      </c>
      <c r="AA263" s="107">
        <f t="shared" si="156"/>
        <v>17205.802090187954</v>
      </c>
      <c r="AB263" s="108">
        <f t="shared" si="156"/>
        <v>17205.802090187954</v>
      </c>
      <c r="AC263" s="107">
        <f t="shared" si="156"/>
        <v>16675.743549879342</v>
      </c>
      <c r="AD263" s="107">
        <f t="shared" si="156"/>
        <v>18952.517192228992</v>
      </c>
      <c r="AE263" s="107">
        <f t="shared" si="156"/>
        <v>17863.361485898997</v>
      </c>
      <c r="AF263" s="107">
        <f t="shared" si="156"/>
        <v>20307.807870664012</v>
      </c>
      <c r="AG263" s="108">
        <f t="shared" si="156"/>
        <v>20307.807870664012</v>
      </c>
      <c r="AH263" s="107">
        <f t="shared" si="156"/>
        <v>19149.269380872123</v>
      </c>
      <c r="AI263" s="107">
        <f t="shared" si="156"/>
        <v>21724.047614029645</v>
      </c>
      <c r="AJ263" s="107">
        <f t="shared" si="156"/>
        <v>20020.712263078458</v>
      </c>
      <c r="AK263" s="107">
        <f t="shared" si="156"/>
        <v>22826.115262714706</v>
      </c>
      <c r="AL263" s="108">
        <f t="shared" si="156"/>
        <v>22826.115262714706</v>
      </c>
      <c r="AM263" s="107">
        <f t="shared" si="156"/>
        <v>21249.992120130482</v>
      </c>
      <c r="AN263" s="107">
        <f t="shared" si="156"/>
        <v>24284.474909023687</v>
      </c>
      <c r="AO263" s="107">
        <f t="shared" si="156"/>
        <v>22185.760762231075</v>
      </c>
      <c r="AP263" s="107">
        <f t="shared" si="156"/>
        <v>25439.738682697556</v>
      </c>
      <c r="AQ263" s="108">
        <f t="shared" si="156"/>
        <v>25439.738682697556</v>
      </c>
    </row>
    <row r="264" spans="1:43" outlineLevel="1" x14ac:dyDescent="0.25">
      <c r="B264" s="293" t="s">
        <v>303</v>
      </c>
      <c r="C264" s="288"/>
      <c r="D264" s="100">
        <v>43989</v>
      </c>
      <c r="E264" s="100">
        <v>45242</v>
      </c>
      <c r="F264" s="100">
        <v>46032</v>
      </c>
      <c r="G264" s="100">
        <v>47018</v>
      </c>
      <c r="H264" s="94">
        <f>G264</f>
        <v>47018</v>
      </c>
      <c r="I264" s="100">
        <v>48121</v>
      </c>
      <c r="J264" s="100">
        <v>48918</v>
      </c>
      <c r="K264" s="100">
        <v>49752</v>
      </c>
      <c r="L264" s="100">
        <v>50626</v>
      </c>
      <c r="M264" s="94">
        <f>L264</f>
        <v>50626</v>
      </c>
      <c r="N264" s="100">
        <v>51540</v>
      </c>
      <c r="O264" s="100">
        <v>53240</v>
      </c>
      <c r="P264" s="100">
        <v>54377</v>
      </c>
      <c r="Q264" s="100">
        <v>55121</v>
      </c>
      <c r="R264" s="94">
        <f>Q264</f>
        <v>55121</v>
      </c>
      <c r="S264" s="100">
        <v>56326</v>
      </c>
      <c r="T264" s="100">
        <v>57501</v>
      </c>
      <c r="U264" s="100">
        <v>58164</v>
      </c>
      <c r="V264" s="100">
        <f>U264-V336</f>
        <v>59640.177079096364</v>
      </c>
      <c r="W264" s="94">
        <f>V264</f>
        <v>59640.177079096364</v>
      </c>
      <c r="X264" s="100">
        <f>V264-X336</f>
        <v>60942.450134775783</v>
      </c>
      <c r="Y264" s="100">
        <f>X264-Y336</f>
        <v>62328.02035800978</v>
      </c>
      <c r="Z264" s="100">
        <f>Y264-Z336</f>
        <v>63638.57608906916</v>
      </c>
      <c r="AA264" s="100">
        <f>Z264-AA336</f>
        <v>65068.65619224243</v>
      </c>
      <c r="AB264" s="94">
        <f>AA264</f>
        <v>65068.65619224243</v>
      </c>
      <c r="AC264" s="100">
        <f>AA264-AC336</f>
        <v>66415.242479533452</v>
      </c>
      <c r="AD264" s="100">
        <f>AC264-AD336</f>
        <v>67822.521233767387</v>
      </c>
      <c r="AE264" s="100">
        <f>AD264-AE336</f>
        <v>69178.620352053607</v>
      </c>
      <c r="AF264" s="100">
        <f>AE264-AF336</f>
        <v>70618.321348160505</v>
      </c>
      <c r="AG264" s="94">
        <f>AF264</f>
        <v>70618.321348160505</v>
      </c>
      <c r="AH264" s="100">
        <f>AF264-AH336</f>
        <v>71994.276252058553</v>
      </c>
      <c r="AI264" s="100">
        <f>AH264-AI336</f>
        <v>73424.989330944562</v>
      </c>
      <c r="AJ264" s="100">
        <f>AI264-AJ336</f>
        <v>74806.173400376181</v>
      </c>
      <c r="AK264" s="100">
        <f>AJ264-AK336</f>
        <v>76265.352060924415</v>
      </c>
      <c r="AL264" s="94">
        <f>AK264</f>
        <v>76265.352060924415</v>
      </c>
      <c r="AM264" s="100">
        <f>AK264-AM336</f>
        <v>77664.077308403168</v>
      </c>
      <c r="AN264" s="100">
        <f>AM264-AN336</f>
        <v>79113.662566931831</v>
      </c>
      <c r="AO264" s="100">
        <f>AN264-AO336</f>
        <v>80513.883243481556</v>
      </c>
      <c r="AP264" s="100">
        <f>AO264-AP336</f>
        <v>81990.112836570901</v>
      </c>
      <c r="AQ264" s="94">
        <f>AP264</f>
        <v>81990.112836570901</v>
      </c>
    </row>
    <row r="265" spans="1:43" ht="17.25" outlineLevel="1" x14ac:dyDescent="0.4">
      <c r="B265" s="123" t="s">
        <v>212</v>
      </c>
      <c r="C265" s="288"/>
      <c r="D265" s="101">
        <v>22506</v>
      </c>
      <c r="E265" s="101">
        <v>22964</v>
      </c>
      <c r="F265" s="101">
        <v>23480</v>
      </c>
      <c r="G265" s="101">
        <v>22734</v>
      </c>
      <c r="H265" s="99">
        <f>G265</f>
        <v>22734</v>
      </c>
      <c r="I265" s="101">
        <v>23317</v>
      </c>
      <c r="J265" s="101">
        <v>23611</v>
      </c>
      <c r="K265" s="101">
        <v>24139</v>
      </c>
      <c r="L265" s="101">
        <v>24645</v>
      </c>
      <c r="M265" s="99">
        <f>L265</f>
        <v>24645</v>
      </c>
      <c r="N265" s="101">
        <v>25305</v>
      </c>
      <c r="O265" s="101">
        <v>25950</v>
      </c>
      <c r="P265" s="101">
        <v>26680</v>
      </c>
      <c r="Q265" s="101">
        <v>26967</v>
      </c>
      <c r="R265" s="99">
        <f>Q265</f>
        <v>26967</v>
      </c>
      <c r="S265" s="101">
        <v>27547</v>
      </c>
      <c r="T265" s="101">
        <v>28114</v>
      </c>
      <c r="U265" s="101">
        <v>28396</v>
      </c>
      <c r="V265" s="101">
        <f>+U265+V321</f>
        <v>29257.860906015743</v>
      </c>
      <c r="W265" s="99">
        <f>V265</f>
        <v>29257.860906015743</v>
      </c>
      <c r="X265" s="101">
        <f>+V265+X321</f>
        <v>30145.042125563621</v>
      </c>
      <c r="Y265" s="101">
        <f>+X265+Y321</f>
        <v>31051.999030326173</v>
      </c>
      <c r="Z265" s="101">
        <f>+Y265+Z321</f>
        <v>31968.59828953589</v>
      </c>
      <c r="AA265" s="101">
        <f>+Z265+AA321</f>
        <v>32905.913568524906</v>
      </c>
      <c r="AB265" s="99">
        <f>AA265</f>
        <v>32905.913568524906</v>
      </c>
      <c r="AC265" s="101">
        <f>+AA265+AC321</f>
        <v>33873.300399196945</v>
      </c>
      <c r="AD265" s="101">
        <f>+AC265+AD321</f>
        <v>34860.948667212499</v>
      </c>
      <c r="AE265" s="101">
        <f>+AD265+AE321</f>
        <v>35858.574373084462</v>
      </c>
      <c r="AF265" s="101">
        <f>+AE265+AF321</f>
        <v>36877.146603553665</v>
      </c>
      <c r="AG265" s="99">
        <f>AF265</f>
        <v>36877.146603553665</v>
      </c>
      <c r="AH265" s="101">
        <f>+AF265+AH321</f>
        <v>37926.41233266607</v>
      </c>
      <c r="AI265" s="101">
        <f>+AH265+AI321</f>
        <v>38996.327994371299</v>
      </c>
      <c r="AJ265" s="101">
        <f>+AI265+AJ321</f>
        <v>40076.405655325107</v>
      </c>
      <c r="AK265" s="101">
        <f>+AJ265+AK321</f>
        <v>41177.745563892786</v>
      </c>
      <c r="AL265" s="99">
        <f>AK265</f>
        <v>41177.745563892786</v>
      </c>
      <c r="AM265" s="101">
        <f>+AK265+AM321</f>
        <v>42310.274370301791</v>
      </c>
      <c r="AN265" s="101">
        <f>+AM265+AN321</f>
        <v>43463.759492282596</v>
      </c>
      <c r="AO265" s="101">
        <f>+AN265+AO321</f>
        <v>44627.546674486839</v>
      </c>
      <c r="AP265" s="101">
        <f>+AO265+AP321</f>
        <v>45812.860406976193</v>
      </c>
      <c r="AQ265" s="99">
        <f>AP265</f>
        <v>45812.860406976193</v>
      </c>
    </row>
    <row r="266" spans="1:43" s="55" customFormat="1" outlineLevel="1" x14ac:dyDescent="0.25">
      <c r="B266" s="287" t="s">
        <v>304</v>
      </c>
      <c r="C266" s="288"/>
      <c r="D266" s="109">
        <f t="shared" ref="D266:AQ266" si="157">+D264-D265</f>
        <v>21483</v>
      </c>
      <c r="E266" s="109">
        <f t="shared" si="157"/>
        <v>22278</v>
      </c>
      <c r="F266" s="109">
        <f t="shared" si="157"/>
        <v>22552</v>
      </c>
      <c r="G266" s="109">
        <f t="shared" si="157"/>
        <v>24284</v>
      </c>
      <c r="H266" s="108">
        <f t="shared" si="157"/>
        <v>24284</v>
      </c>
      <c r="I266" s="109">
        <f t="shared" si="157"/>
        <v>24804</v>
      </c>
      <c r="J266" s="109">
        <f t="shared" si="157"/>
        <v>25307</v>
      </c>
      <c r="K266" s="109">
        <f t="shared" si="157"/>
        <v>25613</v>
      </c>
      <c r="L266" s="109">
        <f t="shared" si="157"/>
        <v>25981</v>
      </c>
      <c r="M266" s="108">
        <f t="shared" si="157"/>
        <v>25981</v>
      </c>
      <c r="N266" s="109">
        <f t="shared" si="157"/>
        <v>26235</v>
      </c>
      <c r="O266" s="109">
        <f t="shared" si="157"/>
        <v>27290</v>
      </c>
      <c r="P266" s="109">
        <f t="shared" si="157"/>
        <v>27697</v>
      </c>
      <c r="Q266" s="109">
        <f t="shared" si="157"/>
        <v>28154</v>
      </c>
      <c r="R266" s="108">
        <f t="shared" si="157"/>
        <v>28154</v>
      </c>
      <c r="S266" s="109">
        <f t="shared" si="157"/>
        <v>28779</v>
      </c>
      <c r="T266" s="109">
        <f t="shared" si="157"/>
        <v>29387</v>
      </c>
      <c r="U266" s="109">
        <f t="shared" si="157"/>
        <v>29768</v>
      </c>
      <c r="V266" s="109">
        <f t="shared" si="157"/>
        <v>30382.316173080621</v>
      </c>
      <c r="W266" s="108">
        <f t="shared" si="157"/>
        <v>30382.316173080621</v>
      </c>
      <c r="X266" s="109">
        <f t="shared" si="157"/>
        <v>30797.408009212162</v>
      </c>
      <c r="Y266" s="109">
        <f t="shared" si="157"/>
        <v>31276.021327683608</v>
      </c>
      <c r="Z266" s="109">
        <f t="shared" si="157"/>
        <v>31669.97779953327</v>
      </c>
      <c r="AA266" s="109">
        <f t="shared" si="157"/>
        <v>32162.742623717524</v>
      </c>
      <c r="AB266" s="108">
        <f t="shared" si="157"/>
        <v>32162.742623717524</v>
      </c>
      <c r="AC266" s="109">
        <f t="shared" si="157"/>
        <v>32541.942080336506</v>
      </c>
      <c r="AD266" s="109">
        <f t="shared" si="157"/>
        <v>32961.572566554889</v>
      </c>
      <c r="AE266" s="109">
        <f t="shared" si="157"/>
        <v>33320.045978969145</v>
      </c>
      <c r="AF266" s="109">
        <f t="shared" si="157"/>
        <v>33741.17474460684</v>
      </c>
      <c r="AG266" s="108">
        <f t="shared" si="157"/>
        <v>33741.17474460684</v>
      </c>
      <c r="AH266" s="109">
        <f t="shared" si="157"/>
        <v>34067.863919392483</v>
      </c>
      <c r="AI266" s="109">
        <f t="shared" si="157"/>
        <v>34428.661336573263</v>
      </c>
      <c r="AJ266" s="109">
        <f t="shared" si="157"/>
        <v>34729.767745051075</v>
      </c>
      <c r="AK266" s="109">
        <f t="shared" si="157"/>
        <v>35087.606497031629</v>
      </c>
      <c r="AL266" s="108">
        <f t="shared" si="157"/>
        <v>35087.606497031629</v>
      </c>
      <c r="AM266" s="109">
        <f t="shared" si="157"/>
        <v>35353.802938101377</v>
      </c>
      <c r="AN266" s="109">
        <f t="shared" si="157"/>
        <v>35649.903074649235</v>
      </c>
      <c r="AO266" s="109">
        <f t="shared" si="157"/>
        <v>35886.336568994717</v>
      </c>
      <c r="AP266" s="109">
        <f t="shared" si="157"/>
        <v>36177.252429594708</v>
      </c>
      <c r="AQ266" s="108">
        <f t="shared" si="157"/>
        <v>36177.252429594708</v>
      </c>
    </row>
    <row r="267" spans="1:43" outlineLevel="1" x14ac:dyDescent="0.25">
      <c r="B267" s="709" t="s">
        <v>44</v>
      </c>
      <c r="C267" s="710"/>
      <c r="D267" s="100">
        <v>3792</v>
      </c>
      <c r="E267" s="100">
        <v>3806</v>
      </c>
      <c r="F267" s="100">
        <v>3764</v>
      </c>
      <c r="G267" s="100">
        <v>6747</v>
      </c>
      <c r="H267" s="94">
        <f>G267</f>
        <v>6747</v>
      </c>
      <c r="I267" s="100">
        <v>6783</v>
      </c>
      <c r="J267" s="100">
        <v>6921</v>
      </c>
      <c r="K267" s="100">
        <v>7000</v>
      </c>
      <c r="L267" s="100">
        <v>7154</v>
      </c>
      <c r="M267" s="94">
        <f>L267</f>
        <v>7154</v>
      </c>
      <c r="N267" s="100">
        <v>7382</v>
      </c>
      <c r="O267" s="100">
        <v>7325</v>
      </c>
      <c r="P267" s="100">
        <v>7464</v>
      </c>
      <c r="Q267" s="100">
        <v>6973</v>
      </c>
      <c r="R267" s="94">
        <f>+Q267</f>
        <v>6973</v>
      </c>
      <c r="S267" s="100">
        <v>6869</v>
      </c>
      <c r="T267" s="100">
        <v>6908</v>
      </c>
      <c r="U267" s="100">
        <v>6916</v>
      </c>
      <c r="V267" s="242">
        <f>U267*(1+(2%/4))</f>
        <v>6950.579999999999</v>
      </c>
      <c r="W267" s="94">
        <f>V267</f>
        <v>6950.579999999999</v>
      </c>
      <c r="X267" s="242">
        <f>V267*(1+(2%/4))</f>
        <v>6985.3328999999985</v>
      </c>
      <c r="Y267" s="242">
        <f>X267*(1+(2%/4))</f>
        <v>7020.2595644999974</v>
      </c>
      <c r="Z267" s="242">
        <f>Y267*(1+(2%/4))</f>
        <v>7055.3608623224964</v>
      </c>
      <c r="AA267" s="242">
        <f>Z267*(1+(2%/4))</f>
        <v>7090.6376666341084</v>
      </c>
      <c r="AB267" s="94">
        <f>AA267</f>
        <v>7090.6376666341084</v>
      </c>
      <c r="AC267" s="242">
        <f>AA267*(1+(2%/4))</f>
        <v>7126.0908549672786</v>
      </c>
      <c r="AD267" s="242">
        <f>AC267*(1+(2%/4))</f>
        <v>7161.7213092421143</v>
      </c>
      <c r="AE267" s="242">
        <f>AD267*(1+(2%/4))</f>
        <v>7197.5299157883237</v>
      </c>
      <c r="AF267" s="242">
        <f>AE267*(1+(2%/4))</f>
        <v>7233.517565367265</v>
      </c>
      <c r="AG267" s="94">
        <f>AF267</f>
        <v>7233.517565367265</v>
      </c>
      <c r="AH267" s="242">
        <f>AF267*(1+(2%/4))</f>
        <v>7269.6851531941002</v>
      </c>
      <c r="AI267" s="242">
        <f>AH267*(1+(2%/4))</f>
        <v>7306.0335789600695</v>
      </c>
      <c r="AJ267" s="242">
        <f>AI267*(1+(2%/4))</f>
        <v>7342.5637468548694</v>
      </c>
      <c r="AK267" s="242">
        <f>AJ267*(1+(2%/4))</f>
        <v>7379.2765655891426</v>
      </c>
      <c r="AL267" s="94">
        <f>AK267</f>
        <v>7379.2765655891426</v>
      </c>
      <c r="AM267" s="242">
        <f>AK267*(1+(2%/4))</f>
        <v>7416.1729484170874</v>
      </c>
      <c r="AN267" s="242">
        <f>AM267*(1+(2%/4))</f>
        <v>7453.2538131591718</v>
      </c>
      <c r="AO267" s="242">
        <f>AN267*(1+(2%/4))</f>
        <v>7490.5200822249672</v>
      </c>
      <c r="AP267" s="242">
        <f>AO267*(1+(2%/4))</f>
        <v>7527.9726826360911</v>
      </c>
      <c r="AQ267" s="94">
        <f>AP267</f>
        <v>7527.9726826360911</v>
      </c>
    </row>
    <row r="268" spans="1:43" ht="17.25" outlineLevel="1" x14ac:dyDescent="0.4">
      <c r="B268" s="709" t="s">
        <v>213</v>
      </c>
      <c r="C268" s="710"/>
      <c r="D268" s="101">
        <v>1267</v>
      </c>
      <c r="E268" s="101">
        <v>1135</v>
      </c>
      <c r="F268" s="101">
        <v>1266</v>
      </c>
      <c r="G268" s="101">
        <v>2939</v>
      </c>
      <c r="H268" s="99">
        <f>G268</f>
        <v>2939</v>
      </c>
      <c r="I268" s="101">
        <v>2587</v>
      </c>
      <c r="J268" s="101">
        <v>2068</v>
      </c>
      <c r="K268" s="101">
        <v>2230</v>
      </c>
      <c r="L268" s="101">
        <v>2789</v>
      </c>
      <c r="M268" s="99">
        <f>L268</f>
        <v>2789</v>
      </c>
      <c r="N268" s="101">
        <v>3011</v>
      </c>
      <c r="O268" s="101">
        <v>2785</v>
      </c>
      <c r="P268" s="101">
        <v>3115</v>
      </c>
      <c r="Q268" s="101">
        <v>3821</v>
      </c>
      <c r="R268" s="99">
        <f>Q268</f>
        <v>3821</v>
      </c>
      <c r="S268" s="101">
        <v>3612</v>
      </c>
      <c r="T268" s="101">
        <v>3556</v>
      </c>
      <c r="U268" s="101">
        <v>4280</v>
      </c>
      <c r="V268" s="240">
        <f>U268*(1+(5%/4))</f>
        <v>4333.5</v>
      </c>
      <c r="W268" s="99">
        <f>V268</f>
        <v>4333.5</v>
      </c>
      <c r="X268" s="240">
        <f>V268*(1+(5%/4))</f>
        <v>4387.6687499999998</v>
      </c>
      <c r="Y268" s="240">
        <f>X268*(1+(5%/4))</f>
        <v>4442.514609375</v>
      </c>
      <c r="Z268" s="240">
        <f>Y268*(1+(5%/4))</f>
        <v>4498.0460419921874</v>
      </c>
      <c r="AA268" s="240">
        <f>Z268*(1+(5%/4))</f>
        <v>4554.2716175170899</v>
      </c>
      <c r="AB268" s="99">
        <f>AA268</f>
        <v>4554.2716175170899</v>
      </c>
      <c r="AC268" s="240">
        <f>AA268*(1+(5%/4))</f>
        <v>4611.2000127360534</v>
      </c>
      <c r="AD268" s="240">
        <f>AC268*(1+(5%/4))</f>
        <v>4668.8400128952535</v>
      </c>
      <c r="AE268" s="240">
        <f>AD268*(1+(5%/4))</f>
        <v>4727.2005130564439</v>
      </c>
      <c r="AF268" s="240">
        <f>AE268*(1+(5%/4))</f>
        <v>4786.2905194696496</v>
      </c>
      <c r="AG268" s="99">
        <f>AF268</f>
        <v>4786.2905194696496</v>
      </c>
      <c r="AH268" s="240">
        <f>AF268*(1+(5%/4))</f>
        <v>4846.1191509630198</v>
      </c>
      <c r="AI268" s="240">
        <f>AH268*(1+(5%/4))</f>
        <v>4906.6956403500571</v>
      </c>
      <c r="AJ268" s="240">
        <f>AI268*(1+(5%/4))</f>
        <v>4968.0293358544322</v>
      </c>
      <c r="AK268" s="240">
        <f>AJ268*(1+(5%/4))</f>
        <v>5030.1297025526128</v>
      </c>
      <c r="AL268" s="99">
        <f>AK268</f>
        <v>5030.1297025526128</v>
      </c>
      <c r="AM268" s="240">
        <f>AK268*(1+(5%/4))</f>
        <v>5093.0063238345201</v>
      </c>
      <c r="AN268" s="240">
        <f>AM268*(1+(5%/4))</f>
        <v>5156.6689028824512</v>
      </c>
      <c r="AO268" s="240">
        <f>AN268*(1+(5%/4))</f>
        <v>5221.1272641684818</v>
      </c>
      <c r="AP268" s="240">
        <f>AO268*(1+(5%/4))</f>
        <v>5286.3913549705876</v>
      </c>
      <c r="AQ268" s="99">
        <f>AP268</f>
        <v>5286.3913549705876</v>
      </c>
    </row>
    <row r="269" spans="1:43" outlineLevel="1" x14ac:dyDescent="0.25">
      <c r="B269" s="761" t="s">
        <v>5</v>
      </c>
      <c r="C269" s="762"/>
      <c r="D269" s="109">
        <f t="shared" ref="D269:AQ269" si="158">+D263+D266+D267+D268</f>
        <v>37245</v>
      </c>
      <c r="E269" s="107">
        <f t="shared" si="158"/>
        <v>38371</v>
      </c>
      <c r="F269" s="109">
        <f t="shared" si="158"/>
        <v>37819</v>
      </c>
      <c r="G269" s="109">
        <f t="shared" si="158"/>
        <v>45959</v>
      </c>
      <c r="H269" s="108">
        <f t="shared" si="158"/>
        <v>45959</v>
      </c>
      <c r="I269" s="107">
        <f t="shared" si="158"/>
        <v>45575</v>
      </c>
      <c r="J269" s="109">
        <f t="shared" si="158"/>
        <v>46348</v>
      </c>
      <c r="K269" s="109">
        <f t="shared" si="158"/>
        <v>46781</v>
      </c>
      <c r="L269" s="109">
        <f t="shared" si="158"/>
        <v>48552</v>
      </c>
      <c r="M269" s="108">
        <f t="shared" si="158"/>
        <v>48552</v>
      </c>
      <c r="N269" s="109">
        <f t="shared" si="158"/>
        <v>49350</v>
      </c>
      <c r="O269" s="107">
        <f t="shared" si="158"/>
        <v>50281</v>
      </c>
      <c r="P269" s="107">
        <f t="shared" si="158"/>
        <v>51851</v>
      </c>
      <c r="Q269" s="107">
        <f t="shared" si="158"/>
        <v>52300.125785999997</v>
      </c>
      <c r="R269" s="108">
        <f t="shared" si="158"/>
        <v>52300.125785999997</v>
      </c>
      <c r="S269" s="109">
        <f t="shared" si="158"/>
        <v>51901.125785999997</v>
      </c>
      <c r="T269" s="107">
        <f t="shared" si="158"/>
        <v>53289.125785999997</v>
      </c>
      <c r="U269" s="107">
        <f t="shared" si="158"/>
        <v>54464.125785999997</v>
      </c>
      <c r="V269" s="107">
        <f t="shared" si="158"/>
        <v>56244.421900658519</v>
      </c>
      <c r="W269" s="108">
        <f t="shared" si="158"/>
        <v>56244.421900658519</v>
      </c>
      <c r="X269" s="107">
        <f t="shared" si="158"/>
        <v>56539.622457167716</v>
      </c>
      <c r="Y269" s="107">
        <f t="shared" si="158"/>
        <v>58529.428537253596</v>
      </c>
      <c r="Z269" s="107">
        <f t="shared" si="158"/>
        <v>58558.961520581128</v>
      </c>
      <c r="AA269" s="107">
        <f t="shared" si="158"/>
        <v>61013.453998056677</v>
      </c>
      <c r="AB269" s="108">
        <f t="shared" si="158"/>
        <v>61013.453998056677</v>
      </c>
      <c r="AC269" s="107">
        <f t="shared" si="158"/>
        <v>60954.976497919182</v>
      </c>
      <c r="AD269" s="107">
        <f t="shared" si="158"/>
        <v>63744.651080921256</v>
      </c>
      <c r="AE269" s="107">
        <f t="shared" si="158"/>
        <v>63108.137893712912</v>
      </c>
      <c r="AF269" s="107">
        <f t="shared" si="158"/>
        <v>66068.790700107769</v>
      </c>
      <c r="AG269" s="108">
        <f t="shared" si="158"/>
        <v>66068.790700107769</v>
      </c>
      <c r="AH269" s="107">
        <f t="shared" si="158"/>
        <v>65332.937604421728</v>
      </c>
      <c r="AI269" s="107">
        <f t="shared" si="158"/>
        <v>68365.438169913032</v>
      </c>
      <c r="AJ269" s="107">
        <f t="shared" si="158"/>
        <v>67061.073090838836</v>
      </c>
      <c r="AK269" s="107">
        <f t="shared" si="158"/>
        <v>70323.128027888088</v>
      </c>
      <c r="AL269" s="108">
        <f t="shared" si="158"/>
        <v>70323.128027888088</v>
      </c>
      <c r="AM269" s="107">
        <f t="shared" si="158"/>
        <v>69112.97433048347</v>
      </c>
      <c r="AN269" s="107">
        <f t="shared" si="158"/>
        <v>72544.300699714542</v>
      </c>
      <c r="AO269" s="107">
        <f t="shared" si="158"/>
        <v>70783.744677619237</v>
      </c>
      <c r="AP269" s="107">
        <f t="shared" si="158"/>
        <v>74431.35514989894</v>
      </c>
      <c r="AQ269" s="108">
        <f t="shared" si="158"/>
        <v>74431.35514989894</v>
      </c>
    </row>
    <row r="270" spans="1:43" ht="15.75" x14ac:dyDescent="0.25">
      <c r="B270" s="713" t="s">
        <v>7</v>
      </c>
      <c r="C270" s="714"/>
      <c r="D270" s="90" t="s">
        <v>71</v>
      </c>
      <c r="E270" s="90" t="s">
        <v>74</v>
      </c>
      <c r="F270" s="90" t="s">
        <v>75</v>
      </c>
      <c r="G270" s="90" t="s">
        <v>78</v>
      </c>
      <c r="H270" s="400" t="s">
        <v>79</v>
      </c>
      <c r="I270" s="90" t="s">
        <v>80</v>
      </c>
      <c r="J270" s="90" t="s">
        <v>91</v>
      </c>
      <c r="K270" s="90" t="s">
        <v>109</v>
      </c>
      <c r="L270" s="90" t="s">
        <v>113</v>
      </c>
      <c r="M270" s="400" t="s">
        <v>114</v>
      </c>
      <c r="N270" s="90" t="s">
        <v>115</v>
      </c>
      <c r="O270" s="90" t="s">
        <v>116</v>
      </c>
      <c r="P270" s="90" t="s">
        <v>117</v>
      </c>
      <c r="Q270" s="90" t="s">
        <v>118</v>
      </c>
      <c r="R270" s="400" t="s">
        <v>119</v>
      </c>
      <c r="S270" s="90" t="s">
        <v>507</v>
      </c>
      <c r="T270" s="90" t="s">
        <v>749</v>
      </c>
      <c r="U270" s="90" t="s">
        <v>769</v>
      </c>
      <c r="V270" s="92" t="s">
        <v>378</v>
      </c>
      <c r="W270" s="404" t="s">
        <v>379</v>
      </c>
      <c r="X270" s="92" t="s">
        <v>380</v>
      </c>
      <c r="Y270" s="92" t="s">
        <v>381</v>
      </c>
      <c r="Z270" s="92" t="s">
        <v>382</v>
      </c>
      <c r="AA270" s="92" t="s">
        <v>383</v>
      </c>
      <c r="AB270" s="404" t="s">
        <v>384</v>
      </c>
      <c r="AC270" s="92" t="s">
        <v>385</v>
      </c>
      <c r="AD270" s="92" t="s">
        <v>386</v>
      </c>
      <c r="AE270" s="92" t="s">
        <v>387</v>
      </c>
      <c r="AF270" s="92" t="s">
        <v>388</v>
      </c>
      <c r="AG270" s="404" t="s">
        <v>389</v>
      </c>
      <c r="AH270" s="92" t="s">
        <v>390</v>
      </c>
      <c r="AI270" s="92" t="s">
        <v>391</v>
      </c>
      <c r="AJ270" s="92" t="s">
        <v>392</v>
      </c>
      <c r="AK270" s="92" t="s">
        <v>393</v>
      </c>
      <c r="AL270" s="404" t="s">
        <v>394</v>
      </c>
      <c r="AM270" s="92" t="s">
        <v>395</v>
      </c>
      <c r="AN270" s="92" t="s">
        <v>396</v>
      </c>
      <c r="AO270" s="92" t="s">
        <v>397</v>
      </c>
      <c r="AP270" s="92" t="s">
        <v>398</v>
      </c>
      <c r="AQ270" s="404" t="s">
        <v>399</v>
      </c>
    </row>
    <row r="271" spans="1:43" outlineLevel="1" x14ac:dyDescent="0.25">
      <c r="B271" s="178" t="s">
        <v>214</v>
      </c>
      <c r="C271" s="292"/>
      <c r="D271" s="374"/>
      <c r="E271" s="374"/>
      <c r="F271" s="374"/>
      <c r="G271" s="374"/>
      <c r="H271" s="375"/>
      <c r="I271" s="374"/>
      <c r="J271" s="374"/>
      <c r="K271" s="374"/>
      <c r="L271" s="374"/>
      <c r="M271" s="375"/>
      <c r="N271" s="374">
        <v>0</v>
      </c>
      <c r="O271" s="374">
        <v>250</v>
      </c>
      <c r="P271" s="374">
        <v>799</v>
      </c>
      <c r="Q271" s="374">
        <v>0</v>
      </c>
      <c r="R271" s="375">
        <f>Q271</f>
        <v>0</v>
      </c>
      <c r="S271" s="374">
        <v>299</v>
      </c>
      <c r="T271" s="374">
        <v>250</v>
      </c>
      <c r="U271" s="374">
        <v>225</v>
      </c>
      <c r="V271" s="374">
        <f>+V297*V312*V313</f>
        <v>235.40698330444769</v>
      </c>
      <c r="W271" s="375">
        <f>V271</f>
        <v>235.40698330444769</v>
      </c>
      <c r="X271" s="374">
        <f>+X297*X312*X313</f>
        <v>276.53302935093484</v>
      </c>
      <c r="Y271" s="374">
        <f>+Y297*Y312*Y313</f>
        <v>264.51205309836041</v>
      </c>
      <c r="Z271" s="374">
        <f>+Z297*Z312*Z313</f>
        <v>262.02924927734341</v>
      </c>
      <c r="AA271" s="374">
        <f>+AA297*AA312*AA313</f>
        <v>275.42466788533869</v>
      </c>
      <c r="AB271" s="375">
        <f>AA271</f>
        <v>275.42466788533869</v>
      </c>
      <c r="AC271" s="374">
        <f>+AC297*AC312*AC313</f>
        <v>286.58282480729446</v>
      </c>
      <c r="AD271" s="374">
        <f>+AD297*AD312*AD313</f>
        <v>288.92654303180325</v>
      </c>
      <c r="AE271" s="374">
        <f>+AE297*AE312*AE313</f>
        <v>291.93782242357406</v>
      </c>
      <c r="AF271" s="374">
        <f>+AF297*AF312*AF313</f>
        <v>302.5543247444993</v>
      </c>
      <c r="AG271" s="375">
        <f>AF271</f>
        <v>302.5543247444993</v>
      </c>
      <c r="AH271" s="374">
        <f>+AH297*AH312*AH313</f>
        <v>307.0566283295733</v>
      </c>
      <c r="AI271" s="374">
        <f>+AI297*AI312*AI313</f>
        <v>310.09571537712077</v>
      </c>
      <c r="AJ271" s="374">
        <f>+AJ297*AJ312*AJ313</f>
        <v>311.21184802277122</v>
      </c>
      <c r="AK271" s="374">
        <f>+AK297*AK312*AK313</f>
        <v>318.81058734731738</v>
      </c>
      <c r="AL271" s="375">
        <f>AK271</f>
        <v>318.81058734731738</v>
      </c>
      <c r="AM271" s="374">
        <f>+AM297*AM312*AM313</f>
        <v>322.56597474045901</v>
      </c>
      <c r="AN271" s="374">
        <f>+AN297*AN312*AN313</f>
        <v>325.66030655199074</v>
      </c>
      <c r="AO271" s="374">
        <f>+AO297*AO312*AO313</f>
        <v>326.27760205805919</v>
      </c>
      <c r="AP271" s="374">
        <f>+AP297*AP312*AP313</f>
        <v>333.11955904444665</v>
      </c>
      <c r="AQ271" s="375">
        <f>AP271</f>
        <v>333.11955904444665</v>
      </c>
    </row>
    <row r="272" spans="1:43" outlineLevel="1" x14ac:dyDescent="0.25">
      <c r="B272" s="717" t="s">
        <v>215</v>
      </c>
      <c r="C272" s="718"/>
      <c r="D272" s="374">
        <v>14</v>
      </c>
      <c r="E272" s="374">
        <v>14</v>
      </c>
      <c r="F272" s="374">
        <v>11</v>
      </c>
      <c r="G272" s="374">
        <v>29</v>
      </c>
      <c r="H272" s="375">
        <f>G272</f>
        <v>29</v>
      </c>
      <c r="I272" s="374">
        <v>47</v>
      </c>
      <c r="J272" s="374">
        <v>43</v>
      </c>
      <c r="K272" s="374">
        <v>45</v>
      </c>
      <c r="L272" s="374">
        <v>22</v>
      </c>
      <c r="M272" s="375">
        <f>L272</f>
        <v>22</v>
      </c>
      <c r="N272" s="374">
        <v>19</v>
      </c>
      <c r="O272" s="374">
        <v>11</v>
      </c>
      <c r="P272" s="374">
        <v>764</v>
      </c>
      <c r="Q272" s="374">
        <v>1342</v>
      </c>
      <c r="R272" s="375">
        <f>Q272</f>
        <v>1342</v>
      </c>
      <c r="S272" s="374">
        <v>1404</v>
      </c>
      <c r="T272" s="374">
        <v>642</v>
      </c>
      <c r="U272" s="374">
        <v>973</v>
      </c>
      <c r="V272" s="374">
        <f>+V297*V312*V314</f>
        <v>1018.004421134345</v>
      </c>
      <c r="W272" s="375">
        <f>V272</f>
        <v>1018.004421134345</v>
      </c>
      <c r="X272" s="374">
        <f>+X297*X312*X314</f>
        <v>1103.6827808897162</v>
      </c>
      <c r="Y272" s="374">
        <f>+Y297*Y312*Y314</f>
        <v>993.69319444160567</v>
      </c>
      <c r="Z272" s="374">
        <f>+Z297*Z312*Z314</f>
        <v>1071.2587131395494</v>
      </c>
      <c r="AA272" s="374">
        <f>+AA297*AA312*AA314</f>
        <v>1110.9078320049589</v>
      </c>
      <c r="AB272" s="375">
        <f>AA272</f>
        <v>1110.9078320049589</v>
      </c>
      <c r="AC272" s="374">
        <f>+AC297*AC312*AC314</f>
        <v>1136.8648913362463</v>
      </c>
      <c r="AD272" s="374">
        <f>+AD297*AD312*AD314</f>
        <v>1144.2899388859937</v>
      </c>
      <c r="AE272" s="374">
        <f>+AE297*AE312*AE314</f>
        <v>1171.1952075157894</v>
      </c>
      <c r="AF272" s="374">
        <f>+AF297*AF312*AF314</f>
        <v>1208.1115850376964</v>
      </c>
      <c r="AG272" s="375">
        <f>AF272</f>
        <v>1208.1115850376964</v>
      </c>
      <c r="AH272" s="374">
        <f>+AH297*AH312*AH314</f>
        <v>1223.0099611330759</v>
      </c>
      <c r="AI272" s="374">
        <f>+AI297*AI312*AI314</f>
        <v>1236.3748265239853</v>
      </c>
      <c r="AJ272" s="374">
        <f>+AJ297*AJ312*AJ314</f>
        <v>1242.8903168731829</v>
      </c>
      <c r="AK272" s="374">
        <f>+AK297*AK312*AK314</f>
        <v>1271.8013816770331</v>
      </c>
      <c r="AL272" s="375">
        <f>AK272</f>
        <v>1271.8013816770331</v>
      </c>
      <c r="AM272" s="374">
        <f>+AM297*AM312*AM314</f>
        <v>1286.4731934169104</v>
      </c>
      <c r="AN272" s="374">
        <f>+AN297*AN312*AN314</f>
        <v>1299.2414155826104</v>
      </c>
      <c r="AO272" s="374">
        <f>+AO297*AO312*AO314</f>
        <v>1301.9067371443184</v>
      </c>
      <c r="AP272" s="374">
        <f>+AP297*AP312*AP314</f>
        <v>1328.9135402583913</v>
      </c>
      <c r="AQ272" s="375">
        <f>AP272</f>
        <v>1328.9135402583913</v>
      </c>
    </row>
    <row r="273" spans="2:43" outlineLevel="1" x14ac:dyDescent="0.25">
      <c r="B273" s="178" t="s">
        <v>216</v>
      </c>
      <c r="C273" s="128"/>
      <c r="D273" s="374">
        <v>1355</v>
      </c>
      <c r="E273" s="374">
        <v>1510</v>
      </c>
      <c r="F273" s="374">
        <v>1451</v>
      </c>
      <c r="G273" s="374">
        <v>1972</v>
      </c>
      <c r="H273" s="375">
        <f>G273</f>
        <v>1972</v>
      </c>
      <c r="I273" s="374">
        <v>1603</v>
      </c>
      <c r="J273" s="374">
        <v>1765</v>
      </c>
      <c r="K273" s="374">
        <v>1690</v>
      </c>
      <c r="L273" s="374">
        <v>1914</v>
      </c>
      <c r="M273" s="375">
        <f>L273</f>
        <v>1914</v>
      </c>
      <c r="N273" s="374">
        <v>1656</v>
      </c>
      <c r="O273" s="374">
        <v>1912</v>
      </c>
      <c r="P273" s="374">
        <v>1945</v>
      </c>
      <c r="Q273" s="374">
        <v>2177</v>
      </c>
      <c r="R273" s="375">
        <f>Q273</f>
        <v>2177</v>
      </c>
      <c r="S273" s="168">
        <v>1686</v>
      </c>
      <c r="T273" s="374">
        <v>1850</v>
      </c>
      <c r="U273" s="374">
        <v>1659</v>
      </c>
      <c r="V273" s="140">
        <f>(V15*(V306)+T273)/2</f>
        <v>2022.8018416780483</v>
      </c>
      <c r="W273" s="375">
        <f>V273</f>
        <v>2022.8018416780483</v>
      </c>
      <c r="X273" s="140">
        <f>(X15*(X306)+V273)/2</f>
        <v>1993.9930207023267</v>
      </c>
      <c r="Y273" s="140">
        <f>(Y15*(Y306)+W273)/2</f>
        <v>1917.0519089157076</v>
      </c>
      <c r="Z273" s="140">
        <f>(Z15*(Z306)+X273)/2</f>
        <v>1902.7540243980566</v>
      </c>
      <c r="AA273" s="140">
        <f>(AA15*(AA306)+Y273)/2</f>
        <v>2090.9179177608962</v>
      </c>
      <c r="AB273" s="375">
        <f>AA273</f>
        <v>2090.9179177608962</v>
      </c>
      <c r="AC273" s="140">
        <f>(AC15*(AC306)+AA273)/2</f>
        <v>2036.7893443678647</v>
      </c>
      <c r="AD273" s="140">
        <f>(AD15*(AD306)+AB273)/2</f>
        <v>1958.266723897274</v>
      </c>
      <c r="AE273" s="140">
        <f>(AE15*(AE306)+AC273)/2</f>
        <v>1932.836664115729</v>
      </c>
      <c r="AF273" s="140">
        <f>(AF15*(AF306)+AD273)/2</f>
        <v>2118.8057171164246</v>
      </c>
      <c r="AG273" s="375">
        <f>AF273</f>
        <v>2118.8057171164246</v>
      </c>
      <c r="AH273" s="140">
        <f>(AH15*(AH306)+AF273)/2</f>
        <v>2071.2314309193257</v>
      </c>
      <c r="AI273" s="140">
        <f>(AI15*(AI306)+AG273)/2</f>
        <v>1990.1802129577536</v>
      </c>
      <c r="AJ273" s="140">
        <f>(AJ15*(AJ306)+AH273)/2</f>
        <v>1968.5666012960123</v>
      </c>
      <c r="AK273" s="140">
        <f>(AK15*(AK306)+AI273)/2</f>
        <v>2155.5418081589387</v>
      </c>
      <c r="AL273" s="375">
        <f>AK273</f>
        <v>2155.5418081589387</v>
      </c>
      <c r="AM273" s="140">
        <f>(AM15*(AM306)+AK273)/2</f>
        <v>2107.3159820754272</v>
      </c>
      <c r="AN273" s="140">
        <f>(AN15*(AN306)+AL273)/2</f>
        <v>2023.8189928832717</v>
      </c>
      <c r="AO273" s="140">
        <f>(AO15*(AO306)+AM273)/2</f>
        <v>2002.1889549417331</v>
      </c>
      <c r="AP273" s="140">
        <f>(AP15*(AP306)+AN273)/2</f>
        <v>2189.6169681031761</v>
      </c>
      <c r="AQ273" s="375">
        <f>AP273</f>
        <v>2189.6169681031761</v>
      </c>
    </row>
    <row r="274" spans="2:43" s="111" customFormat="1" outlineLevel="1" x14ac:dyDescent="0.25">
      <c r="B274" s="717" t="s">
        <v>45</v>
      </c>
      <c r="C274" s="718"/>
      <c r="D274" s="374">
        <v>2049</v>
      </c>
      <c r="E274" s="374">
        <v>2129</v>
      </c>
      <c r="F274" s="374">
        <v>2024</v>
      </c>
      <c r="G274" s="374">
        <v>2944</v>
      </c>
      <c r="H274" s="375">
        <f>G274</f>
        <v>2944</v>
      </c>
      <c r="I274" s="374">
        <v>2851</v>
      </c>
      <c r="J274" s="374">
        <v>2954</v>
      </c>
      <c r="K274" s="374">
        <v>2707</v>
      </c>
      <c r="L274" s="374">
        <v>2752</v>
      </c>
      <c r="M274" s="375">
        <f>L274</f>
        <v>2752</v>
      </c>
      <c r="N274" s="374">
        <v>2938</v>
      </c>
      <c r="O274" s="374">
        <v>3147</v>
      </c>
      <c r="P274" s="374">
        <v>3102</v>
      </c>
      <c r="Q274" s="374">
        <v>2996</v>
      </c>
      <c r="R274" s="375">
        <f>Q274</f>
        <v>2996</v>
      </c>
      <c r="S274" s="374">
        <v>3066</v>
      </c>
      <c r="T274" s="374">
        <v>3400</v>
      </c>
      <c r="U274" s="374">
        <v>3156</v>
      </c>
      <c r="V274" s="374">
        <f>(V23/V307*2)-U274</f>
        <v>3340.2597094155635</v>
      </c>
      <c r="W274" s="375">
        <f>V274</f>
        <v>3340.2597094155635</v>
      </c>
      <c r="X274" s="374">
        <f>(X23/X307*2)-V274</f>
        <v>2827.4579290740448</v>
      </c>
      <c r="Y274" s="374">
        <f>(Y23/Y307*2)-X274</f>
        <v>3796.9077823556336</v>
      </c>
      <c r="Z274" s="374">
        <f>(Z23/Z307*2)-Y274</f>
        <v>2972.1389683897996</v>
      </c>
      <c r="AA274" s="374">
        <f>(AA23/AA307*2)-Z274</f>
        <v>3728.8083311948212</v>
      </c>
      <c r="AB274" s="375">
        <f>AA274</f>
        <v>3728.8083311948212</v>
      </c>
      <c r="AC274" s="374">
        <f>(AC23/AC307*2)-AA274</f>
        <v>2493.7594107929799</v>
      </c>
      <c r="AD274" s="374">
        <f>(AD23/AD307*2)-AC274</f>
        <v>4182.9543998391446</v>
      </c>
      <c r="AE274" s="374">
        <f>(AE23/AE307*2)-AD274</f>
        <v>2650.994530459925</v>
      </c>
      <c r="AF274" s="374">
        <f>(AF23/AF307*2)-AE274</f>
        <v>4093.0346027891446</v>
      </c>
      <c r="AG274" s="375">
        <f>AF274</f>
        <v>4093.0346027891446</v>
      </c>
      <c r="AH274" s="374">
        <f>(AH23/AH307*2)-AF274</f>
        <v>2258.1999875842121</v>
      </c>
      <c r="AI274" s="374">
        <f>(AI23/AI307*2)-AH274</f>
        <v>4549.9520186911668</v>
      </c>
      <c r="AJ274" s="374">
        <f>(AJ23/AJ307*2)-AI274</f>
        <v>2422.3204321986686</v>
      </c>
      <c r="AK274" s="374">
        <f>(AK23/AK307*2)-AJ274</f>
        <v>4444.6708117072212</v>
      </c>
      <c r="AL274" s="375">
        <f>AK274</f>
        <v>4444.6708117072212</v>
      </c>
      <c r="AM274" s="374">
        <f>(AM23/AM307*2)-AK274</f>
        <v>2017.7700506396559</v>
      </c>
      <c r="AN274" s="374">
        <f>(AN23/AN307*2)-AM274</f>
        <v>4902.0794314931372</v>
      </c>
      <c r="AO274" s="374">
        <f>(AO23/AO307*2)-AN274</f>
        <v>2186.6284617582187</v>
      </c>
      <c r="AP274" s="374">
        <f>(AP23/AP307*2)-AO274</f>
        <v>4782.4740731200654</v>
      </c>
      <c r="AQ274" s="375">
        <f>AP274</f>
        <v>4782.4740731200654</v>
      </c>
    </row>
    <row r="275" spans="2:43" ht="17.25" outlineLevel="1" x14ac:dyDescent="0.4">
      <c r="B275" s="717" t="s">
        <v>46</v>
      </c>
      <c r="C275" s="718"/>
      <c r="D275" s="376">
        <v>2426</v>
      </c>
      <c r="E275" s="376">
        <v>2298</v>
      </c>
      <c r="F275" s="376">
        <v>2453</v>
      </c>
      <c r="G275" s="376">
        <v>3063</v>
      </c>
      <c r="H275" s="377">
        <f>G275</f>
        <v>3063</v>
      </c>
      <c r="I275" s="376">
        <v>2973</v>
      </c>
      <c r="J275" s="376">
        <v>3045</v>
      </c>
      <c r="K275" s="376">
        <v>3008</v>
      </c>
      <c r="L275" s="376">
        <v>3230</v>
      </c>
      <c r="M275" s="377">
        <f>L275</f>
        <v>3230</v>
      </c>
      <c r="N275" s="376">
        <v>3177</v>
      </c>
      <c r="O275" s="376">
        <v>2907</v>
      </c>
      <c r="P275" s="376">
        <v>2893</v>
      </c>
      <c r="Q275" s="376">
        <v>3082</v>
      </c>
      <c r="R275" s="377">
        <f>Q275</f>
        <v>3082</v>
      </c>
      <c r="S275" s="376">
        <v>3151</v>
      </c>
      <c r="T275" s="376">
        <v>3354</v>
      </c>
      <c r="U275" s="376">
        <v>3243</v>
      </c>
      <c r="V275" s="240">
        <f>(V13*V309+U275)/2</f>
        <v>3174.9474722549858</v>
      </c>
      <c r="W275" s="377">
        <f>V275</f>
        <v>3174.9474722549858</v>
      </c>
      <c r="X275" s="240">
        <f>(X13*X309+V275)/2</f>
        <v>3180.7074293087371</v>
      </c>
      <c r="Y275" s="240">
        <f>(Y13*Y309+X275)/2</f>
        <v>3251.9656665581997</v>
      </c>
      <c r="Z275" s="240">
        <f>(Z13*Z309+Y275)/2</f>
        <v>3327.1594959401968</v>
      </c>
      <c r="AA275" s="240">
        <f>(AA13*AA309+Z275)/2</f>
        <v>3268.7463198823907</v>
      </c>
      <c r="AB275" s="377">
        <f>AA275</f>
        <v>3268.7463198823907</v>
      </c>
      <c r="AC275" s="240">
        <f>(AC13*AC309+AA275)/2</f>
        <v>3262.4326968202895</v>
      </c>
      <c r="AD275" s="240">
        <f>(AD13*AD309+AC275)/2</f>
        <v>3325.0106671522944</v>
      </c>
      <c r="AE275" s="240">
        <f>(AE13*AE309+AD275)/2</f>
        <v>3398.5775436910426</v>
      </c>
      <c r="AF275" s="240">
        <f>(AF13*AF309+AE275)/2</f>
        <v>3333.6662659569556</v>
      </c>
      <c r="AG275" s="377">
        <f>AF275</f>
        <v>3333.6662659569556</v>
      </c>
      <c r="AH275" s="240">
        <f>(AH13*AH309+AF275)/2</f>
        <v>3326.0668764467423</v>
      </c>
      <c r="AI275" s="240">
        <f>(AI13*AI309+AH275)/2</f>
        <v>3384.4799089626867</v>
      </c>
      <c r="AJ275" s="240">
        <f>(AJ13*AJ309+AI275)/2</f>
        <v>3458.1057508714539</v>
      </c>
      <c r="AK275" s="240">
        <f>(AK13*AK309+AJ275)/2</f>
        <v>3388.5149720351028</v>
      </c>
      <c r="AL275" s="377">
        <f>AK275</f>
        <v>3388.5149720351028</v>
      </c>
      <c r="AM275" s="240">
        <f>(AM13*AM309+AK275)/2</f>
        <v>3379.9201257613613</v>
      </c>
      <c r="AN275" s="240">
        <f>(AN13*AN309+AM275)/2</f>
        <v>3433.9182975813601</v>
      </c>
      <c r="AO275" s="240">
        <f>(AO13*AO309+AN275)/2</f>
        <v>3507.0566309710634</v>
      </c>
      <c r="AP275" s="240">
        <f>(AP13*AP309+AO275)/2</f>
        <v>3432.8070516933408</v>
      </c>
      <c r="AQ275" s="377">
        <f>AP275</f>
        <v>3432.8070516933408</v>
      </c>
    </row>
    <row r="276" spans="2:43" outlineLevel="1" x14ac:dyDescent="0.25">
      <c r="B276" s="715" t="s">
        <v>8</v>
      </c>
      <c r="C276" s="716"/>
      <c r="D276" s="361">
        <f t="shared" ref="D276:AQ276" si="159">SUM(D271:D275)</f>
        <v>5844</v>
      </c>
      <c r="E276" s="361">
        <f t="shared" si="159"/>
        <v>5951</v>
      </c>
      <c r="F276" s="361">
        <f t="shared" si="159"/>
        <v>5939</v>
      </c>
      <c r="G276" s="361">
        <f t="shared" si="159"/>
        <v>8008</v>
      </c>
      <c r="H276" s="362">
        <f t="shared" si="159"/>
        <v>8008</v>
      </c>
      <c r="I276" s="361">
        <f t="shared" si="159"/>
        <v>7474</v>
      </c>
      <c r="J276" s="361">
        <f t="shared" si="159"/>
        <v>7807</v>
      </c>
      <c r="K276" s="361">
        <f t="shared" si="159"/>
        <v>7450</v>
      </c>
      <c r="L276" s="361">
        <f t="shared" si="159"/>
        <v>7918</v>
      </c>
      <c r="M276" s="362">
        <f t="shared" si="159"/>
        <v>7918</v>
      </c>
      <c r="N276" s="361">
        <f t="shared" si="159"/>
        <v>7790</v>
      </c>
      <c r="O276" s="361">
        <f t="shared" si="159"/>
        <v>8227</v>
      </c>
      <c r="P276" s="361">
        <f t="shared" si="159"/>
        <v>9503</v>
      </c>
      <c r="Q276" s="361">
        <f t="shared" si="159"/>
        <v>9597</v>
      </c>
      <c r="R276" s="362">
        <f t="shared" si="159"/>
        <v>9597</v>
      </c>
      <c r="S276" s="361">
        <f t="shared" si="159"/>
        <v>9606</v>
      </c>
      <c r="T276" s="361">
        <f t="shared" si="159"/>
        <v>9496</v>
      </c>
      <c r="U276" s="361">
        <f>SUM(U271:U275)</f>
        <v>9256</v>
      </c>
      <c r="V276" s="361">
        <f t="shared" si="159"/>
        <v>9791.4204277873905</v>
      </c>
      <c r="W276" s="362">
        <f t="shared" si="159"/>
        <v>9791.4204277873905</v>
      </c>
      <c r="X276" s="361">
        <f t="shared" si="159"/>
        <v>9382.3741893257593</v>
      </c>
      <c r="Y276" s="361">
        <f t="shared" si="159"/>
        <v>10224.130605369508</v>
      </c>
      <c r="Z276" s="361">
        <f t="shared" si="159"/>
        <v>9535.3404511449462</v>
      </c>
      <c r="AA276" s="361">
        <f t="shared" si="159"/>
        <v>10474.805068728405</v>
      </c>
      <c r="AB276" s="362">
        <f t="shared" si="159"/>
        <v>10474.805068728405</v>
      </c>
      <c r="AC276" s="361">
        <f t="shared" si="159"/>
        <v>9216.4291681246759</v>
      </c>
      <c r="AD276" s="361">
        <f t="shared" si="159"/>
        <v>10899.448272806509</v>
      </c>
      <c r="AE276" s="361">
        <f t="shared" si="159"/>
        <v>9445.5417682060597</v>
      </c>
      <c r="AF276" s="361">
        <f t="shared" si="159"/>
        <v>11056.172495644721</v>
      </c>
      <c r="AG276" s="362">
        <f t="shared" si="159"/>
        <v>11056.172495644721</v>
      </c>
      <c r="AH276" s="361">
        <f t="shared" si="159"/>
        <v>9185.56488441293</v>
      </c>
      <c r="AI276" s="361">
        <f t="shared" si="159"/>
        <v>11471.082682512713</v>
      </c>
      <c r="AJ276" s="361">
        <f t="shared" si="159"/>
        <v>9403.0949492620894</v>
      </c>
      <c r="AK276" s="361">
        <f t="shared" si="159"/>
        <v>11579.339560925613</v>
      </c>
      <c r="AL276" s="362">
        <f t="shared" si="159"/>
        <v>11579.339560925613</v>
      </c>
      <c r="AM276" s="361">
        <f t="shared" si="159"/>
        <v>9114.0453266338136</v>
      </c>
      <c r="AN276" s="361">
        <f t="shared" si="159"/>
        <v>11984.71844409237</v>
      </c>
      <c r="AO276" s="361">
        <f t="shared" si="159"/>
        <v>9324.058386873392</v>
      </c>
      <c r="AP276" s="361">
        <f t="shared" si="159"/>
        <v>12066.931192219419</v>
      </c>
      <c r="AQ276" s="362">
        <f t="shared" si="159"/>
        <v>12066.931192219419</v>
      </c>
    </row>
    <row r="277" spans="2:43" ht="15.75" customHeight="1" outlineLevel="1" x14ac:dyDescent="0.25">
      <c r="B277" s="725" t="s">
        <v>217</v>
      </c>
      <c r="C277" s="726"/>
      <c r="D277" s="374">
        <v>7244</v>
      </c>
      <c r="E277" s="374">
        <v>8481</v>
      </c>
      <c r="F277" s="374">
        <v>8477</v>
      </c>
      <c r="G277" s="374">
        <v>13733</v>
      </c>
      <c r="H277" s="375">
        <f t="shared" ref="H277:H283" si="160">G277</f>
        <v>13733</v>
      </c>
      <c r="I277" s="374">
        <v>13735</v>
      </c>
      <c r="J277" s="374">
        <v>13553</v>
      </c>
      <c r="K277" s="374">
        <v>14713</v>
      </c>
      <c r="L277" s="374">
        <v>14909</v>
      </c>
      <c r="M277" s="375">
        <f t="shared" ref="M277:M283" si="161">L277</f>
        <v>14909</v>
      </c>
      <c r="N277" s="374">
        <v>15137</v>
      </c>
      <c r="O277" s="374">
        <v>15180</v>
      </c>
      <c r="P277" s="374">
        <v>16017</v>
      </c>
      <c r="Q277" s="374">
        <v>15243</v>
      </c>
      <c r="R277" s="375">
        <f t="shared" ref="R277:R283" si="162">Q277</f>
        <v>15243</v>
      </c>
      <c r="S277" s="374">
        <v>15241</v>
      </c>
      <c r="T277" s="374">
        <v>16399</v>
      </c>
      <c r="U277" s="374">
        <v>17218</v>
      </c>
      <c r="V277" s="374">
        <f>+V297*V312*(1-(V313+V314))</f>
        <v>18014.388615715467</v>
      </c>
      <c r="W277" s="375">
        <f>V277</f>
        <v>18014.388615715467</v>
      </c>
      <c r="X277" s="374">
        <f>+X297*X312*(1-(X313+X314))</f>
        <v>18183.484059080816</v>
      </c>
      <c r="Y277" s="374">
        <f>+Y297*Y312*(1-(Y313+Y314))</f>
        <v>18694.175777178312</v>
      </c>
      <c r="Z277" s="374">
        <f>+Z297*Z312*(1-(Z313+Z314))</f>
        <v>18889.915063525656</v>
      </c>
      <c r="AA277" s="374">
        <f>+AA297*AA312*(1-(AA313+AA314))</f>
        <v>19571.788171981512</v>
      </c>
      <c r="AB277" s="375">
        <f>AA277</f>
        <v>19571.788171981512</v>
      </c>
      <c r="AC277" s="374">
        <f>+AC297*AC312*(1-(AC313+AC314))</f>
        <v>20007.029178612658</v>
      </c>
      <c r="AD277" s="374">
        <f>+AD297*AD312*(1-(AD313+AD314))</f>
        <v>20484.891295070993</v>
      </c>
      <c r="AE277" s="374">
        <f>+AE297*AE312*(1-(AE313+AE314))</f>
        <v>20714.988766343726</v>
      </c>
      <c r="AF277" s="374">
        <f>+AF297*AF312*(1-(AF313+AF314))</f>
        <v>21384.202367102203</v>
      </c>
      <c r="AG277" s="375">
        <f>AF277</f>
        <v>21384.202367102203</v>
      </c>
      <c r="AH277" s="374">
        <f>+AH297*AH312*(1-(AH313+AH314))</f>
        <v>21673.335893294363</v>
      </c>
      <c r="AI277" s="374">
        <f>+AI297*AI312*(1-(AI313+AI314))</f>
        <v>21948.469154942319</v>
      </c>
      <c r="AJ277" s="374">
        <f>+AJ297*AJ312*(1-(AJ313+AJ314))</f>
        <v>22018.120420366453</v>
      </c>
      <c r="AK277" s="374">
        <f>+AK297*AK312*(1-(AK313+AK314))</f>
        <v>22539.272736620966</v>
      </c>
      <c r="AL277" s="375">
        <f>AK277</f>
        <v>22539.272736620966</v>
      </c>
      <c r="AM277" s="374">
        <f>+AM297*AM312*(1-(AM313+AM314))</f>
        <v>22806.313439893209</v>
      </c>
      <c r="AN277" s="374">
        <f>+AN297*AN312*(1-(AN313+AN314))</f>
        <v>23034.768699450568</v>
      </c>
      <c r="AO277" s="374">
        <f>+AO297*AO312*(1-(AO313+AO314))</f>
        <v>23074.587883020849</v>
      </c>
      <c r="AP277" s="374">
        <f>+AP297*AP312*(1-(AP313+AP314))</f>
        <v>23556.050651590038</v>
      </c>
      <c r="AQ277" s="375">
        <f>AP277</f>
        <v>23556.050651590038</v>
      </c>
    </row>
    <row r="278" spans="2:43" ht="15.75" customHeight="1" outlineLevel="1" x14ac:dyDescent="0.25">
      <c r="B278" s="378" t="s">
        <v>211</v>
      </c>
      <c r="C278" s="379"/>
      <c r="D278" s="374">
        <v>1781</v>
      </c>
      <c r="E278" s="374">
        <v>1759</v>
      </c>
      <c r="F278" s="374">
        <v>2046</v>
      </c>
      <c r="G278" s="374">
        <v>1567</v>
      </c>
      <c r="H278" s="375">
        <f t="shared" si="160"/>
        <v>1567</v>
      </c>
      <c r="I278" s="374">
        <v>1762</v>
      </c>
      <c r="J278" s="374">
        <v>2148</v>
      </c>
      <c r="K278" s="374">
        <v>2299</v>
      </c>
      <c r="L278" s="374">
        <v>2485</v>
      </c>
      <c r="M278" s="375">
        <f t="shared" si="161"/>
        <v>2485</v>
      </c>
      <c r="N278" s="374">
        <v>2730</v>
      </c>
      <c r="O278" s="374">
        <v>3088</v>
      </c>
      <c r="P278" s="374">
        <v>2401</v>
      </c>
      <c r="Q278" s="374">
        <v>2867</v>
      </c>
      <c r="R278" s="375">
        <f t="shared" si="162"/>
        <v>2867</v>
      </c>
      <c r="S278" s="374">
        <v>2948</v>
      </c>
      <c r="T278" s="374">
        <v>3253</v>
      </c>
      <c r="U278" s="374">
        <v>3211</v>
      </c>
      <c r="V278" s="242">
        <f>+U278*1.038</f>
        <v>3333.018</v>
      </c>
      <c r="W278" s="375">
        <f>+V278</f>
        <v>3333.018</v>
      </c>
      <c r="X278" s="242">
        <f>V278*1.038</f>
        <v>3459.6726840000001</v>
      </c>
      <c r="Y278" s="242">
        <f>+X278*1.038</f>
        <v>3591.140245992</v>
      </c>
      <c r="Z278" s="242">
        <f>+Y278*1.038</f>
        <v>3727.6035753396964</v>
      </c>
      <c r="AA278" s="242">
        <f>+Z278*1.038</f>
        <v>3869.2525112026051</v>
      </c>
      <c r="AB278" s="375">
        <f>+AA278</f>
        <v>3869.2525112026051</v>
      </c>
      <c r="AC278" s="242">
        <f>AA278*1.038</f>
        <v>4016.284106628304</v>
      </c>
      <c r="AD278" s="242">
        <f>+AC278*1.038</f>
        <v>4168.90290268018</v>
      </c>
      <c r="AE278" s="242">
        <f>+AD278*1.038</f>
        <v>4327.3212129820267</v>
      </c>
      <c r="AF278" s="242">
        <f>+AE278*1.038</f>
        <v>4491.7594190753443</v>
      </c>
      <c r="AG278" s="375">
        <f>+AF278</f>
        <v>4491.7594190753443</v>
      </c>
      <c r="AH278" s="242">
        <f>AF278*1.038</f>
        <v>4662.4462770002074</v>
      </c>
      <c r="AI278" s="242">
        <f>+AH278*1.038</f>
        <v>4839.6192355262156</v>
      </c>
      <c r="AJ278" s="242">
        <f>+AI278*1.038</f>
        <v>5023.5247664762119</v>
      </c>
      <c r="AK278" s="242">
        <f>+AJ278*1.038</f>
        <v>5214.4187076023081</v>
      </c>
      <c r="AL278" s="375">
        <f>+AK278</f>
        <v>5214.4187076023081</v>
      </c>
      <c r="AM278" s="242">
        <f>AK278*1.038</f>
        <v>5412.5666184911961</v>
      </c>
      <c r="AN278" s="242">
        <f>+AM278*1.038</f>
        <v>5618.2441499938614</v>
      </c>
      <c r="AO278" s="242">
        <f>+AN278*1.038</f>
        <v>5831.737427693628</v>
      </c>
      <c r="AP278" s="242">
        <f>+AO278*1.038</f>
        <v>6053.3434499459863</v>
      </c>
      <c r="AQ278" s="375">
        <f>+AP278</f>
        <v>6053.3434499459863</v>
      </c>
    </row>
    <row r="279" spans="2:43" ht="15.75" customHeight="1" outlineLevel="1" x14ac:dyDescent="0.25">
      <c r="B279" s="378" t="s">
        <v>218</v>
      </c>
      <c r="C279" s="379"/>
      <c r="D279" s="374">
        <v>4806</v>
      </c>
      <c r="E279" s="374">
        <v>4702</v>
      </c>
      <c r="F279" s="374">
        <v>4628</v>
      </c>
      <c r="G279" s="374">
        <v>6227</v>
      </c>
      <c r="H279" s="375">
        <f t="shared" si="160"/>
        <v>6227</v>
      </c>
      <c r="I279" s="374">
        <v>6063</v>
      </c>
      <c r="J279" s="374">
        <v>5845</v>
      </c>
      <c r="K279" s="374">
        <v>4670</v>
      </c>
      <c r="L279" s="374">
        <v>4487</v>
      </c>
      <c r="M279" s="375">
        <f t="shared" si="161"/>
        <v>4487</v>
      </c>
      <c r="N279" s="374">
        <v>4313</v>
      </c>
      <c r="O279" s="374">
        <v>3868</v>
      </c>
      <c r="P279" s="374">
        <v>2181</v>
      </c>
      <c r="Q279" s="374">
        <v>2187</v>
      </c>
      <c r="R279" s="375">
        <f t="shared" si="162"/>
        <v>2187</v>
      </c>
      <c r="S279" s="374">
        <v>1963</v>
      </c>
      <c r="T279" s="374">
        <v>1735</v>
      </c>
      <c r="U279" s="374">
        <v>1847</v>
      </c>
      <c r="V279" s="374">
        <f>+(W279-U279)+U279</f>
        <v>1264.5306363636337</v>
      </c>
      <c r="W279" s="375">
        <f>-(W194+W197+W198-W200)</f>
        <v>1264.5306363636337</v>
      </c>
      <c r="X279" s="374">
        <f>+(AB279-V279)/4+V279</f>
        <v>1293.5017592045433</v>
      </c>
      <c r="Y279" s="374">
        <f>+(AB279-W279)/4+X279</f>
        <v>1322.4728820454529</v>
      </c>
      <c r="Z279" s="374">
        <f>+(AB279-W279)/4+Y279</f>
        <v>1351.4440048863626</v>
      </c>
      <c r="AA279" s="374">
        <f>+(AB279-W279)/4+Z279</f>
        <v>1380.4151277272722</v>
      </c>
      <c r="AB279" s="375">
        <f>-(AB194+AB197+AB198-AB200)</f>
        <v>1380.4151277272722</v>
      </c>
      <c r="AC279" s="374">
        <f>+(AG279-AA279)/4+AA279</f>
        <v>1356.2773924624989</v>
      </c>
      <c r="AD279" s="374">
        <f>+(AG279-AB279)/4+AC279</f>
        <v>1332.1396571977257</v>
      </c>
      <c r="AE279" s="374">
        <f>+(AG279-AB279)/4+AD279</f>
        <v>1308.0019219329524</v>
      </c>
      <c r="AF279" s="374">
        <f>+(AG279-AB279)/4+AE279</f>
        <v>1283.8641866681792</v>
      </c>
      <c r="AG279" s="375">
        <f>-(AG194+AG197+AG198-AG200)</f>
        <v>1283.8641866681792</v>
      </c>
      <c r="AH279" s="374">
        <f>+(AL279-AF279)/4+AF279</f>
        <v>1260.2868099348716</v>
      </c>
      <c r="AI279" s="374">
        <f>+(AL279-AG279)/4+AH279</f>
        <v>1236.709433201564</v>
      </c>
      <c r="AJ279" s="374">
        <f>+(AL279-AG279)/4+AI279</f>
        <v>1213.1320564682565</v>
      </c>
      <c r="AK279" s="374">
        <f>+(AL279-AG279)/4+AJ279</f>
        <v>1189.5546797349489</v>
      </c>
      <c r="AL279" s="375">
        <f>-(AL194+AL197+AL198-AL200)</f>
        <v>1189.5546797349489</v>
      </c>
      <c r="AM279" s="374">
        <f>+(AQ279-AK279)/4+AK279</f>
        <v>1164.8268866303097</v>
      </c>
      <c r="AN279" s="374">
        <f>+(AQ279-AL279)/4+AM279</f>
        <v>1140.0990935256705</v>
      </c>
      <c r="AO279" s="374">
        <f>+(AQ279-AL279)/4+AN279</f>
        <v>1115.3713004210313</v>
      </c>
      <c r="AP279" s="374">
        <f>+(AQ279-AL279)/4+AO279</f>
        <v>1090.6435073163921</v>
      </c>
      <c r="AQ279" s="375">
        <f>-(AQ194+AQ197+AQ198-AQ200)</f>
        <v>1090.6435073163921</v>
      </c>
    </row>
    <row r="280" spans="2:43" ht="15.75" customHeight="1" outlineLevel="1" x14ac:dyDescent="0.25">
      <c r="B280" s="378" t="s">
        <v>219</v>
      </c>
      <c r="C280" s="379"/>
      <c r="D280" s="374">
        <v>1186</v>
      </c>
      <c r="E280" s="374">
        <v>1265</v>
      </c>
      <c r="F280" s="374">
        <v>1282</v>
      </c>
      <c r="G280" s="374">
        <v>1314</v>
      </c>
      <c r="H280" s="375">
        <f t="shared" si="160"/>
        <v>1314</v>
      </c>
      <c r="I280" s="374">
        <v>1338</v>
      </c>
      <c r="J280" s="374">
        <v>1349</v>
      </c>
      <c r="K280" s="374">
        <v>1376</v>
      </c>
      <c r="L280" s="374">
        <v>1494</v>
      </c>
      <c r="M280" s="375">
        <f t="shared" si="161"/>
        <v>1494</v>
      </c>
      <c r="N280" s="374">
        <v>1603</v>
      </c>
      <c r="O280" s="374">
        <v>1651</v>
      </c>
      <c r="P280" s="374">
        <v>1715</v>
      </c>
      <c r="Q280" s="374">
        <v>1784</v>
      </c>
      <c r="R280" s="375">
        <f t="shared" si="162"/>
        <v>1784</v>
      </c>
      <c r="S280" s="374">
        <v>1809</v>
      </c>
      <c r="T280" s="374">
        <v>1844</v>
      </c>
      <c r="U280" s="374">
        <v>1861</v>
      </c>
      <c r="V280" s="242">
        <f>(V13*V310)*2-U280</f>
        <v>1777.8369576034775</v>
      </c>
      <c r="W280" s="375">
        <f>V280</f>
        <v>1777.8369576034775</v>
      </c>
      <c r="X280" s="242">
        <f>(X13*X310)*2-V280</f>
        <v>1895.8281536432482</v>
      </c>
      <c r="Y280" s="242">
        <f>(Y13*Y310)*2-X280</f>
        <v>1836.6044122627891</v>
      </c>
      <c r="Z280" s="242">
        <f>(Z13*Z310)*2-Y280</f>
        <v>1985.0475720690979</v>
      </c>
      <c r="AA280" s="242">
        <f>(AA13*AA310)*2-Z280</f>
        <v>1774.9375895182566</v>
      </c>
      <c r="AB280" s="375">
        <f>AA280</f>
        <v>1774.9375895182566</v>
      </c>
      <c r="AC280" s="242">
        <f>(AC13*AC310)*2-AA280</f>
        <v>1979.0286649380796</v>
      </c>
      <c r="AD280" s="242">
        <f>(AD13*AD310)*2-AC280</f>
        <v>1825.6942536568913</v>
      </c>
      <c r="AE280" s="242">
        <f>(AE13*AE310)*2-AD280</f>
        <v>2074.3497290477853</v>
      </c>
      <c r="AF280" s="242">
        <f>(AF13*AF310)*2-AE280</f>
        <v>1754.0598789160026</v>
      </c>
      <c r="AG280" s="375">
        <f>AF280</f>
        <v>1754.0598789160026</v>
      </c>
      <c r="AH280" s="242">
        <f>(AH13*AH310)*2-AF280</f>
        <v>2071.7876040177207</v>
      </c>
      <c r="AI280" s="242">
        <f>(AI13*AI310)*2-AH280</f>
        <v>1795.0495720688095</v>
      </c>
      <c r="AJ280" s="242">
        <f>(AJ13*AJ310)*2-AI280</f>
        <v>2171.9249773478091</v>
      </c>
      <c r="AK280" s="242">
        <f>(AK13*AK310)*2-AJ280</f>
        <v>1715.2434752053064</v>
      </c>
      <c r="AL280" s="375">
        <f>AK280</f>
        <v>1715.2434752053064</v>
      </c>
      <c r="AM280" s="242">
        <f>(AM13*AM310)*2-AK280</f>
        <v>2171.5435388165192</v>
      </c>
      <c r="AN280" s="242">
        <f>(AN13*AN310)*2-AM280</f>
        <v>1745.8611845418709</v>
      </c>
      <c r="AO280" s="242">
        <f>(AO13*AO310)*2-AN280</f>
        <v>2275.5492574640839</v>
      </c>
      <c r="AP280" s="242">
        <f>(AP13*AP310)*2-AO280</f>
        <v>1658.0382223626102</v>
      </c>
      <c r="AQ280" s="375">
        <f>AP280</f>
        <v>1658.0382223626102</v>
      </c>
    </row>
    <row r="281" spans="2:43" ht="15.75" customHeight="1" outlineLevel="1" x14ac:dyDescent="0.25">
      <c r="B281" s="378" t="s">
        <v>220</v>
      </c>
      <c r="C281" s="379"/>
      <c r="D281" s="374">
        <v>766</v>
      </c>
      <c r="E281" s="374">
        <v>840</v>
      </c>
      <c r="F281" s="374">
        <v>723</v>
      </c>
      <c r="G281" s="374">
        <v>400</v>
      </c>
      <c r="H281" s="375">
        <f t="shared" si="160"/>
        <v>400</v>
      </c>
      <c r="I281" s="374">
        <v>457</v>
      </c>
      <c r="J281" s="374">
        <v>547</v>
      </c>
      <c r="K281" s="374">
        <v>456</v>
      </c>
      <c r="L281" s="374">
        <v>531</v>
      </c>
      <c r="M281" s="375">
        <f t="shared" si="161"/>
        <v>531</v>
      </c>
      <c r="N281" s="374">
        <v>575</v>
      </c>
      <c r="O281" s="374">
        <v>633</v>
      </c>
      <c r="P281" s="374">
        <v>532</v>
      </c>
      <c r="Q281" s="374">
        <v>551</v>
      </c>
      <c r="R281" s="375">
        <f t="shared" si="162"/>
        <v>551</v>
      </c>
      <c r="S281" s="374">
        <v>557</v>
      </c>
      <c r="T281" s="374">
        <v>605</v>
      </c>
      <c r="U281" s="374">
        <v>512</v>
      </c>
      <c r="V281" s="374">
        <f t="shared" ref="V281:V283" si="163">U281*(Q281/P281)</f>
        <v>530.28571428571433</v>
      </c>
      <c r="W281" s="375">
        <f>V281</f>
        <v>530.28571428571433</v>
      </c>
      <c r="X281" s="374">
        <f>V281*(S281/Q281)</f>
        <v>536.06015037593988</v>
      </c>
      <c r="Y281" s="374">
        <f t="shared" ref="Y281:AA283" si="164">X281*(T281/S281)</f>
        <v>582.25563909774439</v>
      </c>
      <c r="Z281" s="374">
        <f t="shared" si="164"/>
        <v>492.75187969924815</v>
      </c>
      <c r="AA281" s="374">
        <f t="shared" si="164"/>
        <v>510.35016111707847</v>
      </c>
      <c r="AB281" s="375">
        <f>AA281</f>
        <v>510.35016111707847</v>
      </c>
      <c r="AC281" s="374">
        <f>AA281*(X281/V281)</f>
        <v>515.90751314376178</v>
      </c>
      <c r="AD281" s="374">
        <f t="shared" ref="AD281:AF283" si="165">AC281*(Y281/X281)</f>
        <v>560.36632935722776</v>
      </c>
      <c r="AE281" s="374">
        <f t="shared" si="165"/>
        <v>474.22737294363736</v>
      </c>
      <c r="AF281" s="374">
        <f t="shared" si="165"/>
        <v>491.16406483448162</v>
      </c>
      <c r="AG281" s="375">
        <f>AF281</f>
        <v>491.16406483448162</v>
      </c>
      <c r="AH281" s="374">
        <f>AF281*(AC281/AA281)</f>
        <v>496.51249385264299</v>
      </c>
      <c r="AI281" s="374">
        <f t="shared" ref="AI281:AK283" si="166">AH281*(AD281/AC281)</f>
        <v>539.29992599793354</v>
      </c>
      <c r="AJ281" s="374">
        <f t="shared" si="166"/>
        <v>456.39927621643301</v>
      </c>
      <c r="AK281" s="374">
        <f t="shared" si="166"/>
        <v>472.69925036701994</v>
      </c>
      <c r="AL281" s="375">
        <f>AK281</f>
        <v>472.69925036701994</v>
      </c>
      <c r="AM281" s="374">
        <f>AK281*(AH281/AF281)</f>
        <v>477.84661062510003</v>
      </c>
      <c r="AN281" s="374">
        <f t="shared" ref="AN281:AP283" si="167">AM281*(AI281/AH281)</f>
        <v>519.02549268974053</v>
      </c>
      <c r="AO281" s="374">
        <f t="shared" si="167"/>
        <v>439.24140868949939</v>
      </c>
      <c r="AP281" s="374">
        <f t="shared" si="167"/>
        <v>454.92860185698157</v>
      </c>
      <c r="AQ281" s="375">
        <f>AP281</f>
        <v>454.92860185698157</v>
      </c>
    </row>
    <row r="282" spans="2:43" ht="15.75" customHeight="1" outlineLevel="1" x14ac:dyDescent="0.25">
      <c r="B282" s="378" t="s">
        <v>221</v>
      </c>
      <c r="C282" s="379"/>
      <c r="D282" s="374">
        <v>174</v>
      </c>
      <c r="E282" s="374">
        <v>167</v>
      </c>
      <c r="F282" s="374">
        <v>161</v>
      </c>
      <c r="G282" s="374">
        <v>155</v>
      </c>
      <c r="H282" s="375">
        <f t="shared" si="160"/>
        <v>155</v>
      </c>
      <c r="I282" s="374">
        <v>150</v>
      </c>
      <c r="J282" s="374">
        <v>145</v>
      </c>
      <c r="K282" s="374">
        <v>142</v>
      </c>
      <c r="L282" s="374">
        <v>137</v>
      </c>
      <c r="M282" s="375">
        <f t="shared" si="161"/>
        <v>137</v>
      </c>
      <c r="N282" s="374">
        <v>126</v>
      </c>
      <c r="O282" s="374">
        <v>122</v>
      </c>
      <c r="P282" s="374">
        <v>124</v>
      </c>
      <c r="Q282" s="374">
        <v>121</v>
      </c>
      <c r="R282" s="375">
        <f t="shared" si="162"/>
        <v>121</v>
      </c>
      <c r="S282" s="374">
        <v>156</v>
      </c>
      <c r="T282" s="374">
        <v>137</v>
      </c>
      <c r="U282" s="374">
        <v>118</v>
      </c>
      <c r="V282" s="374">
        <f t="shared" si="163"/>
        <v>115.14516129032258</v>
      </c>
      <c r="W282" s="375">
        <f>V282</f>
        <v>115.14516129032258</v>
      </c>
      <c r="X282" s="374">
        <f>V282*(S282/Q282)</f>
        <v>148.45161290322579</v>
      </c>
      <c r="Y282" s="374">
        <f t="shared" si="164"/>
        <v>130.37096774193546</v>
      </c>
      <c r="Z282" s="374">
        <f t="shared" si="164"/>
        <v>112.29032258064514</v>
      </c>
      <c r="AA282" s="374">
        <f t="shared" si="164"/>
        <v>109.57362122788759</v>
      </c>
      <c r="AB282" s="375">
        <f>AA282</f>
        <v>109.57362122788759</v>
      </c>
      <c r="AC282" s="374">
        <f>AA282*(X282/V282)</f>
        <v>141.26847034339224</v>
      </c>
      <c r="AD282" s="374">
        <f t="shared" si="165"/>
        <v>124.06269510926111</v>
      </c>
      <c r="AE282" s="374">
        <f t="shared" si="165"/>
        <v>106.85691987513</v>
      </c>
      <c r="AF282" s="374">
        <f t="shared" si="165"/>
        <v>104.27167181363491</v>
      </c>
      <c r="AG282" s="375">
        <f>AF282</f>
        <v>104.27167181363491</v>
      </c>
      <c r="AH282" s="374">
        <f>AF282*(AC282/AA282)</f>
        <v>134.43289919774415</v>
      </c>
      <c r="AI282" s="374">
        <f t="shared" si="166"/>
        <v>118.05966147494196</v>
      </c>
      <c r="AJ282" s="374">
        <f t="shared" si="166"/>
        <v>101.68642375213979</v>
      </c>
      <c r="AK282" s="374">
        <f t="shared" si="166"/>
        <v>99.226268338781551</v>
      </c>
      <c r="AL282" s="375">
        <f>AK282</f>
        <v>99.226268338781551</v>
      </c>
      <c r="AM282" s="374">
        <f>AK282*(AH282/AF282)</f>
        <v>127.92808149462742</v>
      </c>
      <c r="AN282" s="374">
        <f t="shared" si="167"/>
        <v>112.34709721002535</v>
      </c>
      <c r="AO282" s="374">
        <f t="shared" si="167"/>
        <v>96.766112925423286</v>
      </c>
      <c r="AP282" s="374">
        <f t="shared" si="167"/>
        <v>94.424997290130761</v>
      </c>
      <c r="AQ282" s="375">
        <f>AP282</f>
        <v>94.424997290130761</v>
      </c>
    </row>
    <row r="283" spans="2:43" ht="15.75" customHeight="1" outlineLevel="1" x14ac:dyDescent="0.4">
      <c r="B283" s="725" t="s">
        <v>47</v>
      </c>
      <c r="C283" s="726"/>
      <c r="D283" s="376">
        <v>161</v>
      </c>
      <c r="E283" s="376">
        <v>216</v>
      </c>
      <c r="F283" s="376">
        <v>236</v>
      </c>
      <c r="G283" s="376">
        <v>771</v>
      </c>
      <c r="H283" s="377">
        <f t="shared" si="160"/>
        <v>771</v>
      </c>
      <c r="I283" s="376">
        <v>454</v>
      </c>
      <c r="J283" s="376">
        <v>423</v>
      </c>
      <c r="K283" s="376">
        <v>491</v>
      </c>
      <c r="L283" s="376">
        <v>518</v>
      </c>
      <c r="M283" s="377">
        <f t="shared" si="161"/>
        <v>518</v>
      </c>
      <c r="N283" s="376">
        <v>458</v>
      </c>
      <c r="O283" s="376">
        <v>457</v>
      </c>
      <c r="P283" s="376">
        <v>484</v>
      </c>
      <c r="Q283" s="376">
        <v>534</v>
      </c>
      <c r="R283" s="377">
        <f t="shared" si="162"/>
        <v>534</v>
      </c>
      <c r="S283" s="376">
        <v>448</v>
      </c>
      <c r="T283" s="376">
        <v>526</v>
      </c>
      <c r="U283" s="376">
        <v>547</v>
      </c>
      <c r="V283" s="376">
        <f t="shared" si="163"/>
        <v>603.50826446280996</v>
      </c>
      <c r="W283" s="377">
        <f>V283</f>
        <v>603.50826446280996</v>
      </c>
      <c r="X283" s="376">
        <f>V283*(S283/Q283)</f>
        <v>506.31404958677695</v>
      </c>
      <c r="Y283" s="376">
        <f t="shared" si="164"/>
        <v>594.46694214876038</v>
      </c>
      <c r="Z283" s="376">
        <f t="shared" si="164"/>
        <v>618.20041322314057</v>
      </c>
      <c r="AA283" s="376">
        <f t="shared" si="164"/>
        <v>682.0640922751179</v>
      </c>
      <c r="AB283" s="377">
        <f>AA283</f>
        <v>682.0640922751179</v>
      </c>
      <c r="AC283" s="376">
        <f>AA283*(X283/V283)</f>
        <v>572.21856430571688</v>
      </c>
      <c r="AD283" s="376">
        <f t="shared" si="165"/>
        <v>671.84590362680149</v>
      </c>
      <c r="AE283" s="376">
        <f t="shared" si="165"/>
        <v>698.66864882863194</v>
      </c>
      <c r="AF283" s="376">
        <f t="shared" si="165"/>
        <v>770.84516213737493</v>
      </c>
      <c r="AG283" s="377">
        <f>AF283</f>
        <v>770.84516213737493</v>
      </c>
      <c r="AH283" s="376">
        <f>AF283*(AC283/AA283)</f>
        <v>646.70155924633696</v>
      </c>
      <c r="AI283" s="376">
        <f t="shared" si="166"/>
        <v>759.29692000797593</v>
      </c>
      <c r="AJ283" s="376">
        <f t="shared" si="166"/>
        <v>789.61105559764792</v>
      </c>
      <c r="AK283" s="376">
        <f t="shared" si="166"/>
        <v>871.18244563872724</v>
      </c>
      <c r="AL283" s="377">
        <f>AK283</f>
        <v>871.18244563872724</v>
      </c>
      <c r="AM283" s="376">
        <f>AK283*(AH283/AF283)</f>
        <v>730.87965476807074</v>
      </c>
      <c r="AN283" s="376">
        <f t="shared" si="167"/>
        <v>858.13102323215446</v>
      </c>
      <c r="AO283" s="376">
        <f t="shared" si="167"/>
        <v>892.39100704940779</v>
      </c>
      <c r="AP283" s="376">
        <f t="shared" si="167"/>
        <v>984.58016067021435</v>
      </c>
      <c r="AQ283" s="377">
        <f>AP283</f>
        <v>984.58016067021435</v>
      </c>
    </row>
    <row r="284" spans="2:43" outlineLevel="1" x14ac:dyDescent="0.25">
      <c r="B284" s="715" t="s">
        <v>10</v>
      </c>
      <c r="C284" s="716"/>
      <c r="D284" s="361">
        <f t="shared" ref="D284:AQ284" si="168">SUM(D276:D283)</f>
        <v>21962</v>
      </c>
      <c r="E284" s="361">
        <f t="shared" si="168"/>
        <v>23381</v>
      </c>
      <c r="F284" s="361">
        <f t="shared" si="168"/>
        <v>23492</v>
      </c>
      <c r="G284" s="361">
        <f t="shared" si="168"/>
        <v>32175</v>
      </c>
      <c r="H284" s="362">
        <f t="shared" si="168"/>
        <v>32175</v>
      </c>
      <c r="I284" s="361">
        <f t="shared" si="168"/>
        <v>31433</v>
      </c>
      <c r="J284" s="361">
        <f t="shared" si="168"/>
        <v>31817</v>
      </c>
      <c r="K284" s="361">
        <f t="shared" si="168"/>
        <v>31597</v>
      </c>
      <c r="L284" s="361">
        <f t="shared" si="168"/>
        <v>32479</v>
      </c>
      <c r="M284" s="362">
        <f t="shared" si="168"/>
        <v>32479</v>
      </c>
      <c r="N284" s="361">
        <f t="shared" si="168"/>
        <v>32732</v>
      </c>
      <c r="O284" s="361">
        <f t="shared" si="168"/>
        <v>33226</v>
      </c>
      <c r="P284" s="361">
        <f t="shared" si="168"/>
        <v>32957</v>
      </c>
      <c r="Q284" s="361">
        <f t="shared" si="168"/>
        <v>32884</v>
      </c>
      <c r="R284" s="362">
        <f t="shared" si="168"/>
        <v>32884</v>
      </c>
      <c r="S284" s="361">
        <f t="shared" si="168"/>
        <v>32728</v>
      </c>
      <c r="T284" s="361">
        <f t="shared" si="168"/>
        <v>33995</v>
      </c>
      <c r="U284" s="361">
        <f t="shared" si="168"/>
        <v>34570</v>
      </c>
      <c r="V284" s="361">
        <f>SUM(V276:V283)</f>
        <v>35430.133777508825</v>
      </c>
      <c r="W284" s="362">
        <f t="shared" si="168"/>
        <v>35430.133777508825</v>
      </c>
      <c r="X284" s="361">
        <f t="shared" si="168"/>
        <v>35405.686658120314</v>
      </c>
      <c r="Y284" s="361">
        <f t="shared" si="168"/>
        <v>36975.6174718365</v>
      </c>
      <c r="Z284" s="361">
        <f t="shared" si="168"/>
        <v>36712.593282468792</v>
      </c>
      <c r="AA284" s="361">
        <f t="shared" si="168"/>
        <v>38373.186343778143</v>
      </c>
      <c r="AB284" s="362">
        <f t="shared" si="168"/>
        <v>38373.186343778143</v>
      </c>
      <c r="AC284" s="361">
        <f t="shared" si="168"/>
        <v>37804.443058559089</v>
      </c>
      <c r="AD284" s="361">
        <f t="shared" si="168"/>
        <v>40067.35130950559</v>
      </c>
      <c r="AE284" s="361">
        <f t="shared" si="168"/>
        <v>39149.956340159937</v>
      </c>
      <c r="AF284" s="361">
        <f t="shared" si="168"/>
        <v>41336.339246191943</v>
      </c>
      <c r="AG284" s="362">
        <f t="shared" si="168"/>
        <v>41336.339246191943</v>
      </c>
      <c r="AH284" s="361">
        <f t="shared" si="168"/>
        <v>40131.068420956813</v>
      </c>
      <c r="AI284" s="361">
        <f t="shared" si="168"/>
        <v>42707.586585732475</v>
      </c>
      <c r="AJ284" s="361">
        <f t="shared" si="168"/>
        <v>41177.493925487033</v>
      </c>
      <c r="AK284" s="361">
        <f t="shared" si="168"/>
        <v>43680.937124433665</v>
      </c>
      <c r="AL284" s="362">
        <f t="shared" si="168"/>
        <v>43680.937124433665</v>
      </c>
      <c r="AM284" s="361">
        <f t="shared" si="168"/>
        <v>42005.950157352847</v>
      </c>
      <c r="AN284" s="361">
        <f t="shared" si="168"/>
        <v>45013.195184736258</v>
      </c>
      <c r="AO284" s="361">
        <f t="shared" si="168"/>
        <v>43049.702784137313</v>
      </c>
      <c r="AP284" s="361">
        <f t="shared" si="168"/>
        <v>45958.940783251775</v>
      </c>
      <c r="AQ284" s="362">
        <f t="shared" si="168"/>
        <v>45958.940783251775</v>
      </c>
    </row>
    <row r="285" spans="2:43" ht="6.75" customHeight="1" outlineLevel="1" x14ac:dyDescent="0.25">
      <c r="B285" s="767"/>
      <c r="C285" s="768"/>
      <c r="D285" s="374"/>
      <c r="E285" s="374"/>
      <c r="F285" s="374"/>
      <c r="G285" s="374"/>
      <c r="H285" s="375"/>
      <c r="I285" s="374"/>
      <c r="J285" s="374"/>
      <c r="K285" s="374"/>
      <c r="L285" s="374"/>
      <c r="M285" s="375"/>
      <c r="N285" s="374"/>
      <c r="O285" s="374"/>
      <c r="P285" s="374"/>
      <c r="Q285" s="380"/>
      <c r="R285" s="381"/>
      <c r="S285" s="380"/>
      <c r="T285" s="380"/>
      <c r="U285" s="380"/>
      <c r="V285" s="380"/>
      <c r="W285" s="381"/>
      <c r="X285" s="380"/>
      <c r="Y285" s="380"/>
      <c r="Z285" s="380"/>
      <c r="AA285" s="380"/>
      <c r="AB285" s="381"/>
      <c r="AC285" s="380"/>
      <c r="AD285" s="380"/>
      <c r="AE285" s="380"/>
      <c r="AF285" s="380"/>
      <c r="AG285" s="381"/>
      <c r="AH285" s="380"/>
      <c r="AI285" s="380"/>
      <c r="AJ285" s="380"/>
      <c r="AK285" s="380"/>
      <c r="AL285" s="381"/>
      <c r="AM285" s="380"/>
      <c r="AN285" s="380"/>
      <c r="AO285" s="380"/>
      <c r="AP285" s="380"/>
      <c r="AQ285" s="381"/>
    </row>
    <row r="286" spans="2:43" ht="14.25" customHeight="1" outlineLevel="1" x14ac:dyDescent="0.25">
      <c r="B286" s="745" t="s">
        <v>48</v>
      </c>
      <c r="C286" s="746"/>
      <c r="D286" s="382">
        <v>0</v>
      </c>
      <c r="E286" s="382">
        <f t="shared" ref="E286:AQ286" si="169">D286</f>
        <v>0</v>
      </c>
      <c r="F286" s="382">
        <f t="shared" si="169"/>
        <v>0</v>
      </c>
      <c r="G286" s="382">
        <f t="shared" si="169"/>
        <v>0</v>
      </c>
      <c r="H286" s="383">
        <f t="shared" si="169"/>
        <v>0</v>
      </c>
      <c r="I286" s="382">
        <f t="shared" si="169"/>
        <v>0</v>
      </c>
      <c r="J286" s="382">
        <f t="shared" si="169"/>
        <v>0</v>
      </c>
      <c r="K286" s="382">
        <f t="shared" si="169"/>
        <v>0</v>
      </c>
      <c r="L286" s="382">
        <f t="shared" si="169"/>
        <v>0</v>
      </c>
      <c r="M286" s="383">
        <f t="shared" si="169"/>
        <v>0</v>
      </c>
      <c r="N286" s="382">
        <f t="shared" si="169"/>
        <v>0</v>
      </c>
      <c r="O286" s="382">
        <f t="shared" si="169"/>
        <v>0</v>
      </c>
      <c r="P286" s="382">
        <f t="shared" si="169"/>
        <v>0</v>
      </c>
      <c r="Q286" s="382">
        <f t="shared" si="169"/>
        <v>0</v>
      </c>
      <c r="R286" s="383">
        <f t="shared" si="169"/>
        <v>0</v>
      </c>
      <c r="S286" s="382">
        <f t="shared" si="169"/>
        <v>0</v>
      </c>
      <c r="T286" s="382">
        <f t="shared" si="169"/>
        <v>0</v>
      </c>
      <c r="U286" s="382">
        <f t="shared" si="169"/>
        <v>0</v>
      </c>
      <c r="V286" s="382">
        <f t="shared" si="169"/>
        <v>0</v>
      </c>
      <c r="W286" s="383">
        <f t="shared" si="169"/>
        <v>0</v>
      </c>
      <c r="X286" s="382">
        <f t="shared" si="169"/>
        <v>0</v>
      </c>
      <c r="Y286" s="382">
        <f t="shared" si="169"/>
        <v>0</v>
      </c>
      <c r="Z286" s="382">
        <f t="shared" si="169"/>
        <v>0</v>
      </c>
      <c r="AA286" s="382">
        <f t="shared" si="169"/>
        <v>0</v>
      </c>
      <c r="AB286" s="383">
        <f t="shared" si="169"/>
        <v>0</v>
      </c>
      <c r="AC286" s="382">
        <f t="shared" si="169"/>
        <v>0</v>
      </c>
      <c r="AD286" s="382">
        <f t="shared" si="169"/>
        <v>0</v>
      </c>
      <c r="AE286" s="382">
        <f t="shared" si="169"/>
        <v>0</v>
      </c>
      <c r="AF286" s="382">
        <f t="shared" si="169"/>
        <v>0</v>
      </c>
      <c r="AG286" s="383">
        <f t="shared" si="169"/>
        <v>0</v>
      </c>
      <c r="AH286" s="382">
        <f t="shared" si="169"/>
        <v>0</v>
      </c>
      <c r="AI286" s="382">
        <f t="shared" si="169"/>
        <v>0</v>
      </c>
      <c r="AJ286" s="382">
        <f t="shared" si="169"/>
        <v>0</v>
      </c>
      <c r="AK286" s="382">
        <f t="shared" si="169"/>
        <v>0</v>
      </c>
      <c r="AL286" s="383">
        <f t="shared" si="169"/>
        <v>0</v>
      </c>
      <c r="AM286" s="382">
        <f t="shared" si="169"/>
        <v>0</v>
      </c>
      <c r="AN286" s="382">
        <f t="shared" si="169"/>
        <v>0</v>
      </c>
      <c r="AO286" s="382">
        <f t="shared" si="169"/>
        <v>0</v>
      </c>
      <c r="AP286" s="382">
        <f t="shared" si="169"/>
        <v>0</v>
      </c>
      <c r="AQ286" s="383">
        <f t="shared" si="169"/>
        <v>0</v>
      </c>
    </row>
    <row r="287" spans="2:43" ht="15.75" x14ac:dyDescent="0.25">
      <c r="B287" s="713" t="s">
        <v>404</v>
      </c>
      <c r="C287" s="714"/>
      <c r="D287" s="90" t="s">
        <v>71</v>
      </c>
      <c r="E287" s="90" t="s">
        <v>74</v>
      </c>
      <c r="F287" s="90" t="s">
        <v>75</v>
      </c>
      <c r="G287" s="90" t="s">
        <v>78</v>
      </c>
      <c r="H287" s="400" t="s">
        <v>79</v>
      </c>
      <c r="I287" s="90" t="s">
        <v>80</v>
      </c>
      <c r="J287" s="90" t="s">
        <v>91</v>
      </c>
      <c r="K287" s="90" t="s">
        <v>109</v>
      </c>
      <c r="L287" s="90" t="s">
        <v>113</v>
      </c>
      <c r="M287" s="400" t="s">
        <v>114</v>
      </c>
      <c r="N287" s="90" t="s">
        <v>115</v>
      </c>
      <c r="O287" s="90" t="s">
        <v>116</v>
      </c>
      <c r="P287" s="90" t="s">
        <v>117</v>
      </c>
      <c r="Q287" s="90" t="s">
        <v>118</v>
      </c>
      <c r="R287" s="400" t="s">
        <v>119</v>
      </c>
      <c r="S287" s="90" t="s">
        <v>507</v>
      </c>
      <c r="T287" s="90" t="s">
        <v>749</v>
      </c>
      <c r="U287" s="90" t="s">
        <v>769</v>
      </c>
      <c r="V287" s="92" t="s">
        <v>378</v>
      </c>
      <c r="W287" s="404" t="s">
        <v>379</v>
      </c>
      <c r="X287" s="92" t="s">
        <v>380</v>
      </c>
      <c r="Y287" s="92" t="s">
        <v>381</v>
      </c>
      <c r="Z287" s="92" t="s">
        <v>382</v>
      </c>
      <c r="AA287" s="92" t="s">
        <v>383</v>
      </c>
      <c r="AB287" s="404" t="s">
        <v>384</v>
      </c>
      <c r="AC287" s="92" t="s">
        <v>385</v>
      </c>
      <c r="AD287" s="92" t="s">
        <v>386</v>
      </c>
      <c r="AE287" s="92" t="s">
        <v>387</v>
      </c>
      <c r="AF287" s="92" t="s">
        <v>388</v>
      </c>
      <c r="AG287" s="404" t="s">
        <v>389</v>
      </c>
      <c r="AH287" s="92" t="s">
        <v>390</v>
      </c>
      <c r="AI287" s="92" t="s">
        <v>391</v>
      </c>
      <c r="AJ287" s="92" t="s">
        <v>392</v>
      </c>
      <c r="AK287" s="92" t="s">
        <v>393</v>
      </c>
      <c r="AL287" s="404" t="s">
        <v>394</v>
      </c>
      <c r="AM287" s="92" t="s">
        <v>395</v>
      </c>
      <c r="AN287" s="92" t="s">
        <v>396</v>
      </c>
      <c r="AO287" s="92" t="s">
        <v>397</v>
      </c>
      <c r="AP287" s="92" t="s">
        <v>398</v>
      </c>
      <c r="AQ287" s="404" t="s">
        <v>399</v>
      </c>
    </row>
    <row r="288" spans="2:43" outlineLevel="1" x14ac:dyDescent="0.25">
      <c r="B288" s="723" t="s">
        <v>11</v>
      </c>
      <c r="C288" s="724"/>
      <c r="D288" s="100">
        <v>32</v>
      </c>
      <c r="E288" s="93">
        <v>32</v>
      </c>
      <c r="F288" s="93">
        <v>32</v>
      </c>
      <c r="G288" s="93">
        <v>32</v>
      </c>
      <c r="H288" s="94">
        <f>G288</f>
        <v>32</v>
      </c>
      <c r="I288" s="93">
        <v>32</v>
      </c>
      <c r="J288" s="100">
        <v>32</v>
      </c>
      <c r="K288" s="93">
        <v>32</v>
      </c>
      <c r="L288" s="93">
        <v>32</v>
      </c>
      <c r="M288" s="94">
        <f>L288</f>
        <v>32</v>
      </c>
      <c r="N288" s="93">
        <v>32</v>
      </c>
      <c r="O288" s="93">
        <v>32</v>
      </c>
      <c r="P288" s="93">
        <v>32</v>
      </c>
      <c r="Q288" s="93">
        <v>32</v>
      </c>
      <c r="R288" s="94">
        <f>Q288</f>
        <v>32</v>
      </c>
      <c r="S288" s="100">
        <v>32</v>
      </c>
      <c r="T288" s="93">
        <v>32</v>
      </c>
      <c r="U288" s="93">
        <v>32</v>
      </c>
      <c r="V288" s="93">
        <f>U288</f>
        <v>32</v>
      </c>
      <c r="W288" s="94">
        <f>V288</f>
        <v>32</v>
      </c>
      <c r="X288" s="93">
        <f>V288</f>
        <v>32</v>
      </c>
      <c r="Y288" s="93">
        <f>X288</f>
        <v>32</v>
      </c>
      <c r="Z288" s="93">
        <f>Y288</f>
        <v>32</v>
      </c>
      <c r="AA288" s="93">
        <f>Z288</f>
        <v>32</v>
      </c>
      <c r="AB288" s="94">
        <f>AA288</f>
        <v>32</v>
      </c>
      <c r="AC288" s="93">
        <f>AA288</f>
        <v>32</v>
      </c>
      <c r="AD288" s="93">
        <f>AC288</f>
        <v>32</v>
      </c>
      <c r="AE288" s="93">
        <f>AD288</f>
        <v>32</v>
      </c>
      <c r="AF288" s="93">
        <f>AE288</f>
        <v>32</v>
      </c>
      <c r="AG288" s="94">
        <f>AF288</f>
        <v>32</v>
      </c>
      <c r="AH288" s="93">
        <f>AF288</f>
        <v>32</v>
      </c>
      <c r="AI288" s="93">
        <f>AH288</f>
        <v>32</v>
      </c>
      <c r="AJ288" s="93">
        <f>AI288</f>
        <v>32</v>
      </c>
      <c r="AK288" s="93">
        <f>AJ288</f>
        <v>32</v>
      </c>
      <c r="AL288" s="94">
        <f>AK288</f>
        <v>32</v>
      </c>
      <c r="AM288" s="93">
        <f>AK288</f>
        <v>32</v>
      </c>
      <c r="AN288" s="93">
        <f>AM288</f>
        <v>32</v>
      </c>
      <c r="AO288" s="93">
        <f>AN288</f>
        <v>32</v>
      </c>
      <c r="AP288" s="93">
        <f>AO288</f>
        <v>32</v>
      </c>
      <c r="AQ288" s="94">
        <f>AP288</f>
        <v>32</v>
      </c>
    </row>
    <row r="289" spans="2:43" outlineLevel="1" x14ac:dyDescent="0.25">
      <c r="B289" s="284" t="s">
        <v>222</v>
      </c>
      <c r="C289" s="285"/>
      <c r="D289" s="100">
        <v>2814</v>
      </c>
      <c r="E289" s="93">
        <v>2839</v>
      </c>
      <c r="F289" s="93">
        <v>2869</v>
      </c>
      <c r="G289" s="93">
        <v>2892</v>
      </c>
      <c r="H289" s="94">
        <f>G289</f>
        <v>2892</v>
      </c>
      <c r="I289" s="93">
        <v>2918</v>
      </c>
      <c r="J289" s="100">
        <v>2946</v>
      </c>
      <c r="K289" s="93">
        <v>2976</v>
      </c>
      <c r="L289" s="93">
        <v>3005</v>
      </c>
      <c r="M289" s="94">
        <f>L289</f>
        <v>3005</v>
      </c>
      <c r="N289" s="93">
        <v>3030</v>
      </c>
      <c r="O289" s="93">
        <v>3055</v>
      </c>
      <c r="P289" s="93">
        <v>3085</v>
      </c>
      <c r="Q289" s="93">
        <v>3117</v>
      </c>
      <c r="R289" s="94">
        <f>Q289</f>
        <v>3117</v>
      </c>
      <c r="S289" s="100">
        <v>3154</v>
      </c>
      <c r="T289" s="93">
        <v>3185</v>
      </c>
      <c r="U289" s="93">
        <v>3209</v>
      </c>
      <c r="V289" s="93">
        <f>+V323+U289</f>
        <v>3254.1061552157175</v>
      </c>
      <c r="W289" s="94">
        <f>V289</f>
        <v>3254.1061552157175</v>
      </c>
      <c r="X289" s="93">
        <f>+X323+V289</f>
        <v>3300.6443036108676</v>
      </c>
      <c r="Y289" s="93">
        <f>+Y323+X289</f>
        <v>3343.2526242233307</v>
      </c>
      <c r="Z289" s="93">
        <f>+Z323+Y289</f>
        <v>3384.7214611695667</v>
      </c>
      <c r="AA289" s="93">
        <f>+AA323+Z289</f>
        <v>3430.6652778214902</v>
      </c>
      <c r="AB289" s="94">
        <f>AA289</f>
        <v>3430.6652778214902</v>
      </c>
      <c r="AC289" s="93">
        <f>+AC323+AA289</f>
        <v>3474.5002404493571</v>
      </c>
      <c r="AD289" s="93">
        <f>+AD323+AC289</f>
        <v>3519.2073372878062</v>
      </c>
      <c r="AE289" s="93">
        <f>+AE323+AD289</f>
        <v>3562.634896268461</v>
      </c>
      <c r="AF289" s="93">
        <f>+AF323+AE289</f>
        <v>3608.8747423150567</v>
      </c>
      <c r="AG289" s="94">
        <f>AF289</f>
        <v>3608.8747423150567</v>
      </c>
      <c r="AH289" s="93">
        <f>+AH323+AF289</f>
        <v>3653.064047550542</v>
      </c>
      <c r="AI289" s="93">
        <f>+AI323+AH289</f>
        <v>3698.8560337339118</v>
      </c>
      <c r="AJ289" s="93">
        <f>+AJ323+AI289</f>
        <v>3743.1448992392634</v>
      </c>
      <c r="AK289" s="93">
        <f>+AK323+AJ289</f>
        <v>3789.9500197639854</v>
      </c>
      <c r="AL289" s="94">
        <f>AK289</f>
        <v>3789.9500197639854</v>
      </c>
      <c r="AM289" s="93">
        <f>+AM323+AK289</f>
        <v>3834.8015321055923</v>
      </c>
      <c r="AN289" s="93">
        <f>+AN323+AM289</f>
        <v>3881.2660391668292</v>
      </c>
      <c r="AO289" s="93">
        <f>+AO323+AN289</f>
        <v>3926.1647680420569</v>
      </c>
      <c r="AP289" s="93">
        <f>+AP323+AO289</f>
        <v>3973.5006101633039</v>
      </c>
      <c r="AQ289" s="94">
        <f>AP289</f>
        <v>3973.5006101633039</v>
      </c>
    </row>
    <row r="290" spans="2:43" outlineLevel="1" x14ac:dyDescent="0.25">
      <c r="B290" s="765" t="s">
        <v>49</v>
      </c>
      <c r="C290" s="766"/>
      <c r="D290" s="100">
        <v>17434</v>
      </c>
      <c r="E290" s="93">
        <v>18048</v>
      </c>
      <c r="F290" s="93">
        <v>18481</v>
      </c>
      <c r="G290" s="93">
        <v>18371</v>
      </c>
      <c r="H290" s="94">
        <f>G290</f>
        <v>18371</v>
      </c>
      <c r="I290" s="93">
        <v>18862</v>
      </c>
      <c r="J290" s="100">
        <v>19410</v>
      </c>
      <c r="K290" s="93">
        <v>19830</v>
      </c>
      <c r="L290" s="93">
        <v>20833</v>
      </c>
      <c r="M290" s="94">
        <f>L290</f>
        <v>20833</v>
      </c>
      <c r="N290" s="93">
        <v>21156</v>
      </c>
      <c r="O290" s="93">
        <v>21785</v>
      </c>
      <c r="P290" s="93">
        <v>23710</v>
      </c>
      <c r="Q290" s="93">
        <v>24823</v>
      </c>
      <c r="R290" s="94">
        <f>Q290</f>
        <v>24823</v>
      </c>
      <c r="S290" s="100">
        <v>25315</v>
      </c>
      <c r="T290" s="93">
        <v>26080</v>
      </c>
      <c r="U290" s="93">
        <v>26650</v>
      </c>
      <c r="V290" s="93">
        <f>U290+V320+V345</f>
        <v>27547.306181933978</v>
      </c>
      <c r="W290" s="94">
        <f>V290</f>
        <v>27547.306181933978</v>
      </c>
      <c r="X290" s="93">
        <f>V290+X320+X345</f>
        <v>28184.25169693655</v>
      </c>
      <c r="Y290" s="93">
        <f>X290+Y320+Y345</f>
        <v>28854.456677068782</v>
      </c>
      <c r="Z290" s="93">
        <f>Y290+Z320+Z345</f>
        <v>29304.514430786534</v>
      </c>
      <c r="AA290" s="93">
        <f>Z290+AA320+AA345</f>
        <v>30272.109015261751</v>
      </c>
      <c r="AB290" s="94">
        <f>AA290</f>
        <v>30272.109015261751</v>
      </c>
      <c r="AC290" s="93">
        <f>AA290+AC320+AC345</f>
        <v>31007.385443916617</v>
      </c>
      <c r="AD290" s="93">
        <f>AC290+AD320+AD345</f>
        <v>31734.542690010192</v>
      </c>
      <c r="AE290" s="93">
        <f>AD290+AE320+AE345</f>
        <v>32205.134918168675</v>
      </c>
      <c r="AF290" s="93">
        <f>AE290+AF320+AF345</f>
        <v>33174.845124245046</v>
      </c>
      <c r="AG290" s="94">
        <f>AF290</f>
        <v>33174.845124245046</v>
      </c>
      <c r="AH290" s="93">
        <f>AF290+AH320+AH345</f>
        <v>33772.263992018517</v>
      </c>
      <c r="AI290" s="93">
        <f>AH290+AI320+AI345</f>
        <v>34330.481059325364</v>
      </c>
      <c r="AJ290" s="93">
        <f>AI290+AJ320+AJ345</f>
        <v>34635.678588240356</v>
      </c>
      <c r="AK290" s="93">
        <f>AJ290+AK320+AK345</f>
        <v>35443.899221129177</v>
      </c>
      <c r="AL290" s="94">
        <f>AK290</f>
        <v>35443.899221129177</v>
      </c>
      <c r="AM290" s="93">
        <f>AK290+AM320+AM345</f>
        <v>35923.978459662394</v>
      </c>
      <c r="AN290" s="93">
        <f>AM290+AN320+AN345</f>
        <v>36333.669535082125</v>
      </c>
      <c r="AO290" s="93">
        <f>AN290+AO320+AO345</f>
        <v>36494.793322308527</v>
      </c>
      <c r="AP290" s="93">
        <f>AO290+AP320+AP345</f>
        <v>37158.747922037735</v>
      </c>
      <c r="AQ290" s="94">
        <f>AP290</f>
        <v>37158.747922037735</v>
      </c>
    </row>
    <row r="291" spans="2:43" outlineLevel="1" x14ac:dyDescent="0.25">
      <c r="B291" s="247" t="s">
        <v>313</v>
      </c>
      <c r="C291" s="296"/>
      <c r="D291" s="100"/>
      <c r="E291" s="93"/>
      <c r="F291" s="93"/>
      <c r="G291" s="93"/>
      <c r="H291" s="94"/>
      <c r="I291" s="93"/>
      <c r="J291" s="100"/>
      <c r="K291" s="93"/>
      <c r="L291" s="93"/>
      <c r="M291" s="94"/>
      <c r="N291" s="93"/>
      <c r="O291" s="93"/>
      <c r="P291" s="93"/>
      <c r="Q291" s="72"/>
      <c r="R291" s="94"/>
      <c r="S291" s="41"/>
      <c r="T291" s="72"/>
      <c r="U291" s="72"/>
      <c r="V291" s="72"/>
      <c r="W291" s="43"/>
      <c r="X291" s="72"/>
      <c r="Y291" s="72"/>
      <c r="Z291" s="72"/>
      <c r="AA291" s="72"/>
      <c r="AB291" s="43"/>
      <c r="AC291" s="72"/>
      <c r="AD291" s="72"/>
      <c r="AE291" s="72"/>
      <c r="AF291" s="72"/>
      <c r="AG291" s="43"/>
      <c r="AH291" s="72"/>
      <c r="AI291" s="72"/>
      <c r="AJ291" s="72"/>
      <c r="AK291" s="72"/>
      <c r="AL291" s="43"/>
      <c r="AM291" s="72"/>
      <c r="AN291" s="72"/>
      <c r="AO291" s="72"/>
      <c r="AP291" s="72"/>
      <c r="AQ291" s="43"/>
    </row>
    <row r="292" spans="2:43" outlineLevel="1" x14ac:dyDescent="0.25">
      <c r="B292" s="248" t="s">
        <v>316</v>
      </c>
      <c r="C292" s="296"/>
      <c r="D292" s="100"/>
      <c r="E292" s="93"/>
      <c r="F292" s="93"/>
      <c r="G292" s="93"/>
      <c r="H292" s="94">
        <v>-514</v>
      </c>
      <c r="I292" s="93"/>
      <c r="J292" s="100"/>
      <c r="K292" s="93"/>
      <c r="L292" s="93"/>
      <c r="M292" s="94">
        <v>-685</v>
      </c>
      <c r="N292" s="93"/>
      <c r="O292" s="93"/>
      <c r="P292" s="93"/>
      <c r="Q292" s="100"/>
      <c r="R292" s="112">
        <v>-759</v>
      </c>
      <c r="S292" s="100">
        <v>-921</v>
      </c>
      <c r="T292" s="100">
        <f>-921-31</f>
        <v>-952</v>
      </c>
      <c r="U292" s="100">
        <f>-952+103</f>
        <v>-849</v>
      </c>
      <c r="V292" s="100">
        <f>+U292-V350</f>
        <v>-849</v>
      </c>
      <c r="W292" s="112">
        <f>+V292</f>
        <v>-849</v>
      </c>
      <c r="X292" s="100">
        <f>+W292-X350</f>
        <v>-849</v>
      </c>
      <c r="Y292" s="100">
        <f>+X292-Y350</f>
        <v>-849</v>
      </c>
      <c r="Z292" s="100">
        <f>+Y292-Z350</f>
        <v>-849</v>
      </c>
      <c r="AA292" s="100">
        <f>+Z292-AA350</f>
        <v>-849</v>
      </c>
      <c r="AB292" s="112">
        <f>+AA292</f>
        <v>-849</v>
      </c>
      <c r="AC292" s="100">
        <f>+AB292-AC350</f>
        <v>-849</v>
      </c>
      <c r="AD292" s="100">
        <f>+AC292-AD350</f>
        <v>-849</v>
      </c>
      <c r="AE292" s="100">
        <f>+AD292-AE350</f>
        <v>-849</v>
      </c>
      <c r="AF292" s="100">
        <f>+AE292-AF350</f>
        <v>-849</v>
      </c>
      <c r="AG292" s="112">
        <f>+AF292</f>
        <v>-849</v>
      </c>
      <c r="AH292" s="100">
        <f>+AG292-AH350</f>
        <v>-849</v>
      </c>
      <c r="AI292" s="100">
        <f>+AH292-AI350</f>
        <v>-849</v>
      </c>
      <c r="AJ292" s="100">
        <f>+AI292-AJ350</f>
        <v>-849</v>
      </c>
      <c r="AK292" s="100">
        <f>+AJ292-AK350</f>
        <v>-849</v>
      </c>
      <c r="AL292" s="112">
        <f>+AK292</f>
        <v>-849</v>
      </c>
      <c r="AM292" s="100">
        <f>+AL292-AM350</f>
        <v>-849</v>
      </c>
      <c r="AN292" s="100">
        <f>+AM292-AN350</f>
        <v>-849</v>
      </c>
      <c r="AO292" s="100">
        <f>+AN292-AO350</f>
        <v>-849</v>
      </c>
      <c r="AP292" s="100">
        <f>+AO292-AP350</f>
        <v>-849</v>
      </c>
      <c r="AQ292" s="112">
        <f>+AP292</f>
        <v>-849</v>
      </c>
    </row>
    <row r="293" spans="2:43" outlineLevel="1" x14ac:dyDescent="0.25">
      <c r="B293" s="248" t="s">
        <v>317</v>
      </c>
      <c r="C293" s="296"/>
      <c r="D293" s="100"/>
      <c r="E293" s="93"/>
      <c r="F293" s="93"/>
      <c r="G293" s="93"/>
      <c r="H293" s="94">
        <v>345</v>
      </c>
      <c r="I293" s="93"/>
      <c r="J293" s="100"/>
      <c r="K293" s="93"/>
      <c r="L293" s="93"/>
      <c r="M293" s="94">
        <f>H293+(M197+M198)</f>
        <v>270</v>
      </c>
      <c r="N293" s="93"/>
      <c r="O293" s="93"/>
      <c r="P293" s="93"/>
      <c r="Q293" s="72"/>
      <c r="R293" s="112">
        <v>181</v>
      </c>
      <c r="S293" s="100">
        <v>158</v>
      </c>
      <c r="T293" s="93">
        <f>158-23</f>
        <v>135</v>
      </c>
      <c r="U293" s="93">
        <f>135-23</f>
        <v>112</v>
      </c>
      <c r="V293" s="93">
        <f>+U293+V199</f>
        <v>89.75</v>
      </c>
      <c r="W293" s="94">
        <f>+V293</f>
        <v>89.75</v>
      </c>
      <c r="X293" s="93">
        <f>+W293+X199</f>
        <v>66.9375</v>
      </c>
      <c r="Y293" s="93">
        <f>+X293+Y199</f>
        <v>44.125</v>
      </c>
      <c r="Z293" s="93">
        <f>+Y293+Z199</f>
        <v>21.3125</v>
      </c>
      <c r="AA293" s="93">
        <f>+Z293+AA199</f>
        <v>-1.5</v>
      </c>
      <c r="AB293" s="94">
        <f>+AA293</f>
        <v>-1.5</v>
      </c>
      <c r="AC293" s="93">
        <f>+AB293+AC199</f>
        <v>-24.3125</v>
      </c>
      <c r="AD293" s="93">
        <f>+AC293+AD199</f>
        <v>-47.125</v>
      </c>
      <c r="AE293" s="93">
        <f>+AD293+AE199</f>
        <v>-69.9375</v>
      </c>
      <c r="AF293" s="93">
        <f>+AE293+AF199</f>
        <v>-92.75</v>
      </c>
      <c r="AG293" s="94">
        <f>+AF293</f>
        <v>-92.75</v>
      </c>
      <c r="AH293" s="93">
        <f>+AG293+AH199</f>
        <v>-115.5625</v>
      </c>
      <c r="AI293" s="93">
        <f>+AH293+AI199</f>
        <v>-138.375</v>
      </c>
      <c r="AJ293" s="93">
        <f>+AI293+AJ199</f>
        <v>-161.1875</v>
      </c>
      <c r="AK293" s="93">
        <f>+AJ293+AK199</f>
        <v>-184</v>
      </c>
      <c r="AL293" s="94">
        <f>+AK293</f>
        <v>-184</v>
      </c>
      <c r="AM293" s="93">
        <f>+AL293+AM199</f>
        <v>-206.8125</v>
      </c>
      <c r="AN293" s="93">
        <f>+AM293+AN199</f>
        <v>-229.625</v>
      </c>
      <c r="AO293" s="93">
        <f>+AN293+AO199</f>
        <v>-252.4375</v>
      </c>
      <c r="AP293" s="93">
        <f>+AO293+AP199</f>
        <v>-275.25</v>
      </c>
      <c r="AQ293" s="94">
        <f>+AP293</f>
        <v>-275.25</v>
      </c>
    </row>
    <row r="294" spans="2:43" ht="17.25" outlineLevel="1" x14ac:dyDescent="0.4">
      <c r="B294" s="248" t="s">
        <v>315</v>
      </c>
      <c r="C294" s="296"/>
      <c r="D294" s="100"/>
      <c r="E294" s="93"/>
      <c r="F294" s="93"/>
      <c r="G294" s="93"/>
      <c r="H294" s="99">
        <v>0</v>
      </c>
      <c r="I294" s="93"/>
      <c r="J294" s="100"/>
      <c r="K294" s="93"/>
      <c r="L294" s="93"/>
      <c r="M294" s="99">
        <v>0</v>
      </c>
      <c r="N294" s="93"/>
      <c r="O294" s="93"/>
      <c r="P294" s="93"/>
      <c r="Q294" s="307"/>
      <c r="R294" s="153">
        <f>+M294</f>
        <v>0</v>
      </c>
      <c r="S294" s="101">
        <v>0</v>
      </c>
      <c r="T294" s="98">
        <v>0</v>
      </c>
      <c r="U294" s="98">
        <v>0</v>
      </c>
      <c r="V294" s="98">
        <v>0</v>
      </c>
      <c r="W294" s="99">
        <f>+R294</f>
        <v>0</v>
      </c>
      <c r="X294" s="98">
        <v>0</v>
      </c>
      <c r="Y294" s="98">
        <v>0</v>
      </c>
      <c r="Z294" s="98">
        <v>0</v>
      </c>
      <c r="AA294" s="98">
        <v>0</v>
      </c>
      <c r="AB294" s="99">
        <f>+W294</f>
        <v>0</v>
      </c>
      <c r="AC294" s="98">
        <v>0</v>
      </c>
      <c r="AD294" s="98">
        <v>0</v>
      </c>
      <c r="AE294" s="98">
        <v>0</v>
      </c>
      <c r="AF294" s="98">
        <v>0</v>
      </c>
      <c r="AG294" s="99">
        <f>+AB294</f>
        <v>0</v>
      </c>
      <c r="AH294" s="98">
        <v>0</v>
      </c>
      <c r="AI294" s="98">
        <v>0</v>
      </c>
      <c r="AJ294" s="98">
        <v>0</v>
      </c>
      <c r="AK294" s="98">
        <v>0</v>
      </c>
      <c r="AL294" s="99">
        <f>+AG294</f>
        <v>0</v>
      </c>
      <c r="AM294" s="98">
        <v>0</v>
      </c>
      <c r="AN294" s="98">
        <v>0</v>
      </c>
      <c r="AO294" s="98">
        <v>0</v>
      </c>
      <c r="AP294" s="98">
        <v>0</v>
      </c>
      <c r="AQ294" s="99">
        <f>+AL294</f>
        <v>0</v>
      </c>
    </row>
    <row r="295" spans="2:43" s="55" customFormat="1" outlineLevel="1" x14ac:dyDescent="0.25">
      <c r="B295" s="763" t="s">
        <v>314</v>
      </c>
      <c r="C295" s="764"/>
      <c r="D295" s="107">
        <v>10</v>
      </c>
      <c r="E295" s="107">
        <v>-41</v>
      </c>
      <c r="F295" s="107">
        <v>-159</v>
      </c>
      <c r="G295" s="107">
        <v>-169</v>
      </c>
      <c r="H295" s="108">
        <f>+SUM(H292:H294)</f>
        <v>-169</v>
      </c>
      <c r="I295" s="107">
        <v>-176</v>
      </c>
      <c r="J295" s="109">
        <v>-425</v>
      </c>
      <c r="K295" s="107">
        <v>-334</v>
      </c>
      <c r="L295" s="107">
        <v>-415</v>
      </c>
      <c r="M295" s="108">
        <f>+SUM(M292:M294)</f>
        <v>-415</v>
      </c>
      <c r="N295" s="107">
        <v>-325</v>
      </c>
      <c r="O295" s="107">
        <v>-434</v>
      </c>
      <c r="P295" s="107">
        <v>-357</v>
      </c>
      <c r="Q295" s="107">
        <v>-578</v>
      </c>
      <c r="R295" s="108">
        <f t="shared" ref="R295:AQ295" si="170">+SUM(R292:R294)</f>
        <v>-578</v>
      </c>
      <c r="S295" s="109">
        <f t="shared" si="170"/>
        <v>-763</v>
      </c>
      <c r="T295" s="107">
        <f t="shared" si="170"/>
        <v>-817</v>
      </c>
      <c r="U295" s="107">
        <f t="shared" si="170"/>
        <v>-737</v>
      </c>
      <c r="V295" s="107">
        <f>+SUM(V292:V294)</f>
        <v>-759.25</v>
      </c>
      <c r="W295" s="108">
        <f>+SUM(W292:W294)</f>
        <v>-759.25</v>
      </c>
      <c r="X295" s="107">
        <f t="shared" si="170"/>
        <v>-782.0625</v>
      </c>
      <c r="Y295" s="107">
        <f t="shared" si="170"/>
        <v>-804.875</v>
      </c>
      <c r="Z295" s="107">
        <f t="shared" si="170"/>
        <v>-827.6875</v>
      </c>
      <c r="AA295" s="107">
        <f t="shared" si="170"/>
        <v>-850.5</v>
      </c>
      <c r="AB295" s="108">
        <f t="shared" si="170"/>
        <v>-850.5</v>
      </c>
      <c r="AC295" s="107">
        <f t="shared" si="170"/>
        <v>-873.3125</v>
      </c>
      <c r="AD295" s="107">
        <f t="shared" si="170"/>
        <v>-896.125</v>
      </c>
      <c r="AE295" s="107">
        <f t="shared" si="170"/>
        <v>-918.9375</v>
      </c>
      <c r="AF295" s="107">
        <f t="shared" si="170"/>
        <v>-941.75</v>
      </c>
      <c r="AG295" s="108">
        <f t="shared" si="170"/>
        <v>-941.75</v>
      </c>
      <c r="AH295" s="107">
        <f t="shared" si="170"/>
        <v>-964.5625</v>
      </c>
      <c r="AI295" s="107">
        <f t="shared" si="170"/>
        <v>-987.375</v>
      </c>
      <c r="AJ295" s="107">
        <f t="shared" si="170"/>
        <v>-1010.1875</v>
      </c>
      <c r="AK295" s="107">
        <f t="shared" si="170"/>
        <v>-1033</v>
      </c>
      <c r="AL295" s="108">
        <f t="shared" si="170"/>
        <v>-1033</v>
      </c>
      <c r="AM295" s="107">
        <f t="shared" si="170"/>
        <v>-1055.8125</v>
      </c>
      <c r="AN295" s="107">
        <f t="shared" si="170"/>
        <v>-1078.625</v>
      </c>
      <c r="AO295" s="107">
        <f t="shared" si="170"/>
        <v>-1101.4375</v>
      </c>
      <c r="AP295" s="107">
        <f t="shared" si="170"/>
        <v>-1124.25</v>
      </c>
      <c r="AQ295" s="108">
        <f t="shared" si="170"/>
        <v>-1124.25</v>
      </c>
    </row>
    <row r="296" spans="2:43" ht="17.25" outlineLevel="1" x14ac:dyDescent="0.4">
      <c r="B296" s="151" t="s">
        <v>223</v>
      </c>
      <c r="C296" s="152"/>
      <c r="D296" s="98">
        <v>-5007</v>
      </c>
      <c r="E296" s="98">
        <v>-5888</v>
      </c>
      <c r="F296" s="98">
        <v>-6896</v>
      </c>
      <c r="G296" s="98">
        <v>-7342</v>
      </c>
      <c r="H296" s="99">
        <f>G296</f>
        <v>-7342</v>
      </c>
      <c r="I296" s="98">
        <v>-7494</v>
      </c>
      <c r="J296" s="101">
        <v>-7432</v>
      </c>
      <c r="K296" s="98">
        <v>-7320</v>
      </c>
      <c r="L296" s="98">
        <v>-7382</v>
      </c>
      <c r="M296" s="99">
        <f>L296</f>
        <v>-7382</v>
      </c>
      <c r="N296" s="98">
        <v>-7275</v>
      </c>
      <c r="O296" s="98">
        <v>-7383</v>
      </c>
      <c r="P296" s="98">
        <v>-7576</v>
      </c>
      <c r="Q296" s="98">
        <v>-7978</v>
      </c>
      <c r="R296" s="99">
        <f>Q296</f>
        <v>-7978</v>
      </c>
      <c r="S296" s="101">
        <v>-8565</v>
      </c>
      <c r="T296" s="101">
        <v>-9186</v>
      </c>
      <c r="U296" s="101">
        <v>-9260</v>
      </c>
      <c r="V296" s="101">
        <f>+U296-V236</f>
        <v>-9260</v>
      </c>
      <c r="W296" s="153">
        <f>V296</f>
        <v>-9260</v>
      </c>
      <c r="X296" s="101">
        <f>+V296-X236</f>
        <v>-9601.0234875000006</v>
      </c>
      <c r="Y296" s="101">
        <f>+X296-Y236</f>
        <v>-9871.1490218750005</v>
      </c>
      <c r="Z296" s="101">
        <f>+Y296-Z236</f>
        <v>-10047.305939843751</v>
      </c>
      <c r="AA296" s="101">
        <f>+Z296-AA236</f>
        <v>-10244.132424804688</v>
      </c>
      <c r="AB296" s="153">
        <f>AA296</f>
        <v>-10244.132424804688</v>
      </c>
      <c r="AC296" s="101">
        <f>+AA296-AC236</f>
        <v>-10490.16553100586</v>
      </c>
      <c r="AD296" s="101">
        <f>+AC296-AD236</f>
        <v>-10712.451041882325</v>
      </c>
      <c r="AE296" s="101">
        <f>+AD296-AE236</f>
        <v>-10922.776546884155</v>
      </c>
      <c r="AF296" s="101">
        <f>+AE296-AF236</f>
        <v>-11141.644198644257</v>
      </c>
      <c r="AG296" s="153">
        <f>AF296</f>
        <v>-11141.644198644257</v>
      </c>
      <c r="AH296" s="101">
        <f>+AF296-AH236</f>
        <v>-11291.02214210415</v>
      </c>
      <c r="AI296" s="101">
        <f>+AH296-AI236</f>
        <v>-11416.236294878721</v>
      </c>
      <c r="AJ296" s="101">
        <f>+AI296-AJ236</f>
        <v>-11517.182608127821</v>
      </c>
      <c r="AK296" s="101">
        <f>+AJ296-AK236</f>
        <v>-11590.784123438738</v>
      </c>
      <c r="AL296" s="153">
        <f>AK296</f>
        <v>-11590.784123438738</v>
      </c>
      <c r="AM296" s="101">
        <f>+AK296-AM236</f>
        <v>-11628.069104637358</v>
      </c>
      <c r="AN296" s="101">
        <f>+AM296-AN236</f>
        <v>-11637.330845270661</v>
      </c>
      <c r="AO296" s="101">
        <f>+AN296-AO236</f>
        <v>-11617.604482868644</v>
      </c>
      <c r="AP296" s="101">
        <f>+AO296-AP236</f>
        <v>-11567.70995155385</v>
      </c>
      <c r="AQ296" s="153">
        <f>AP296</f>
        <v>-11567.70995155385</v>
      </c>
    </row>
    <row r="297" spans="2:43" outlineLevel="1" x14ac:dyDescent="0.25">
      <c r="B297" s="761" t="s">
        <v>50</v>
      </c>
      <c r="C297" s="762"/>
      <c r="D297" s="107">
        <f>SUM(D288:D296)</f>
        <v>15283</v>
      </c>
      <c r="E297" s="107">
        <f>SUM(E288:E296)</f>
        <v>14990</v>
      </c>
      <c r="F297" s="107">
        <f>SUM(F288:F296)</f>
        <v>14327</v>
      </c>
      <c r="G297" s="107">
        <f>SUM(G288:G296)</f>
        <v>13784</v>
      </c>
      <c r="H297" s="108">
        <f>SUM(H288:H290)+H296+H295</f>
        <v>13784</v>
      </c>
      <c r="I297" s="107">
        <f>SUM(I288:I296)</f>
        <v>14142</v>
      </c>
      <c r="J297" s="109">
        <f>SUM(J288:J296)</f>
        <v>14531</v>
      </c>
      <c r="K297" s="107">
        <f>SUM(K288:K296)</f>
        <v>15184</v>
      </c>
      <c r="L297" s="107">
        <f>SUM(L288:L296)</f>
        <v>16073</v>
      </c>
      <c r="M297" s="108">
        <f>SUM(M288:M290)+M296+M295</f>
        <v>16073</v>
      </c>
      <c r="N297" s="107">
        <f>SUM(N288:N296)</f>
        <v>16618</v>
      </c>
      <c r="O297" s="107">
        <f>SUM(O288:O296)</f>
        <v>17055</v>
      </c>
      <c r="P297" s="107">
        <f>SUM(P288:P296)</f>
        <v>18894</v>
      </c>
      <c r="Q297" s="107">
        <f>SUM(Q288:Q296)</f>
        <v>19416</v>
      </c>
      <c r="R297" s="108">
        <f t="shared" ref="R297:AQ297" si="171">SUM(R288:R290)+R296+R295</f>
        <v>19416</v>
      </c>
      <c r="S297" s="107">
        <f t="shared" si="171"/>
        <v>19173</v>
      </c>
      <c r="T297" s="107">
        <f t="shared" si="171"/>
        <v>19294</v>
      </c>
      <c r="U297" s="107">
        <f t="shared" si="171"/>
        <v>19894</v>
      </c>
      <c r="V297" s="107">
        <f>SUM(V288:V290)+V296+V295</f>
        <v>20814.162337149697</v>
      </c>
      <c r="W297" s="108">
        <f t="shared" si="171"/>
        <v>20814.162337149697</v>
      </c>
      <c r="X297" s="107">
        <f t="shared" si="171"/>
        <v>21133.810013047419</v>
      </c>
      <c r="Y297" s="107">
        <f t="shared" si="171"/>
        <v>21553.68527941711</v>
      </c>
      <c r="Z297" s="107">
        <f t="shared" si="171"/>
        <v>21846.24245211235</v>
      </c>
      <c r="AA297" s="107">
        <f t="shared" si="171"/>
        <v>22640.141868278552</v>
      </c>
      <c r="AB297" s="108">
        <f t="shared" si="171"/>
        <v>22640.141868278552</v>
      </c>
      <c r="AC297" s="107">
        <f t="shared" si="171"/>
        <v>23150.407653360115</v>
      </c>
      <c r="AD297" s="107">
        <f t="shared" si="171"/>
        <v>23677.173985415669</v>
      </c>
      <c r="AE297" s="107">
        <f t="shared" si="171"/>
        <v>23958.055767552985</v>
      </c>
      <c r="AF297" s="107">
        <f t="shared" si="171"/>
        <v>24732.325667915844</v>
      </c>
      <c r="AG297" s="108">
        <f t="shared" si="171"/>
        <v>24732.325667915844</v>
      </c>
      <c r="AH297" s="107">
        <f t="shared" si="171"/>
        <v>25201.74339746491</v>
      </c>
      <c r="AI297" s="107">
        <f t="shared" si="171"/>
        <v>25657.72579818056</v>
      </c>
      <c r="AJ297" s="107">
        <f t="shared" si="171"/>
        <v>25883.453379351799</v>
      </c>
      <c r="AK297" s="107">
        <f t="shared" si="171"/>
        <v>26642.065117454425</v>
      </c>
      <c r="AL297" s="108">
        <f t="shared" si="171"/>
        <v>26642.065117454425</v>
      </c>
      <c r="AM297" s="107">
        <f t="shared" si="171"/>
        <v>27106.89838713063</v>
      </c>
      <c r="AN297" s="107">
        <f t="shared" si="171"/>
        <v>27530.979728978295</v>
      </c>
      <c r="AO297" s="107">
        <f t="shared" si="171"/>
        <v>27733.916107481942</v>
      </c>
      <c r="AP297" s="107">
        <f t="shared" si="171"/>
        <v>28472.28858064719</v>
      </c>
      <c r="AQ297" s="108">
        <f t="shared" si="171"/>
        <v>28472.28858064719</v>
      </c>
    </row>
    <row r="298" spans="2:43" outlineLevel="1" x14ac:dyDescent="0.25">
      <c r="B298" s="793" t="s">
        <v>12</v>
      </c>
      <c r="C298" s="794"/>
      <c r="D298" s="154">
        <f t="shared" ref="D298:AQ298" si="172">D297+D284</f>
        <v>37245</v>
      </c>
      <c r="E298" s="154">
        <f t="shared" si="172"/>
        <v>38371</v>
      </c>
      <c r="F298" s="154">
        <f t="shared" si="172"/>
        <v>37819</v>
      </c>
      <c r="G298" s="154">
        <f t="shared" si="172"/>
        <v>45959</v>
      </c>
      <c r="H298" s="155">
        <f t="shared" si="172"/>
        <v>45959</v>
      </c>
      <c r="I298" s="154">
        <f t="shared" si="172"/>
        <v>45575</v>
      </c>
      <c r="J298" s="156">
        <f t="shared" si="172"/>
        <v>46348</v>
      </c>
      <c r="K298" s="154">
        <f t="shared" si="172"/>
        <v>46781</v>
      </c>
      <c r="L298" s="154">
        <f t="shared" si="172"/>
        <v>48552</v>
      </c>
      <c r="M298" s="155">
        <f t="shared" si="172"/>
        <v>48552</v>
      </c>
      <c r="N298" s="154">
        <f t="shared" si="172"/>
        <v>49350</v>
      </c>
      <c r="O298" s="154">
        <f t="shared" si="172"/>
        <v>50281</v>
      </c>
      <c r="P298" s="154">
        <f t="shared" si="172"/>
        <v>51851</v>
      </c>
      <c r="Q298" s="154">
        <f t="shared" si="172"/>
        <v>52300</v>
      </c>
      <c r="R298" s="155">
        <f t="shared" si="172"/>
        <v>52300</v>
      </c>
      <c r="S298" s="154">
        <f t="shared" si="172"/>
        <v>51901</v>
      </c>
      <c r="T298" s="154">
        <f t="shared" si="172"/>
        <v>53289</v>
      </c>
      <c r="U298" s="154">
        <f t="shared" si="172"/>
        <v>54464</v>
      </c>
      <c r="V298" s="154">
        <f t="shared" si="172"/>
        <v>56244.296114658522</v>
      </c>
      <c r="W298" s="155">
        <f>W297+W284</f>
        <v>56244.296114658522</v>
      </c>
      <c r="X298" s="154">
        <f t="shared" si="172"/>
        <v>56539.496671167733</v>
      </c>
      <c r="Y298" s="154">
        <f t="shared" si="172"/>
        <v>58529.302751253606</v>
      </c>
      <c r="Z298" s="154">
        <f t="shared" si="172"/>
        <v>58558.835734581138</v>
      </c>
      <c r="AA298" s="154">
        <f t="shared" si="172"/>
        <v>61013.328212056695</v>
      </c>
      <c r="AB298" s="155">
        <f t="shared" si="172"/>
        <v>61013.328212056695</v>
      </c>
      <c r="AC298" s="154">
        <f t="shared" si="172"/>
        <v>60954.850711919207</v>
      </c>
      <c r="AD298" s="154">
        <f t="shared" si="172"/>
        <v>63744.525294921259</v>
      </c>
      <c r="AE298" s="154">
        <f t="shared" si="172"/>
        <v>63108.012107712922</v>
      </c>
      <c r="AF298" s="154">
        <f t="shared" si="172"/>
        <v>66068.664914107794</v>
      </c>
      <c r="AG298" s="155">
        <f t="shared" si="172"/>
        <v>66068.664914107794</v>
      </c>
      <c r="AH298" s="154">
        <f t="shared" si="172"/>
        <v>65332.811818421724</v>
      </c>
      <c r="AI298" s="154">
        <f t="shared" si="172"/>
        <v>68365.312383913028</v>
      </c>
      <c r="AJ298" s="154">
        <f t="shared" si="172"/>
        <v>67060.947304838832</v>
      </c>
      <c r="AK298" s="154">
        <f t="shared" si="172"/>
        <v>70323.002241888084</v>
      </c>
      <c r="AL298" s="155">
        <f t="shared" si="172"/>
        <v>70323.002241888084</v>
      </c>
      <c r="AM298" s="154">
        <f t="shared" si="172"/>
        <v>69112.848544483481</v>
      </c>
      <c r="AN298" s="154">
        <f t="shared" si="172"/>
        <v>72544.174913714553</v>
      </c>
      <c r="AO298" s="154">
        <f t="shared" si="172"/>
        <v>70783.618891619262</v>
      </c>
      <c r="AP298" s="154">
        <f t="shared" si="172"/>
        <v>74431.229363898965</v>
      </c>
      <c r="AQ298" s="155">
        <f t="shared" si="172"/>
        <v>74431.229363898965</v>
      </c>
    </row>
    <row r="299" spans="2:43" x14ac:dyDescent="0.25">
      <c r="B299" s="52"/>
      <c r="C299" s="45"/>
      <c r="D299" s="27">
        <f t="shared" ref="D299:P299" si="173">D298-D269</f>
        <v>0</v>
      </c>
      <c r="E299" s="27">
        <f t="shared" si="173"/>
        <v>0</v>
      </c>
      <c r="F299" s="27">
        <f t="shared" si="173"/>
        <v>0</v>
      </c>
      <c r="G299" s="27">
        <f t="shared" si="173"/>
        <v>0</v>
      </c>
      <c r="H299" s="27">
        <f t="shared" si="173"/>
        <v>0</v>
      </c>
      <c r="I299" s="27">
        <f t="shared" si="173"/>
        <v>0</v>
      </c>
      <c r="J299" s="27">
        <f t="shared" si="173"/>
        <v>0</v>
      </c>
      <c r="K299" s="27">
        <f t="shared" si="173"/>
        <v>0</v>
      </c>
      <c r="L299" s="27">
        <f t="shared" si="173"/>
        <v>0</v>
      </c>
      <c r="M299" s="27">
        <f t="shared" si="173"/>
        <v>0</v>
      </c>
      <c r="N299" s="27">
        <f t="shared" si="173"/>
        <v>0</v>
      </c>
      <c r="O299" s="27">
        <f t="shared" si="173"/>
        <v>0</v>
      </c>
      <c r="P299" s="27">
        <f t="shared" si="173"/>
        <v>0</v>
      </c>
      <c r="Q299" s="254">
        <f t="shared" ref="Q299:AQ299" si="174">ROUND((Q298-Q269),0)</f>
        <v>0</v>
      </c>
      <c r="R299" s="254">
        <f t="shared" si="174"/>
        <v>0</v>
      </c>
      <c r="S299" s="254">
        <f t="shared" si="174"/>
        <v>0</v>
      </c>
      <c r="T299" s="254">
        <f t="shared" si="174"/>
        <v>0</v>
      </c>
      <c r="U299" s="254">
        <f t="shared" si="174"/>
        <v>0</v>
      </c>
      <c r="V299" s="254">
        <f t="shared" si="174"/>
        <v>0</v>
      </c>
      <c r="W299" s="254">
        <f t="shared" si="174"/>
        <v>0</v>
      </c>
      <c r="X299" s="254">
        <f t="shared" si="174"/>
        <v>0</v>
      </c>
      <c r="Y299" s="254">
        <f t="shared" si="174"/>
        <v>0</v>
      </c>
      <c r="Z299" s="254">
        <f t="shared" si="174"/>
        <v>0</v>
      </c>
      <c r="AA299" s="254">
        <f t="shared" si="174"/>
        <v>0</v>
      </c>
      <c r="AB299" s="254">
        <f t="shared" si="174"/>
        <v>0</v>
      </c>
      <c r="AC299" s="254">
        <f t="shared" si="174"/>
        <v>0</v>
      </c>
      <c r="AD299" s="254">
        <f t="shared" si="174"/>
        <v>0</v>
      </c>
      <c r="AE299" s="254">
        <f t="shared" si="174"/>
        <v>0</v>
      </c>
      <c r="AF299" s="254">
        <f t="shared" si="174"/>
        <v>0</v>
      </c>
      <c r="AG299" s="254">
        <f t="shared" si="174"/>
        <v>0</v>
      </c>
      <c r="AH299" s="254">
        <f t="shared" si="174"/>
        <v>0</v>
      </c>
      <c r="AI299" s="254">
        <f t="shared" si="174"/>
        <v>0</v>
      </c>
      <c r="AJ299" s="254">
        <f t="shared" si="174"/>
        <v>0</v>
      </c>
      <c r="AK299" s="254">
        <f t="shared" si="174"/>
        <v>0</v>
      </c>
      <c r="AL299" s="254">
        <f t="shared" si="174"/>
        <v>0</v>
      </c>
      <c r="AM299" s="254">
        <f t="shared" si="174"/>
        <v>0</v>
      </c>
      <c r="AN299" s="254">
        <f t="shared" si="174"/>
        <v>0</v>
      </c>
      <c r="AO299" s="254">
        <f t="shared" si="174"/>
        <v>0</v>
      </c>
      <c r="AP299" s="254">
        <f t="shared" si="174"/>
        <v>0</v>
      </c>
      <c r="AQ299" s="254">
        <f t="shared" si="174"/>
        <v>0</v>
      </c>
    </row>
    <row r="300" spans="2:43" ht="15.75" x14ac:dyDescent="0.25">
      <c r="B300" s="713" t="s">
        <v>24</v>
      </c>
      <c r="C300" s="714"/>
      <c r="D300" s="90" t="s">
        <v>120</v>
      </c>
      <c r="E300" s="90" t="s">
        <v>121</v>
      </c>
      <c r="F300" s="90" t="s">
        <v>122</v>
      </c>
      <c r="G300" s="90" t="s">
        <v>123</v>
      </c>
      <c r="H300" s="400" t="s">
        <v>123</v>
      </c>
      <c r="I300" s="90" t="s">
        <v>124</v>
      </c>
      <c r="J300" s="90" t="s">
        <v>125</v>
      </c>
      <c r="K300" s="90" t="s">
        <v>126</v>
      </c>
      <c r="L300" s="90" t="s">
        <v>127</v>
      </c>
      <c r="M300" s="400" t="s">
        <v>127</v>
      </c>
      <c r="N300" s="90" t="s">
        <v>128</v>
      </c>
      <c r="O300" s="90" t="s">
        <v>129</v>
      </c>
      <c r="P300" s="90" t="s">
        <v>130</v>
      </c>
      <c r="Q300" s="90" t="s">
        <v>131</v>
      </c>
      <c r="R300" s="400" t="s">
        <v>131</v>
      </c>
      <c r="S300" s="90" t="s">
        <v>132</v>
      </c>
      <c r="T300" s="90" t="s">
        <v>133</v>
      </c>
      <c r="U300" s="90" t="s">
        <v>134</v>
      </c>
      <c r="V300" s="92" t="s">
        <v>135</v>
      </c>
      <c r="W300" s="404" t="s">
        <v>135</v>
      </c>
      <c r="X300" s="92" t="s">
        <v>136</v>
      </c>
      <c r="Y300" s="92" t="s">
        <v>137</v>
      </c>
      <c r="Z300" s="92" t="s">
        <v>138</v>
      </c>
      <c r="AA300" s="92" t="s">
        <v>139</v>
      </c>
      <c r="AB300" s="404" t="s">
        <v>139</v>
      </c>
      <c r="AC300" s="92" t="s">
        <v>140</v>
      </c>
      <c r="AD300" s="92" t="s">
        <v>141</v>
      </c>
      <c r="AE300" s="92" t="s">
        <v>142</v>
      </c>
      <c r="AF300" s="92" t="s">
        <v>143</v>
      </c>
      <c r="AG300" s="404" t="s">
        <v>143</v>
      </c>
      <c r="AH300" s="92" t="s">
        <v>144</v>
      </c>
      <c r="AI300" s="92" t="s">
        <v>145</v>
      </c>
      <c r="AJ300" s="92" t="s">
        <v>146</v>
      </c>
      <c r="AK300" s="92" t="s">
        <v>147</v>
      </c>
      <c r="AL300" s="404" t="s">
        <v>147</v>
      </c>
      <c r="AM300" s="92" t="s">
        <v>148</v>
      </c>
      <c r="AN300" s="92" t="s">
        <v>149</v>
      </c>
      <c r="AO300" s="92" t="s">
        <v>150</v>
      </c>
      <c r="AP300" s="92" t="s">
        <v>151</v>
      </c>
      <c r="AQ300" s="404" t="s">
        <v>151</v>
      </c>
    </row>
    <row r="301" spans="2:43" ht="17.25" x14ac:dyDescent="0.4">
      <c r="B301" s="731"/>
      <c r="C301" s="732"/>
      <c r="D301" s="91" t="s">
        <v>71</v>
      </c>
      <c r="E301" s="91" t="s">
        <v>74</v>
      </c>
      <c r="F301" s="91" t="s">
        <v>75</v>
      </c>
      <c r="G301" s="91" t="s">
        <v>78</v>
      </c>
      <c r="H301" s="401" t="s">
        <v>79</v>
      </c>
      <c r="I301" s="91" t="s">
        <v>80</v>
      </c>
      <c r="J301" s="91" t="s">
        <v>91</v>
      </c>
      <c r="K301" s="91" t="s">
        <v>109</v>
      </c>
      <c r="L301" s="91" t="s">
        <v>113</v>
      </c>
      <c r="M301" s="401" t="s">
        <v>114</v>
      </c>
      <c r="N301" s="91" t="s">
        <v>115</v>
      </c>
      <c r="O301" s="91" t="s">
        <v>116</v>
      </c>
      <c r="P301" s="91" t="s">
        <v>117</v>
      </c>
      <c r="Q301" s="91" t="s">
        <v>118</v>
      </c>
      <c r="R301" s="401" t="s">
        <v>119</v>
      </c>
      <c r="S301" s="91" t="s">
        <v>507</v>
      </c>
      <c r="T301" s="91" t="s">
        <v>749</v>
      </c>
      <c r="U301" s="91" t="s">
        <v>769</v>
      </c>
      <c r="V301" s="89" t="s">
        <v>378</v>
      </c>
      <c r="W301" s="405" t="s">
        <v>379</v>
      </c>
      <c r="X301" s="89" t="s">
        <v>380</v>
      </c>
      <c r="Y301" s="89" t="s">
        <v>381</v>
      </c>
      <c r="Z301" s="89" t="s">
        <v>382</v>
      </c>
      <c r="AA301" s="89" t="s">
        <v>383</v>
      </c>
      <c r="AB301" s="405" t="s">
        <v>384</v>
      </c>
      <c r="AC301" s="89" t="s">
        <v>385</v>
      </c>
      <c r="AD301" s="89" t="s">
        <v>386</v>
      </c>
      <c r="AE301" s="89" t="s">
        <v>387</v>
      </c>
      <c r="AF301" s="89" t="s">
        <v>388</v>
      </c>
      <c r="AG301" s="405" t="s">
        <v>389</v>
      </c>
      <c r="AH301" s="89" t="s">
        <v>390</v>
      </c>
      <c r="AI301" s="89" t="s">
        <v>391</v>
      </c>
      <c r="AJ301" s="89" t="s">
        <v>392</v>
      </c>
      <c r="AK301" s="89" t="s">
        <v>393</v>
      </c>
      <c r="AL301" s="405" t="s">
        <v>394</v>
      </c>
      <c r="AM301" s="89" t="s">
        <v>395</v>
      </c>
      <c r="AN301" s="89" t="s">
        <v>396</v>
      </c>
      <c r="AO301" s="89" t="s">
        <v>397</v>
      </c>
      <c r="AP301" s="89" t="s">
        <v>398</v>
      </c>
      <c r="AQ301" s="405" t="s">
        <v>399</v>
      </c>
    </row>
    <row r="302" spans="2:43" s="53" customFormat="1" outlineLevel="1" x14ac:dyDescent="0.25">
      <c r="B302" s="289" t="s">
        <v>84</v>
      </c>
      <c r="C302" s="77"/>
      <c r="D302" s="139">
        <v>92</v>
      </c>
      <c r="E302" s="139">
        <v>90</v>
      </c>
      <c r="F302" s="139">
        <v>91</v>
      </c>
      <c r="G302" s="139">
        <v>92</v>
      </c>
      <c r="H302" s="170"/>
      <c r="I302" s="139">
        <v>92</v>
      </c>
      <c r="J302" s="139">
        <v>91</v>
      </c>
      <c r="K302" s="139">
        <v>90</v>
      </c>
      <c r="L302" s="139">
        <v>92</v>
      </c>
      <c r="M302" s="170"/>
      <c r="N302" s="139">
        <v>92</v>
      </c>
      <c r="O302" s="139">
        <v>91</v>
      </c>
      <c r="P302" s="139">
        <v>90</v>
      </c>
      <c r="Q302" s="139">
        <v>92</v>
      </c>
      <c r="R302" s="170"/>
      <c r="S302" s="139">
        <v>92</v>
      </c>
      <c r="T302" s="139">
        <v>91</v>
      </c>
      <c r="U302" s="139">
        <v>90</v>
      </c>
      <c r="V302" s="139">
        <v>92</v>
      </c>
      <c r="W302" s="170"/>
      <c r="X302" s="139">
        <v>92</v>
      </c>
      <c r="Y302" s="139">
        <v>91</v>
      </c>
      <c r="Z302" s="139">
        <v>91</v>
      </c>
      <c r="AA302" s="139">
        <v>92</v>
      </c>
      <c r="AB302" s="170"/>
      <c r="AC302" s="139">
        <v>92</v>
      </c>
      <c r="AD302" s="139">
        <v>91</v>
      </c>
      <c r="AE302" s="139">
        <v>90</v>
      </c>
      <c r="AF302" s="139">
        <v>92</v>
      </c>
      <c r="AG302" s="170"/>
      <c r="AH302" s="139">
        <v>92</v>
      </c>
      <c r="AI302" s="139">
        <v>91</v>
      </c>
      <c r="AJ302" s="139">
        <v>90</v>
      </c>
      <c r="AK302" s="139">
        <v>92</v>
      </c>
      <c r="AL302" s="170"/>
      <c r="AM302" s="139">
        <v>92</v>
      </c>
      <c r="AN302" s="139">
        <v>91</v>
      </c>
      <c r="AO302" s="139">
        <v>90</v>
      </c>
      <c r="AP302" s="139">
        <v>92</v>
      </c>
      <c r="AQ302" s="170"/>
    </row>
    <row r="303" spans="2:43" outlineLevel="1" x14ac:dyDescent="0.25">
      <c r="B303" s="723" t="s">
        <v>25</v>
      </c>
      <c r="C303" s="724"/>
      <c r="D303" s="236">
        <f>D13/(AVERAGE(D259,5719))</f>
        <v>2.1663726182074807</v>
      </c>
      <c r="E303" s="236">
        <f>E13/(AVERAGE(E259,D259))</f>
        <v>2.1691342971607734</v>
      </c>
      <c r="F303" s="236">
        <f>F13/(AVERAGE(F259,E259))</f>
        <v>2.2008870336551003</v>
      </c>
      <c r="G303" s="236">
        <f>G13/(AVERAGE(G259,F259))</f>
        <v>2.0144342697501165</v>
      </c>
      <c r="H303" s="237"/>
      <c r="I303" s="489">
        <f>I13/(AVERAGE(I259,G259))</f>
        <v>2.0245771487745943</v>
      </c>
      <c r="J303" s="489">
        <f>J13/(AVERAGE(J259,I259))</f>
        <v>2.016612641815235</v>
      </c>
      <c r="K303" s="489">
        <f>K13/(AVERAGE(K259,J259))</f>
        <v>2.0005335823384245</v>
      </c>
      <c r="L303" s="489">
        <f>L13/(AVERAGE(L259,K259))</f>
        <v>2.0946926816274889</v>
      </c>
      <c r="M303" s="490"/>
      <c r="N303" s="489">
        <f>N13/(AVERAGE(N259,L259))</f>
        <v>1.9605254726049344</v>
      </c>
      <c r="O303" s="489">
        <f>O13/(AVERAGE(O259,N259))</f>
        <v>1.958225796770902</v>
      </c>
      <c r="P303" s="489">
        <f>P13/(AVERAGE(P259,O259))</f>
        <v>1.9076532379083457</v>
      </c>
      <c r="Q303" s="489">
        <f>Q13/(AVERAGE(Q259,P259))</f>
        <v>2.0140901280753791</v>
      </c>
      <c r="R303" s="239"/>
      <c r="S303" s="489">
        <f>S13/(AVERAGE(S259,Q259))</f>
        <v>1.978419770274974</v>
      </c>
      <c r="T303" s="489">
        <f>T13/(AVERAGE(T259,S259))</f>
        <v>1.9491497621521132</v>
      </c>
      <c r="U303" s="489">
        <f>U13/(AVERAGE(U259,T259))</f>
        <v>1.8280494357872112</v>
      </c>
      <c r="V303" s="246">
        <f>+Q303</f>
        <v>2.0140901280753791</v>
      </c>
      <c r="W303" s="237"/>
      <c r="X303" s="238">
        <f>+S303</f>
        <v>1.978419770274974</v>
      </c>
      <c r="Y303" s="238">
        <f>+T303</f>
        <v>1.9491497621521132</v>
      </c>
      <c r="Z303" s="238">
        <f>+U303</f>
        <v>1.8280494357872112</v>
      </c>
      <c r="AA303" s="238">
        <f>+V303</f>
        <v>2.0140901280753791</v>
      </c>
      <c r="AB303" s="237"/>
      <c r="AC303" s="238">
        <f>+X303</f>
        <v>1.978419770274974</v>
      </c>
      <c r="AD303" s="238">
        <f>+Y303</f>
        <v>1.9491497621521132</v>
      </c>
      <c r="AE303" s="238">
        <f>+Z303</f>
        <v>1.8280494357872112</v>
      </c>
      <c r="AF303" s="238">
        <f>+AA303</f>
        <v>2.0140901280753791</v>
      </c>
      <c r="AG303" s="237"/>
      <c r="AH303" s="238">
        <f>+AC303</f>
        <v>1.978419770274974</v>
      </c>
      <c r="AI303" s="238">
        <f>+AD303</f>
        <v>1.9491497621521132</v>
      </c>
      <c r="AJ303" s="238">
        <f>+AE303</f>
        <v>1.8280494357872112</v>
      </c>
      <c r="AK303" s="238">
        <f>+AF303</f>
        <v>2.0140901280753791</v>
      </c>
      <c r="AL303" s="237"/>
      <c r="AM303" s="238">
        <f>+AH303</f>
        <v>1.978419770274974</v>
      </c>
      <c r="AN303" s="238">
        <f>+AI303</f>
        <v>1.9491497621521132</v>
      </c>
      <c r="AO303" s="238">
        <f>+AJ303</f>
        <v>1.8280494357872112</v>
      </c>
      <c r="AP303" s="238">
        <f>+AK303</f>
        <v>2.0140901280753791</v>
      </c>
      <c r="AQ303" s="78"/>
    </row>
    <row r="304" spans="2:43" s="229" customFormat="1" outlineLevel="1" x14ac:dyDescent="0.25">
      <c r="B304" s="709" t="s">
        <v>85</v>
      </c>
      <c r="C304" s="710"/>
      <c r="D304" s="139">
        <f>D302/D303</f>
        <v>42.467301897548658</v>
      </c>
      <c r="E304" s="139">
        <f>E302/E303</f>
        <v>41.49120693808721</v>
      </c>
      <c r="F304" s="139">
        <f>F302/F303</f>
        <v>41.346965386439074</v>
      </c>
      <c r="G304" s="139">
        <f>G302/G303</f>
        <v>45.670390631019337</v>
      </c>
      <c r="H304" s="237"/>
      <c r="I304" s="139">
        <f>I302/I303</f>
        <v>45.44158766964469</v>
      </c>
      <c r="J304" s="139">
        <f>J302/J303</f>
        <v>45.125175808720115</v>
      </c>
      <c r="K304" s="139">
        <f>K302/K303</f>
        <v>44.987997599519908</v>
      </c>
      <c r="L304" s="139">
        <f>L302/L303</f>
        <v>43.920523906408953</v>
      </c>
      <c r="M304" s="237"/>
      <c r="N304" s="139">
        <f>N302/N303</f>
        <v>46.926194678695168</v>
      </c>
      <c r="O304" s="139">
        <f>O302/O303</f>
        <v>46.47063691534359</v>
      </c>
      <c r="P304" s="139">
        <f>P302/P303</f>
        <v>47.178385574246647</v>
      </c>
      <c r="Q304" s="139">
        <f>Q302/Q303</f>
        <v>45.678194196757822</v>
      </c>
      <c r="R304" s="237"/>
      <c r="S304" s="139">
        <f>S302/S303</f>
        <v>46.501759324419425</v>
      </c>
      <c r="T304" s="139">
        <f>T302/T303</f>
        <v>46.687023114901258</v>
      </c>
      <c r="U304" s="139">
        <f>U302/U303</f>
        <v>49.232804232804234</v>
      </c>
      <c r="V304" s="139">
        <f>V302/V303</f>
        <v>45.678194196757822</v>
      </c>
      <c r="W304" s="237"/>
      <c r="X304" s="139">
        <f>X302/X303</f>
        <v>46.501759324419425</v>
      </c>
      <c r="Y304" s="139">
        <f>Y302/Y303</f>
        <v>46.687023114901258</v>
      </c>
      <c r="Z304" s="139">
        <f>Z302/Z303</f>
        <v>49.779835390946502</v>
      </c>
      <c r="AA304" s="139">
        <f>AA302/AA303</f>
        <v>45.678194196757822</v>
      </c>
      <c r="AB304" s="237"/>
      <c r="AC304" s="139">
        <f>AC302/AC303</f>
        <v>46.501759324419425</v>
      </c>
      <c r="AD304" s="139">
        <f>AD302/AD303</f>
        <v>46.687023114901258</v>
      </c>
      <c r="AE304" s="139">
        <f>AE302/AE303</f>
        <v>49.232804232804234</v>
      </c>
      <c r="AF304" s="139">
        <f>AF302/AF303</f>
        <v>45.678194196757822</v>
      </c>
      <c r="AG304" s="237"/>
      <c r="AH304" s="139">
        <f>AH302/AH303</f>
        <v>46.501759324419425</v>
      </c>
      <c r="AI304" s="139">
        <f>AI302/AI303</f>
        <v>46.687023114901258</v>
      </c>
      <c r="AJ304" s="139">
        <f>AJ302/AJ303</f>
        <v>49.232804232804234</v>
      </c>
      <c r="AK304" s="139">
        <f>AK302/AK303</f>
        <v>45.678194196757822</v>
      </c>
      <c r="AL304" s="237"/>
      <c r="AM304" s="139">
        <f>AM302/AM303</f>
        <v>46.501759324419425</v>
      </c>
      <c r="AN304" s="139">
        <f>AN302/AN303</f>
        <v>46.687023114901258</v>
      </c>
      <c r="AO304" s="139">
        <f>AO302/AO303</f>
        <v>49.232804232804234</v>
      </c>
      <c r="AP304" s="139">
        <f>AP302/AP303</f>
        <v>45.678194196757822</v>
      </c>
      <c r="AQ304" s="237"/>
    </row>
    <row r="305" spans="2:43" s="229" customFormat="1" outlineLevel="1" x14ac:dyDescent="0.25">
      <c r="B305" s="289" t="s">
        <v>306</v>
      </c>
      <c r="C305" s="290"/>
      <c r="D305" s="166">
        <f>+D260/D264</f>
        <v>1.1093682511536975E-2</v>
      </c>
      <c r="E305" s="166">
        <f>+E260/E264</f>
        <v>1.089695415764113E-2</v>
      </c>
      <c r="F305" s="166">
        <f>+F260/F264</f>
        <v>1.0340632603406326E-2</v>
      </c>
      <c r="G305" s="166">
        <f>+G260/G264</f>
        <v>1.054915138882981E-2</v>
      </c>
      <c r="H305" s="237"/>
      <c r="I305" s="166">
        <f>+I260/I264</f>
        <v>1.063984538974668E-2</v>
      </c>
      <c r="J305" s="166">
        <f>+J260/J264</f>
        <v>1.0568706815487142E-2</v>
      </c>
      <c r="K305" s="166">
        <f>+K260/K264</f>
        <v>1.0592538993407299E-2</v>
      </c>
      <c r="L305" s="166">
        <f>+L260/L264</f>
        <v>1.0152885868921107E-2</v>
      </c>
      <c r="M305" s="237"/>
      <c r="N305" s="166">
        <f>+N260/N264</f>
        <v>1.0011641443538999E-2</v>
      </c>
      <c r="O305" s="166">
        <f>+O260/O264</f>
        <v>1.0011269722013523E-2</v>
      </c>
      <c r="P305" s="166">
        <f>+P260/P264</f>
        <v>9.6180370377181527E-3</v>
      </c>
      <c r="Q305" s="166">
        <f>+Q260/Q264</f>
        <v>9.5245006440376635E-3</v>
      </c>
      <c r="R305" s="237"/>
      <c r="S305" s="166">
        <f>+S260/S264</f>
        <v>9.2852323971167848E-3</v>
      </c>
      <c r="T305" s="166">
        <f>+T260/T264</f>
        <v>9.0781029895132259E-3</v>
      </c>
      <c r="U305" s="166">
        <f>+U260/U264</f>
        <v>9.3872498452651117E-3</v>
      </c>
      <c r="V305" s="177">
        <f>AVERAGE(U305,T305,S305,Q305)</f>
        <v>9.318771468983196E-3</v>
      </c>
      <c r="W305" s="237"/>
      <c r="X305" s="177">
        <f>AVERAGE(V305,U305,T305,S305)</f>
        <v>9.2673391752195796E-3</v>
      </c>
      <c r="Y305" s="177">
        <f>AVERAGE(X305,V305,U305,T305)</f>
        <v>9.2628658697452779E-3</v>
      </c>
      <c r="Z305" s="177">
        <f>AVERAGE(Y305,X305,V305,U305)</f>
        <v>9.3090565898032926E-3</v>
      </c>
      <c r="AA305" s="177">
        <f>AVERAGE(Z305,Y305,X305,V305)</f>
        <v>9.289508275937837E-3</v>
      </c>
      <c r="AB305" s="237"/>
      <c r="AC305" s="177">
        <f>AVERAGE(AA305,Z305,Y305,X305)</f>
        <v>9.2821924776764972E-3</v>
      </c>
      <c r="AD305" s="177">
        <f>AVERAGE(AC305,AA305,Z305,Y305)</f>
        <v>9.2859058032907262E-3</v>
      </c>
      <c r="AE305" s="177">
        <f>AVERAGE(AD305,AC305,AA305,Z305)</f>
        <v>9.2916657866770891E-3</v>
      </c>
      <c r="AF305" s="177">
        <f>AVERAGE(AE305,AD305,AC305,AA305)</f>
        <v>9.2873180858955365E-3</v>
      </c>
      <c r="AG305" s="237"/>
      <c r="AH305" s="177">
        <f>AVERAGE(AF305,AE305,AD305,AC305)</f>
        <v>9.2867705383849614E-3</v>
      </c>
      <c r="AI305" s="177">
        <f>AVERAGE(AH305,AF305,AE305,AD305)</f>
        <v>9.2879150535620791E-3</v>
      </c>
      <c r="AJ305" s="177">
        <f>AVERAGE(AI305,AH305,AF305,AE305)</f>
        <v>9.2884173661299165E-3</v>
      </c>
      <c r="AK305" s="177">
        <f>AVERAGE(AJ305,AI305,AH305,AF305)</f>
        <v>9.2876052609931238E-3</v>
      </c>
      <c r="AL305" s="237"/>
      <c r="AM305" s="177">
        <f>AVERAGE(AK305,AJ305,AI305,AH305)</f>
        <v>9.2876770547675198E-3</v>
      </c>
      <c r="AN305" s="177">
        <f>AVERAGE(AM305,AK305,AJ305,AI305)</f>
        <v>9.2879036838631607E-3</v>
      </c>
      <c r="AO305" s="177">
        <f>AVERAGE(AN305,AM305,AK305,AJ305)</f>
        <v>9.2879008414384293E-3</v>
      </c>
      <c r="AP305" s="177">
        <f>AVERAGE(AO305,AN305,AM305,AK305)</f>
        <v>9.2877717102655584E-3</v>
      </c>
      <c r="AQ305" s="237"/>
    </row>
    <row r="306" spans="2:43" s="229" customFormat="1" outlineLevel="1" x14ac:dyDescent="0.25">
      <c r="B306" s="388" t="s">
        <v>501</v>
      </c>
      <c r="C306" s="162"/>
      <c r="D306" s="315"/>
      <c r="E306" s="315">
        <f>+((E273+D273)/2)/E15</f>
        <v>0.31345733041575491</v>
      </c>
      <c r="F306" s="315">
        <f>+((F273+E273)/2)/F15</f>
        <v>0.31419779286926997</v>
      </c>
      <c r="G306" s="315">
        <f>+((G273+F273)/2)/G15</f>
        <v>0.35850439882697949</v>
      </c>
      <c r="H306" s="389"/>
      <c r="I306" s="315">
        <f>+((I273+G273)/2)/I15</f>
        <v>0.33656561852758426</v>
      </c>
      <c r="J306" s="315">
        <f>+((J273+I273)/2)/J15</f>
        <v>0.31458994956099384</v>
      </c>
      <c r="K306" s="315">
        <f>+((K273+J273)/2)/K15</f>
        <v>0.32020389249304915</v>
      </c>
      <c r="L306" s="315">
        <f>+((L273+K273)/2)/L15</f>
        <v>0.32865219770198795</v>
      </c>
      <c r="M306" s="389"/>
      <c r="N306" s="315">
        <f>+((N273+L273)/2)/N15</f>
        <v>0.32348677056904673</v>
      </c>
      <c r="O306" s="315">
        <f>+((O273+N273)/2)/O15</f>
        <v>0.31069313827934519</v>
      </c>
      <c r="P306" s="315">
        <f>+((P273+O273)/2)/P15</f>
        <v>0.3224377194449089</v>
      </c>
      <c r="Q306" s="315">
        <f>+((Q273+P273)/2)/Q15</f>
        <v>0.3454575930271539</v>
      </c>
      <c r="R306" s="390"/>
      <c r="S306" s="315">
        <f>+((S273+Q273)/2)/S15</f>
        <v>0.30854632587859426</v>
      </c>
      <c r="T306" s="315">
        <f>+((T273+S273)/2)/T15</f>
        <v>0.28242811501597442</v>
      </c>
      <c r="U306" s="315">
        <f>+((U273+T273)/2)/U15</f>
        <v>0.28909210743120778</v>
      </c>
      <c r="V306" s="491">
        <f t="shared" ref="V306" si="175">+Q306</f>
        <v>0.3454575930271539</v>
      </c>
      <c r="W306" s="389"/>
      <c r="X306" s="491">
        <f>+S306</f>
        <v>0.30854632587859426</v>
      </c>
      <c r="Y306" s="491">
        <f>+T306</f>
        <v>0.28242811501597442</v>
      </c>
      <c r="Z306" s="491">
        <f t="shared" ref="Z306" si="176">+U306</f>
        <v>0.28909210743120778</v>
      </c>
      <c r="AA306" s="491">
        <f t="shared" ref="AA306" si="177">+V306</f>
        <v>0.3454575930271539</v>
      </c>
      <c r="AB306" s="389"/>
      <c r="AC306" s="491">
        <f>+X306</f>
        <v>0.30854632587859426</v>
      </c>
      <c r="AD306" s="491">
        <f>+Y306</f>
        <v>0.28242811501597442</v>
      </c>
      <c r="AE306" s="491">
        <f t="shared" ref="AE306" si="178">+Z306</f>
        <v>0.28909210743120778</v>
      </c>
      <c r="AF306" s="491">
        <f t="shared" ref="AF306" si="179">+AA306</f>
        <v>0.3454575930271539</v>
      </c>
      <c r="AG306" s="389"/>
      <c r="AH306" s="491">
        <f>+AC306</f>
        <v>0.30854632587859426</v>
      </c>
      <c r="AI306" s="491">
        <f>+AD306</f>
        <v>0.28242811501597442</v>
      </c>
      <c r="AJ306" s="491">
        <f t="shared" ref="AJ306" si="180">+AE306</f>
        <v>0.28909210743120778</v>
      </c>
      <c r="AK306" s="491">
        <f t="shared" ref="AK306" si="181">+AF306</f>
        <v>0.3454575930271539</v>
      </c>
      <c r="AL306" s="389"/>
      <c r="AM306" s="491">
        <f>+AH306</f>
        <v>0.30854632587859426</v>
      </c>
      <c r="AN306" s="491">
        <f>+AI306</f>
        <v>0.28242811501597442</v>
      </c>
      <c r="AO306" s="491">
        <f t="shared" ref="AO306" si="182">+AJ306</f>
        <v>0.28909210743120778</v>
      </c>
      <c r="AP306" s="491">
        <f t="shared" ref="AP306" si="183">+AK306</f>
        <v>0.3454575930271539</v>
      </c>
      <c r="AQ306" s="389"/>
    </row>
    <row r="307" spans="2:43" s="229" customFormat="1" outlineLevel="1" x14ac:dyDescent="0.25">
      <c r="B307" s="717" t="s">
        <v>86</v>
      </c>
      <c r="C307" s="718"/>
      <c r="D307" s="391"/>
      <c r="E307" s="391"/>
      <c r="F307" s="391"/>
      <c r="G307" s="392"/>
      <c r="H307" s="393"/>
      <c r="I307" s="392">
        <f>I23/(AVERAGE(I274,2944))</f>
        <v>0.75340811044003453</v>
      </c>
      <c r="J307" s="392">
        <f>J23/(AVERAGE(J274,I274))</f>
        <v>0.79689922480620157</v>
      </c>
      <c r="K307" s="392">
        <f>K23/(AVERAGE(K274,J274))</f>
        <v>0.80303833245009715</v>
      </c>
      <c r="L307" s="392">
        <f>L23/(AVERAGE(L274,K274))</f>
        <v>0.89906576296024909</v>
      </c>
      <c r="M307" s="394"/>
      <c r="N307" s="392">
        <f>N23/(AVERAGE(N274,L274))</f>
        <v>0.84920913884007032</v>
      </c>
      <c r="O307" s="392">
        <f>O23/(AVERAGE(O274,N274))</f>
        <v>0.83549712407559573</v>
      </c>
      <c r="P307" s="392">
        <f>P23/(AVERAGE(P274,O274))</f>
        <v>0.81645063210113622</v>
      </c>
      <c r="Q307" s="392">
        <f>Q23/(AVERAGE(Q274,P274))</f>
        <v>0.83273204329288286</v>
      </c>
      <c r="R307" s="394"/>
      <c r="S307" s="392">
        <f>S23/(AVERAGE(S274,Q274))</f>
        <v>0.7924777301220719</v>
      </c>
      <c r="T307" s="392">
        <f>T23/(AVERAGE(T274,S274))</f>
        <v>0.79894834519022584</v>
      </c>
      <c r="U307" s="392">
        <f>U23/(AVERAGE(U274,T274))</f>
        <v>0.75869432580841978</v>
      </c>
      <c r="V307" s="246">
        <f>+Q307</f>
        <v>0.83273204329288286</v>
      </c>
      <c r="W307" s="394"/>
      <c r="X307" s="246">
        <f>+S307</f>
        <v>0.7924777301220719</v>
      </c>
      <c r="Y307" s="246">
        <f>+T307</f>
        <v>0.79894834519022584</v>
      </c>
      <c r="Z307" s="246">
        <f>+U307</f>
        <v>0.75869432580841978</v>
      </c>
      <c r="AA307" s="246">
        <f>+V307</f>
        <v>0.83273204329288286</v>
      </c>
      <c r="AB307" s="394"/>
      <c r="AC307" s="246">
        <f>+X307</f>
        <v>0.7924777301220719</v>
      </c>
      <c r="AD307" s="246">
        <f>+Y307</f>
        <v>0.79894834519022584</v>
      </c>
      <c r="AE307" s="246">
        <f>+Z307</f>
        <v>0.75869432580841978</v>
      </c>
      <c r="AF307" s="246">
        <f>+AA307</f>
        <v>0.83273204329288286</v>
      </c>
      <c r="AG307" s="394"/>
      <c r="AH307" s="246">
        <f>+AC307</f>
        <v>0.7924777301220719</v>
      </c>
      <c r="AI307" s="246">
        <f>+AD307</f>
        <v>0.79894834519022584</v>
      </c>
      <c r="AJ307" s="246">
        <f>+AE307</f>
        <v>0.75869432580841978</v>
      </c>
      <c r="AK307" s="246">
        <f>+AF307</f>
        <v>0.83273204329288286</v>
      </c>
      <c r="AL307" s="394"/>
      <c r="AM307" s="246">
        <f>+AH307</f>
        <v>0.7924777301220719</v>
      </c>
      <c r="AN307" s="246">
        <f>+AI307</f>
        <v>0.79894834519022584</v>
      </c>
      <c r="AO307" s="246">
        <f>+AJ307</f>
        <v>0.75869432580841978</v>
      </c>
      <c r="AP307" s="246">
        <f>+AK307</f>
        <v>0.83273204329288286</v>
      </c>
      <c r="AQ307" s="393"/>
    </row>
    <row r="308" spans="2:43" s="111" customFormat="1" outlineLevel="1" x14ac:dyDescent="0.25">
      <c r="B308" s="717" t="s">
        <v>26</v>
      </c>
      <c r="C308" s="718"/>
      <c r="D308" s="374"/>
      <c r="E308" s="374"/>
      <c r="F308" s="374"/>
      <c r="G308" s="374"/>
      <c r="H308" s="395"/>
      <c r="I308" s="374">
        <f>I302/I307</f>
        <v>122.11177278973889</v>
      </c>
      <c r="J308" s="374">
        <f>J302/J307</f>
        <v>114.19260700389106</v>
      </c>
      <c r="K308" s="374">
        <f>K302/K307</f>
        <v>112.07435107787066</v>
      </c>
      <c r="L308" s="374">
        <f>L302/L307</f>
        <v>102.32844335778321</v>
      </c>
      <c r="M308" s="395"/>
      <c r="N308" s="374">
        <f>N302/N307</f>
        <v>108.33609271523179</v>
      </c>
      <c r="O308" s="374">
        <f>O302/O307</f>
        <v>108.91719118804092</v>
      </c>
      <c r="P308" s="374">
        <f>P302/P307</f>
        <v>110.23324186593493</v>
      </c>
      <c r="Q308" s="374">
        <f>Q302/Q307</f>
        <v>110.4797164237889</v>
      </c>
      <c r="R308" s="395"/>
      <c r="S308" s="374">
        <f>S302/S307</f>
        <v>116.09159034138219</v>
      </c>
      <c r="T308" s="374">
        <f>T302/T307</f>
        <v>113.89972899728997</v>
      </c>
      <c r="U308" s="374">
        <f>U302/U307</f>
        <v>118.62484921592279</v>
      </c>
      <c r="V308" s="374">
        <f>V302/V307</f>
        <v>110.4797164237889</v>
      </c>
      <c r="W308" s="395"/>
      <c r="X308" s="374">
        <f>X302/X307</f>
        <v>116.09159034138219</v>
      </c>
      <c r="Y308" s="374">
        <f>Y302/Y307</f>
        <v>113.89972899728997</v>
      </c>
      <c r="Z308" s="374">
        <f>Z302/Z307</f>
        <v>119.94290309609971</v>
      </c>
      <c r="AA308" s="374">
        <f>AA302/AA307</f>
        <v>110.4797164237889</v>
      </c>
      <c r="AB308" s="395"/>
      <c r="AC308" s="374">
        <f>AC302/AC307</f>
        <v>116.09159034138219</v>
      </c>
      <c r="AD308" s="374">
        <f>AD302/AD307</f>
        <v>113.89972899728997</v>
      </c>
      <c r="AE308" s="374">
        <f>AE302/AE307</f>
        <v>118.62484921592279</v>
      </c>
      <c r="AF308" s="374">
        <f>AF302/AF307</f>
        <v>110.4797164237889</v>
      </c>
      <c r="AG308" s="395"/>
      <c r="AH308" s="374">
        <f>AH302/AH307</f>
        <v>116.09159034138219</v>
      </c>
      <c r="AI308" s="374">
        <f>AI302/AI307</f>
        <v>113.89972899728997</v>
      </c>
      <c r="AJ308" s="374">
        <f>AJ302/AJ307</f>
        <v>118.62484921592279</v>
      </c>
      <c r="AK308" s="374">
        <f>AK302/AK307</f>
        <v>110.4797164237889</v>
      </c>
      <c r="AL308" s="395"/>
      <c r="AM308" s="374">
        <f>AM302/AM307</f>
        <v>116.09159034138219</v>
      </c>
      <c r="AN308" s="374">
        <f>AN302/AN307</f>
        <v>113.89972899728997</v>
      </c>
      <c r="AO308" s="374">
        <f>AO302/AO307</f>
        <v>118.62484921592279</v>
      </c>
      <c r="AP308" s="374">
        <f>AP302/AP307</f>
        <v>110.4797164237889</v>
      </c>
      <c r="AQ308" s="395"/>
    </row>
    <row r="309" spans="2:43" s="111" customFormat="1" outlineLevel="1" x14ac:dyDescent="0.25">
      <c r="B309" s="178" t="s">
        <v>311</v>
      </c>
      <c r="C309" s="128"/>
      <c r="D309" s="365">
        <f>+((D275+2436)/2)/D13</f>
        <v>0.19798029155468685</v>
      </c>
      <c r="E309" s="365">
        <f>+((E275+D275)/2)/E13</f>
        <v>0.18967317112342408</v>
      </c>
      <c r="F309" s="365">
        <f>+((F275+E275)/2)/F13</f>
        <v>0.18772720088509562</v>
      </c>
      <c r="G309" s="365">
        <f>+((G275+F275)/2)/G13</f>
        <v>0.21249711071731259</v>
      </c>
      <c r="H309" s="395"/>
      <c r="I309" s="365">
        <f>+((I275+G275)/2)/I13</f>
        <v>0.20582418331855692</v>
      </c>
      <c r="J309" s="365">
        <f>+((J275+I275)/2)/J13</f>
        <v>0.20152702431183445</v>
      </c>
      <c r="K309" s="365">
        <f>+((K275+J275)/2)/K13</f>
        <v>0.20180702807228112</v>
      </c>
      <c r="L309" s="365">
        <f>+((L275+K275)/2)/L13</f>
        <v>0.1983087487283825</v>
      </c>
      <c r="M309" s="395"/>
      <c r="N309" s="365">
        <f>+((N275+L275)/2)/N13</f>
        <v>0.2094201477413872</v>
      </c>
      <c r="O309" s="365">
        <f>+((O275+N275)/2)/O13</f>
        <v>0.18647704284926134</v>
      </c>
      <c r="P309" s="365">
        <f>+((P275+O275)/2)/P13</f>
        <v>0.17548106014764614</v>
      </c>
      <c r="Q309" s="365">
        <f>+((Q275+P275)/2)/Q13</f>
        <v>0.17254697331676186</v>
      </c>
      <c r="R309" s="396"/>
      <c r="S309" s="365">
        <f>+((S275+Q275)/2)/S13</f>
        <v>0.18276448510438659</v>
      </c>
      <c r="T309" s="365">
        <f>+((T275+S275)/2)/T13</f>
        <v>0.18247868043087973</v>
      </c>
      <c r="U309" s="365">
        <f>+((U275+T275)/2)/U13</f>
        <v>0.1939153439153439</v>
      </c>
      <c r="V309" s="244">
        <f t="shared" ref="V309:V310" si="184">+Q309</f>
        <v>0.17254697331676186</v>
      </c>
      <c r="W309" s="395"/>
      <c r="X309" s="244">
        <f>+S309</f>
        <v>0.18276448510438659</v>
      </c>
      <c r="Y309" s="244">
        <f t="shared" ref="Y309:Y310" si="185">+T309</f>
        <v>0.18247868043087973</v>
      </c>
      <c r="Z309" s="244">
        <f t="shared" ref="Z309:Z310" si="186">+U309</f>
        <v>0.1939153439153439</v>
      </c>
      <c r="AA309" s="244">
        <f t="shared" ref="AA309:AA310" si="187">+V309</f>
        <v>0.17254697331676186</v>
      </c>
      <c r="AB309" s="395"/>
      <c r="AC309" s="244">
        <f>+X309</f>
        <v>0.18276448510438659</v>
      </c>
      <c r="AD309" s="244">
        <f t="shared" ref="AD309:AD310" si="188">+Y309</f>
        <v>0.18247868043087973</v>
      </c>
      <c r="AE309" s="244">
        <f t="shared" ref="AE309:AE310" si="189">+Z309</f>
        <v>0.1939153439153439</v>
      </c>
      <c r="AF309" s="244">
        <f t="shared" ref="AF309:AF310" si="190">+AA309</f>
        <v>0.17254697331676186</v>
      </c>
      <c r="AG309" s="395"/>
      <c r="AH309" s="244">
        <f>+AC309</f>
        <v>0.18276448510438659</v>
      </c>
      <c r="AI309" s="244">
        <f t="shared" ref="AI309:AI310" si="191">+AD309</f>
        <v>0.18247868043087973</v>
      </c>
      <c r="AJ309" s="244">
        <f t="shared" ref="AJ309:AJ310" si="192">+AE309</f>
        <v>0.1939153439153439</v>
      </c>
      <c r="AK309" s="244">
        <f t="shared" ref="AK309:AK310" si="193">+AF309</f>
        <v>0.17254697331676186</v>
      </c>
      <c r="AL309" s="395"/>
      <c r="AM309" s="244">
        <f>+AH309</f>
        <v>0.18276448510438659</v>
      </c>
      <c r="AN309" s="244">
        <f t="shared" ref="AN309:AN310" si="194">+AI309</f>
        <v>0.18247868043087973</v>
      </c>
      <c r="AO309" s="244">
        <f t="shared" ref="AO309:AO310" si="195">+AJ309</f>
        <v>0.1939153439153439</v>
      </c>
      <c r="AP309" s="244">
        <f t="shared" ref="AP309:AP310" si="196">+AK309</f>
        <v>0.17254697331676186</v>
      </c>
      <c r="AQ309" s="395"/>
    </row>
    <row r="310" spans="2:43" s="229" customFormat="1" outlineLevel="1" x14ac:dyDescent="0.25">
      <c r="B310" s="178" t="s">
        <v>324</v>
      </c>
      <c r="C310" s="128"/>
      <c r="D310" s="365">
        <f>((D280+1120)/2)/D13</f>
        <v>9.3900154735727659E-2</v>
      </c>
      <c r="E310" s="365">
        <f>((E280+D280)/2)/E13</f>
        <v>9.8410021681522519E-2</v>
      </c>
      <c r="F310" s="365">
        <f>((F280+E280)/2)/F13</f>
        <v>0.10064011379800854</v>
      </c>
      <c r="G310" s="365">
        <f>((G280+F280)/2)/G13</f>
        <v>0.10000770475383311</v>
      </c>
      <c r="H310" s="395"/>
      <c r="I310" s="365">
        <f>((I280+G280)/2)/I13</f>
        <v>9.0431698833799354E-2</v>
      </c>
      <c r="J310" s="365">
        <f>((J280+I280)/2)/J13</f>
        <v>8.9980577322349473E-2</v>
      </c>
      <c r="K310" s="365">
        <f>((K280+J280)/2)/K13</f>
        <v>9.0851503634060152E-2</v>
      </c>
      <c r="L310" s="365">
        <f>((L280+K280)/2)/L13</f>
        <v>9.1238555442522892E-2</v>
      </c>
      <c r="M310" s="395"/>
      <c r="N310" s="365">
        <f>((N280+L280)/2)/N13</f>
        <v>0.10122899915016016</v>
      </c>
      <c r="O310" s="365">
        <f>((O280+N280)/2)/O13</f>
        <v>9.9736406546925768E-2</v>
      </c>
      <c r="P310" s="365">
        <f>((P280+O280)/2)/P13</f>
        <v>0.1018395255960305</v>
      </c>
      <c r="Q310" s="365">
        <f>((Q280+P280)/2)/Q13</f>
        <v>0.10104466270047695</v>
      </c>
      <c r="R310" s="396"/>
      <c r="S310" s="365">
        <f>((S280+Q280)/2)/S13</f>
        <v>0.10535421064977715</v>
      </c>
      <c r="T310" s="365">
        <f>((T280+S280)/2)/T13</f>
        <v>0.1024741921005386</v>
      </c>
      <c r="U310" s="365">
        <f>((U280+T280)/2)/U13</f>
        <v>0.10890652557319223</v>
      </c>
      <c r="V310" s="244">
        <f t="shared" si="184"/>
        <v>0.10104466270047695</v>
      </c>
      <c r="W310" s="395"/>
      <c r="X310" s="244">
        <f>+S310</f>
        <v>0.10535421064977715</v>
      </c>
      <c r="Y310" s="244">
        <f t="shared" si="185"/>
        <v>0.1024741921005386</v>
      </c>
      <c r="Z310" s="244">
        <f t="shared" si="186"/>
        <v>0.10890652557319223</v>
      </c>
      <c r="AA310" s="244">
        <f t="shared" si="187"/>
        <v>0.10104466270047695</v>
      </c>
      <c r="AB310" s="395"/>
      <c r="AC310" s="244">
        <f>+X310</f>
        <v>0.10535421064977715</v>
      </c>
      <c r="AD310" s="244">
        <f t="shared" si="188"/>
        <v>0.1024741921005386</v>
      </c>
      <c r="AE310" s="244">
        <f t="shared" si="189"/>
        <v>0.10890652557319223</v>
      </c>
      <c r="AF310" s="244">
        <f t="shared" si="190"/>
        <v>0.10104466270047695</v>
      </c>
      <c r="AG310" s="395"/>
      <c r="AH310" s="244">
        <f>+AC310</f>
        <v>0.10535421064977715</v>
      </c>
      <c r="AI310" s="244">
        <f t="shared" si="191"/>
        <v>0.1024741921005386</v>
      </c>
      <c r="AJ310" s="244">
        <f t="shared" si="192"/>
        <v>0.10890652557319223</v>
      </c>
      <c r="AK310" s="244">
        <f t="shared" si="193"/>
        <v>0.10104466270047695</v>
      </c>
      <c r="AL310" s="395"/>
      <c r="AM310" s="244">
        <f>+AH310</f>
        <v>0.10535421064977715</v>
      </c>
      <c r="AN310" s="244">
        <f t="shared" si="194"/>
        <v>0.1024741921005386</v>
      </c>
      <c r="AO310" s="244">
        <f t="shared" si="195"/>
        <v>0.10890652557319223</v>
      </c>
      <c r="AP310" s="244">
        <f t="shared" si="196"/>
        <v>0.10104466270047695</v>
      </c>
      <c r="AQ310" s="395"/>
    </row>
    <row r="311" spans="2:43" outlineLevel="1" x14ac:dyDescent="0.25">
      <c r="B311" s="717" t="s">
        <v>305</v>
      </c>
      <c r="C311" s="718"/>
      <c r="D311" s="146"/>
      <c r="E311" s="146">
        <f>+E321/((E264+D264)/2)</f>
        <v>1.4636169044390402E-2</v>
      </c>
      <c r="F311" s="146">
        <f>+F321/((F264+E264)/2)</f>
        <v>1.4527685868922146E-2</v>
      </c>
      <c r="G311" s="146">
        <f>+G321/((G264+F264)/2)</f>
        <v>1.4336378291241268E-2</v>
      </c>
      <c r="H311" s="179"/>
      <c r="I311" s="146">
        <f>+I321/((I264+H264)/2)</f>
        <v>1.5535164338494204E-2</v>
      </c>
      <c r="J311" s="146">
        <f>+J321/((J264+I264)/2)</f>
        <v>1.5251599872216325E-2</v>
      </c>
      <c r="K311" s="146">
        <f>+K321/((K264+J264)/2)</f>
        <v>1.5445424141076315E-2</v>
      </c>
      <c r="L311" s="146">
        <f>+L321/((L264+K264)/2)</f>
        <v>1.5023212257666023E-2</v>
      </c>
      <c r="M311" s="179"/>
      <c r="N311" s="146">
        <f>+N321/((N264+M264)/2)</f>
        <v>1.470156412113619E-2</v>
      </c>
      <c r="O311" s="146">
        <f>+O321/((O264+N264)/2)</f>
        <v>1.4430234777629319E-2</v>
      </c>
      <c r="P311" s="146">
        <f>+P321/((P264+O264)/2)</f>
        <v>1.4607357573617551E-2</v>
      </c>
      <c r="Q311" s="146">
        <f>+Q321/((Q264+P264)/2)</f>
        <v>1.4648669382089171E-2</v>
      </c>
      <c r="R311" s="179"/>
      <c r="S311" s="146">
        <f>+S321/((S264+R264)/2)</f>
        <v>1.4500165998187479E-2</v>
      </c>
      <c r="T311" s="146">
        <f>+T321/((T264+S264)/2)</f>
        <v>1.4548393614871691E-2</v>
      </c>
      <c r="U311" s="146">
        <f>+U321/((U264+T264)/2)</f>
        <v>1.47149094367354E-2</v>
      </c>
      <c r="V311" s="244">
        <f>+U311</f>
        <v>1.47149094367354E-2</v>
      </c>
      <c r="W311" s="396"/>
      <c r="X311" s="244">
        <f>+V311</f>
        <v>1.47149094367354E-2</v>
      </c>
      <c r="Y311" s="244">
        <f>+X311</f>
        <v>1.47149094367354E-2</v>
      </c>
      <c r="Z311" s="244">
        <f t="shared" ref="Z311:AA311" si="197">+Y311</f>
        <v>1.47149094367354E-2</v>
      </c>
      <c r="AA311" s="244">
        <f t="shared" si="197"/>
        <v>1.47149094367354E-2</v>
      </c>
      <c r="AB311" s="396"/>
      <c r="AC311" s="244">
        <f>+AA311</f>
        <v>1.47149094367354E-2</v>
      </c>
      <c r="AD311" s="244">
        <f>+AC311</f>
        <v>1.47149094367354E-2</v>
      </c>
      <c r="AE311" s="244">
        <f t="shared" ref="AE311:AF311" si="198">+AD311</f>
        <v>1.47149094367354E-2</v>
      </c>
      <c r="AF311" s="244">
        <f t="shared" si="198"/>
        <v>1.47149094367354E-2</v>
      </c>
      <c r="AG311" s="396"/>
      <c r="AH311" s="244">
        <f>+AF311</f>
        <v>1.47149094367354E-2</v>
      </c>
      <c r="AI311" s="244">
        <f>+AH311</f>
        <v>1.47149094367354E-2</v>
      </c>
      <c r="AJ311" s="244">
        <f t="shared" ref="AJ311:AK311" si="199">+AI311</f>
        <v>1.47149094367354E-2</v>
      </c>
      <c r="AK311" s="244">
        <f t="shared" si="199"/>
        <v>1.47149094367354E-2</v>
      </c>
      <c r="AL311" s="396"/>
      <c r="AM311" s="244">
        <f>+AK311</f>
        <v>1.47149094367354E-2</v>
      </c>
      <c r="AN311" s="244">
        <f>+AM311</f>
        <v>1.47149094367354E-2</v>
      </c>
      <c r="AO311" s="244">
        <f t="shared" ref="AO311:AP311" si="200">+AN311</f>
        <v>1.47149094367354E-2</v>
      </c>
      <c r="AP311" s="244">
        <f t="shared" si="200"/>
        <v>1.47149094367354E-2</v>
      </c>
      <c r="AQ311" s="179"/>
    </row>
    <row r="312" spans="2:43" s="111" customFormat="1" outlineLevel="1" x14ac:dyDescent="0.25">
      <c r="B312" s="721" t="s">
        <v>82</v>
      </c>
      <c r="C312" s="722"/>
      <c r="D312" s="384">
        <f>(D277+D272+D271)/(D297)</f>
        <v>0.47490675914414709</v>
      </c>
      <c r="E312" s="385">
        <f>(E277+E272+E271)/(E297)</f>
        <v>0.56671114076050699</v>
      </c>
      <c r="F312" s="385">
        <f>(F277+F272+F271)/(F297)</f>
        <v>0.59244782578348576</v>
      </c>
      <c r="G312" s="385">
        <f>(G277+G272+G271)/(G297)</f>
        <v>0.99840394660475917</v>
      </c>
      <c r="H312" s="386"/>
      <c r="I312" s="384">
        <f>(I277+I272+I271)/(I297)</f>
        <v>0.97454391175222743</v>
      </c>
      <c r="J312" s="385">
        <f>(J277+J272+J271)/(J297)</f>
        <v>0.93565480696442094</v>
      </c>
      <c r="K312" s="385">
        <f>(K277+K272+K271)/(K297)</f>
        <v>0.97194415173867232</v>
      </c>
      <c r="L312" s="385">
        <f>(L277+L272+L271)/(L297)</f>
        <v>0.92894916941454608</v>
      </c>
      <c r="M312" s="386"/>
      <c r="N312" s="384">
        <f>(N277+N272+N271)/(N297)</f>
        <v>0.91202310747382354</v>
      </c>
      <c r="O312" s="385">
        <f>(O277+O272+O271)/(O297)</f>
        <v>0.90536499560246264</v>
      </c>
      <c r="P312" s="385">
        <f>(P277+P272+P271)/(P297)</f>
        <v>0.93045411241664022</v>
      </c>
      <c r="Q312" s="385">
        <f>(Q277+Q272+Q271)/(Q297)</f>
        <v>0.85419241862381545</v>
      </c>
      <c r="R312" s="386"/>
      <c r="S312" s="384">
        <f>(S277+S272+S271)/(S297)</f>
        <v>0.88374276326083556</v>
      </c>
      <c r="T312" s="385">
        <f>(T277+T272+T271)/(T297)</f>
        <v>0.89618534259355243</v>
      </c>
      <c r="U312" s="385">
        <f>(U277+U272+U271)/(U297)</f>
        <v>0.92570624308836835</v>
      </c>
      <c r="V312" s="387">
        <f>+U312</f>
        <v>0.92570624308836835</v>
      </c>
      <c r="W312" s="386"/>
      <c r="X312" s="387">
        <f>+V312</f>
        <v>0.92570624308836835</v>
      </c>
      <c r="Y312" s="387">
        <f>+X312</f>
        <v>0.92570624308836835</v>
      </c>
      <c r="Z312" s="387">
        <f>+Y312</f>
        <v>0.92570624308836835</v>
      </c>
      <c r="AA312" s="387">
        <f>+Z312</f>
        <v>0.92570624308836835</v>
      </c>
      <c r="AB312" s="386"/>
      <c r="AC312" s="387">
        <f>+AA312</f>
        <v>0.92570624308836835</v>
      </c>
      <c r="AD312" s="387">
        <f>+AC312</f>
        <v>0.92570624308836835</v>
      </c>
      <c r="AE312" s="387">
        <f>+AD312</f>
        <v>0.92570624308836835</v>
      </c>
      <c r="AF312" s="387">
        <f>+AE312</f>
        <v>0.92570624308836835</v>
      </c>
      <c r="AG312" s="386"/>
      <c r="AH312" s="387">
        <f>+AF312-0.5%</f>
        <v>0.92070624308836835</v>
      </c>
      <c r="AI312" s="387">
        <f>+AH312-0.5%</f>
        <v>0.91570624308836834</v>
      </c>
      <c r="AJ312" s="387">
        <f>+AI312-0.5%</f>
        <v>0.91070624308836834</v>
      </c>
      <c r="AK312" s="387">
        <f>+AJ312-0.5%</f>
        <v>0.90570624308836833</v>
      </c>
      <c r="AL312" s="386"/>
      <c r="AM312" s="387">
        <f>+AK312-0.5%</f>
        <v>0.90070624308836833</v>
      </c>
      <c r="AN312" s="387">
        <f>+AM312-0.5%</f>
        <v>0.89570624308836833</v>
      </c>
      <c r="AO312" s="387">
        <f>+AN312-0.5%</f>
        <v>0.89070624308836832</v>
      </c>
      <c r="AP312" s="387">
        <f>+AO312-0.5%</f>
        <v>0.88570624308836832</v>
      </c>
      <c r="AQ312" s="386"/>
    </row>
    <row r="313" spans="2:43" outlineLevel="1" x14ac:dyDescent="0.25">
      <c r="B313" s="289" t="s">
        <v>309</v>
      </c>
      <c r="C313" s="407"/>
      <c r="D313" s="193">
        <f>D271/(D271+D272+D277)</f>
        <v>0</v>
      </c>
      <c r="E313" s="233">
        <f>E271/(E271+E272+E277)</f>
        <v>0</v>
      </c>
      <c r="F313" s="233">
        <f>F271/(F271+F272+F277)</f>
        <v>0</v>
      </c>
      <c r="G313" s="233">
        <f>G271/(G271+G272+G277)</f>
        <v>0</v>
      </c>
      <c r="H313" s="61"/>
      <c r="I313" s="193">
        <f>I271/(I271+I272+I277)</f>
        <v>0</v>
      </c>
      <c r="J313" s="233">
        <f>J271/(J271+J272+J277)</f>
        <v>0</v>
      </c>
      <c r="K313" s="233">
        <f>K271/(K271+K272+K277)</f>
        <v>0</v>
      </c>
      <c r="L313" s="233">
        <f>L271/(L271+L272+L277)</f>
        <v>0</v>
      </c>
      <c r="M313" s="61"/>
      <c r="N313" s="193">
        <f>N271/(N271+N272+N277)</f>
        <v>0</v>
      </c>
      <c r="O313" s="233">
        <f>O271/(O271+O272+O277)</f>
        <v>1.6190661226604494E-2</v>
      </c>
      <c r="P313" s="233">
        <f>P271/(P271+P272+P277)</f>
        <v>4.5449374288964735E-2</v>
      </c>
      <c r="Q313" s="233">
        <f>Q271/(Q271+Q272+Q277)</f>
        <v>0</v>
      </c>
      <c r="R313" s="208"/>
      <c r="S313" s="193">
        <f>S271/(S271+S272+S277)</f>
        <v>1.7646364494806423E-2</v>
      </c>
      <c r="T313" s="233">
        <f>T271/(T271+T272+T277)</f>
        <v>1.4458388757156902E-2</v>
      </c>
      <c r="U313" s="233">
        <f>U271/(U271+U272+U277)</f>
        <v>1.221763683753258E-2</v>
      </c>
      <c r="V313" s="244">
        <f t="shared" ref="V313:V314" si="201">U313</f>
        <v>1.221763683753258E-2</v>
      </c>
      <c r="W313" s="61"/>
      <c r="X313" s="243">
        <f>AVERAGE(V313,U313,T313,S313)</f>
        <v>1.413500673175712E-2</v>
      </c>
      <c r="Y313" s="243">
        <f>AVERAGE(X313,V313,U313,T313)</f>
        <v>1.3257167290994796E-2</v>
      </c>
      <c r="Z313" s="243">
        <f>AVERAGE(Y313,X313,V313,U313)</f>
        <v>1.295686192445427E-2</v>
      </c>
      <c r="AA313" s="243">
        <f>AVERAGE(Z313,Y313,X313,V313)</f>
        <v>1.3141668196184692E-2</v>
      </c>
      <c r="AB313" s="61"/>
      <c r="AC313" s="243">
        <f>AVERAGE(AA313,Z313,Y313,X313)</f>
        <v>1.3372676035847719E-2</v>
      </c>
      <c r="AD313" s="243">
        <f>AVERAGE(AC313,AA313,Z313,Y313)</f>
        <v>1.3182093361870369E-2</v>
      </c>
      <c r="AE313" s="243">
        <f>AVERAGE(AD313,AC313,AA313,Z313)</f>
        <v>1.3163324879589261E-2</v>
      </c>
      <c r="AF313" s="243">
        <f>AVERAGE(AE313,AD313,AC313,AA313)</f>
        <v>1.321494061837301E-2</v>
      </c>
      <c r="AG313" s="61"/>
      <c r="AH313" s="243">
        <f>AVERAGE(AF313,AE313,AD313,AC313)</f>
        <v>1.323325872392009E-2</v>
      </c>
      <c r="AI313" s="243">
        <f>AVERAGE(AH313,AF313,AE313,AD313)</f>
        <v>1.3198404395938182E-2</v>
      </c>
      <c r="AJ313" s="243">
        <f>AVERAGE(AI313,AH313,AF313,AE313)</f>
        <v>1.3202482154455136E-2</v>
      </c>
      <c r="AK313" s="243">
        <f>AVERAGE(AJ313,AI313,AH313,AF313)</f>
        <v>1.3212271473171604E-2</v>
      </c>
      <c r="AL313" s="61"/>
      <c r="AM313" s="243">
        <f>AVERAGE(AK313,AJ313,AI313,AH313)</f>
        <v>1.3211604186871253E-2</v>
      </c>
      <c r="AN313" s="243">
        <f>AVERAGE(AM313,AK313,AJ313,AI313)</f>
        <v>1.3206190552609043E-2</v>
      </c>
      <c r="AO313" s="243">
        <f>AVERAGE(AN313,AM313,AK313,AJ313)</f>
        <v>1.320813709177676E-2</v>
      </c>
      <c r="AP313" s="243">
        <f>AVERAGE(AO313,AN313,AM313,AK313)</f>
        <v>1.3209550826107164E-2</v>
      </c>
      <c r="AQ313" s="61"/>
    </row>
    <row r="314" spans="2:43" outlineLevel="1" x14ac:dyDescent="0.25">
      <c r="B314" s="289" t="s">
        <v>310</v>
      </c>
      <c r="C314" s="407"/>
      <c r="D314" s="193">
        <f>D272/(D271+D272+D277)</f>
        <v>1.9289060347203086E-3</v>
      </c>
      <c r="E314" s="233">
        <f>E272/(E271+E272+E277)</f>
        <v>1.64802825191289E-3</v>
      </c>
      <c r="F314" s="233">
        <f>F272/(F271+F272+F277)</f>
        <v>1.2959472196041471E-3</v>
      </c>
      <c r="G314" s="233">
        <f>G272/(G271+G272+G277)</f>
        <v>2.1072518529283535E-3</v>
      </c>
      <c r="H314" s="61"/>
      <c r="I314" s="193">
        <f>I272/(I271+I272+I277)</f>
        <v>3.4102452474241763E-3</v>
      </c>
      <c r="J314" s="233">
        <f>J272/(J271+J272+J277)</f>
        <v>3.162694910267726E-3</v>
      </c>
      <c r="K314" s="233">
        <f>K272/(K271+K272+K277)</f>
        <v>3.0491936576771922E-3</v>
      </c>
      <c r="L314" s="233">
        <f>L272/(L271+L272+L277)</f>
        <v>1.4734445114191949E-3</v>
      </c>
      <c r="M314" s="61"/>
      <c r="N314" s="193">
        <f>N272/(N271+N272+N277)</f>
        <v>1.253628925837952E-3</v>
      </c>
      <c r="O314" s="233">
        <f>O272/(O271+O272+O277)</f>
        <v>7.1238909397059781E-4</v>
      </c>
      <c r="P314" s="233">
        <f>P272/(P271+P272+P277)</f>
        <v>4.3458475540386801E-2</v>
      </c>
      <c r="Q314" s="233">
        <f>Q272/(Q271+Q272+Q277)</f>
        <v>8.091649080494423E-2</v>
      </c>
      <c r="R314" s="208"/>
      <c r="S314" s="193">
        <f>S272/(S271+S272+S277)</f>
        <v>8.2861189801699722E-2</v>
      </c>
      <c r="T314" s="233">
        <f>T272/(T271+T272+T277)</f>
        <v>3.7129142328378925E-2</v>
      </c>
      <c r="U314" s="233">
        <f>U272/(U271+U272+U277)</f>
        <v>5.2834491746307562E-2</v>
      </c>
      <c r="V314" s="244">
        <f t="shared" si="201"/>
        <v>5.2834491746307562E-2</v>
      </c>
      <c r="W314" s="61"/>
      <c r="X314" s="243">
        <f>AVERAGE(V314,U314,T314,S314)</f>
        <v>5.6414828905673439E-2</v>
      </c>
      <c r="Y314" s="243">
        <f>AVERAGE(X314,V314,U314,T314)</f>
        <v>4.9803238681666875E-2</v>
      </c>
      <c r="Z314" s="243">
        <f>AVERAGE(Y314,X314,V314,U314)</f>
        <v>5.2971762769988856E-2</v>
      </c>
      <c r="AA314" s="243">
        <f>AVERAGE(Z314,Y314,X314,V314)</f>
        <v>5.3006080525909181E-2</v>
      </c>
      <c r="AB314" s="61"/>
      <c r="AC314" s="243">
        <f>AVERAGE(AA314,Z314,Y314,X314)</f>
        <v>5.304897772080959E-2</v>
      </c>
      <c r="AD314" s="243">
        <f>AVERAGE(AC314,AA314,Z314,Y314)</f>
        <v>5.220751492459362E-2</v>
      </c>
      <c r="AE314" s="243">
        <f>AVERAGE(AD314,AC314,AA314,Z314)</f>
        <v>5.2808583985325314E-2</v>
      </c>
      <c r="AF314" s="243">
        <f>AVERAGE(AE314,AD314,AC314,AA314)</f>
        <v>5.2767789289159428E-2</v>
      </c>
      <c r="AG314" s="61"/>
      <c r="AH314" s="243">
        <f>AVERAGE(AF314,AE314,AD314,AC314)</f>
        <v>5.2708216479971981E-2</v>
      </c>
      <c r="AI314" s="243">
        <f>AVERAGE(AH314,AF314,AE314,AD314)</f>
        <v>5.2623026169762582E-2</v>
      </c>
      <c r="AJ314" s="243">
        <f>AVERAGE(AI314,AH314,AF314,AE314)</f>
        <v>5.2726903981054826E-2</v>
      </c>
      <c r="AK314" s="243">
        <f>AVERAGE(AJ314,AI314,AH314,AF314)</f>
        <v>5.2706483979987201E-2</v>
      </c>
      <c r="AL314" s="61"/>
      <c r="AM314" s="243">
        <f>AVERAGE(AK314,AJ314,AI314,AH314)</f>
        <v>5.2691157652694151E-2</v>
      </c>
      <c r="AN314" s="243">
        <f>AVERAGE(AM314,AK314,AJ314,AI314)</f>
        <v>5.268689294587469E-2</v>
      </c>
      <c r="AO314" s="243">
        <f>AVERAGE(AN314,AM314,AK314,AJ314)</f>
        <v>5.2702859639902719E-2</v>
      </c>
      <c r="AP314" s="243">
        <f>AVERAGE(AO314,AN314,AM314,AK314)</f>
        <v>5.2696848554614685E-2</v>
      </c>
      <c r="AQ314" s="61"/>
    </row>
    <row r="315" spans="2:43" outlineLevel="1" x14ac:dyDescent="0.25">
      <c r="B315" s="711" t="s">
        <v>308</v>
      </c>
      <c r="C315" s="712"/>
      <c r="D315" s="44"/>
      <c r="E315" s="272"/>
      <c r="F315" s="44"/>
      <c r="G315" s="44"/>
      <c r="H315" s="63"/>
      <c r="I315" s="44"/>
      <c r="J315" s="44"/>
      <c r="K315" s="44"/>
      <c r="L315" s="44"/>
      <c r="M315" s="63"/>
      <c r="N315" s="273" t="str">
        <f>(ROUND(((((N271+N272+N277)+(L271+L272+L277)+(K271+K272+K277)+(J271+J272+J277))/4)/(N36+L36+K36+J36+N211+L211+K211+J211)),0))&amp;"x"</f>
        <v>2x</v>
      </c>
      <c r="O315" s="273" t="str">
        <f>(ROUND(((((O271+O272+O277)+(N271+N272+N277)+(L271+L272+L277)+(K271+K272+K277))/4)/(O36+N36+L36+K36+O211+N211+L211+K211)),0))&amp;"x"</f>
        <v>2x</v>
      </c>
      <c r="P315" s="273" t="str">
        <f>(ROUND(((((P271+P272+P277)+(O271+O272+O277)+(N271+N272+N277)+(L271+L272+L277))/4)/(P36+O36+N36+L36+P211+O211+N211+L211)),0))&amp;"x"</f>
        <v>2x</v>
      </c>
      <c r="Q315" s="273" t="str">
        <f>(ROUND(((((Q271+Q272+Q277)+(P271+P272+P277)+(O271+O272+O277)+(N271+N272+N277))/4)/(Q36+P36+O36+N36+Q211+P211+O211+N211)),0))&amp;"x"</f>
        <v>2x</v>
      </c>
      <c r="R315" s="306" t="str">
        <f>(ROUND(((((Q271+Q272+Q277)+(P271+P272+P277)+(O271+O272+O277)+(N271+N272+N277))/4)/(R36+R211)),0))&amp;"x"</f>
        <v>2x</v>
      </c>
      <c r="S315" s="273" t="str">
        <f>(ROUND(((((S271+S272+S277)+(Q271+Q272+Q277)+(P271+P272+P277)+(O271+O272+O277))/4)/(S36+Q36+P36+O36+S211+Q211+P211+O211)),0))&amp;"x"</f>
        <v>2x</v>
      </c>
      <c r="T315" s="273" t="str">
        <f>(ROUND(((((T271+T272+T277)+(S271+S272+S277)+(Q271+Q272+Q277)+(P271+P272+P277))/4)/(T36+S36+Q36+P36+T211+S211+Q211+P211)),0))&amp;"x"</f>
        <v>2x</v>
      </c>
      <c r="U315" s="273" t="str">
        <f>(ROUND(((((U271+U272+U277)+(T271+T272+T277)+(S271+S272+S277)+(Q271+Q272+Q277))/4)/(U36+T36+S36+Q36+U211+T211+S211+Q211)),0))&amp;"x"</f>
        <v>2x</v>
      </c>
      <c r="V315" s="273" t="str">
        <f>(ROUND(((((V271+V272+V277)+(U271+U272+U277)+(T271+T272+T277)+(S271+S272+S277))/4)/(V36+U36+T36+S36+V211+U211+T211+S211)),0))&amp;"x"</f>
        <v>2x</v>
      </c>
      <c r="W315" s="306" t="str">
        <f>(ROUND(((((V271+V272+V277)+(U271+U272+U277)+(T271+T272+T277)+(S271+S272+S277))/4)/(W36+W211)),0))&amp;"x"</f>
        <v>2x</v>
      </c>
      <c r="X315" s="273" t="str">
        <f>(ROUND(((((X271+X272+X277)+(V271+V272+V277)+(U271+U272+U277)+(T271+T272+T277))/4)/(X36+V36+U36+T36+X211+V211+U211+T211)),0))&amp;"x"</f>
        <v>2x</v>
      </c>
      <c r="Y315" s="273" t="str">
        <f>(ROUND(((((Y271+Y272+Y277)+(X271+X272+X277)+(V271+V272+V277)+(U271+U272+U277))/4)/(Y36+X36+V36+U36+Y211+X211+V211+U211)),0))&amp;"x"</f>
        <v>2x</v>
      </c>
      <c r="Z315" s="273" t="str">
        <f>(ROUND(((((Z271+Z272+Z277)+(Y271+Y272+Y277)+(X271+X272+X277)+(V271+V272+V277))/4)/(Z36+Y36+X36+V36+Z211+Y211+X211+V211)),0))&amp;"x"</f>
        <v>2x</v>
      </c>
      <c r="AA315" s="273" t="str">
        <f>(ROUND(((((AA271+AA272+AA277)+(Z271+Z272+Z277)+(Y271+Y272+Y277)+(X271+X272+X277))/4)/(AA36+Z36+Y36+X36+AA211+Z211+Y211+X211)),0))&amp;"x"</f>
        <v>2x</v>
      </c>
      <c r="AB315" s="306" t="str">
        <f>(ROUND(((((AA271+AA272+AA277)+(Z271+Z272+Z277)+(Y271+Y272+Y277)+(X271+X272+X277))/4)/(AB36+AB211)),0))&amp;"x"</f>
        <v>2x</v>
      </c>
      <c r="AC315" s="273" t="str">
        <f>(ROUND(((((AC271+AC272+AC277)+(AA271+AA272+AA277)+(Z271+Z272+Z277)+(Y271+Y272+Y277))/4)/(AC36+AA36+Z36+Y36+AC211+AA211+Z211+Y211)),0))&amp;"x"</f>
        <v>2x</v>
      </c>
      <c r="AD315" s="273" t="str">
        <f>(ROUND(((((AD271+AD272+AD277)+(AC271+AC272+AC277)+(AA271+AA272+AA277)+(Z271+Z272+Z277))/4)/(AD36+AC36+AA36+Z36+AD211+AC211+AA211+Z211)),0))&amp;"x"</f>
        <v>2x</v>
      </c>
      <c r="AE315" s="273" t="str">
        <f>(ROUND(((((AE271+AE272+AE277)+(AD271+AD272+AD277)+(AC271+AC272+AC277)+(AA271+AA272+AA277))/4)/(AE36+AD36+AC36+AA36+AE211+AD211+AC211+AA211)),0))&amp;"x"</f>
        <v>2x</v>
      </c>
      <c r="AF315" s="273" t="str">
        <f>(ROUND(((((AF271+AF272+AF277)+(AE271+AE272+AE277)+(AD271+AD272+AD277)+(AC271+AC272+AC277))/4)/(AF36+AE36+AD36+AC36+AF211+AE211+AD211+AC211)),0))&amp;"x"</f>
        <v>2x</v>
      </c>
      <c r="AG315" s="306" t="str">
        <f>(ROUND(((((AF271+AF272+AF277)+(AE271+AE272+AE277)+(AD271+AD272+AD277)+(AC271+AC272+AC277))/4)/(AG36+AG211)),0))&amp;"x"</f>
        <v>2x</v>
      </c>
      <c r="AH315" s="273" t="str">
        <f>(ROUND(((((AH271+AH272+AH277)+(AF271+AF272+AF277)+(AE271+AE272+AE277)+(AD271+AD272+AD277))/4)/(AH36+AF36+AE36+AD36+AH211+AF211+AE211+AD211)),0))&amp;"x"</f>
        <v>2x</v>
      </c>
      <c r="AI315" s="273" t="str">
        <f>(ROUND(((((AI271+AI272+AI277)+(AH271+AH272+AH277)+(AF271+AF272+AF277)+(AE271+AE272+AE277))/4)/(AI36+AH36+AF36+AE36+AI211+AH211+AF211+AE211)),0))&amp;"x"</f>
        <v>3x</v>
      </c>
      <c r="AJ315" s="273" t="str">
        <f>(ROUND(((((AJ271+AJ272+AJ277)+(AI271+AI272+AI277)+(AH271+AH272+AH277)+(AF271+AF272+AF277))/4)/(AJ36+AI36+AH36+AF36+AJ211+AI211+AH211+AF211)),0))&amp;"x"</f>
        <v>3x</v>
      </c>
      <c r="AK315" s="273" t="str">
        <f>(ROUND(((((AK271+AK272+AK277)+(AJ271+AJ272+AJ277)+(AI271+AI272+AI277)+(AH271+AH272+AH277))/4)/(AK36+AJ36+AI36+AH36+AK211+AJ211+AI211+AH211)),0))&amp;"x"</f>
        <v>3x</v>
      </c>
      <c r="AL315" s="306" t="str">
        <f>(ROUND(((((AK271+AK272+AK277)+(AJ271+AJ272+AJ277)+(AI271+AI272+AI277)+(AH271+AH272+AH277))/4)/(AL36+AL211)),0))&amp;"x"</f>
        <v>3x</v>
      </c>
      <c r="AM315" s="273" t="str">
        <f>(ROUND(((((AM271+AM272+AM277)+(AK271+AK272+AK277)+(AJ271+AJ272+AJ277)+(AI271+AI272+AI277))/4)/(AM36+AK36+AJ36+AI36+AM211+AK211+AJ211+AI211)),0))&amp;"x"</f>
        <v>3x</v>
      </c>
      <c r="AN315" s="273" t="str">
        <f>(ROUND(((((AN271+AN272+AN277)+(AM271+AM272+AM277)+(AK271+AK272+AK277)+(AJ271+AJ272+AJ277))/4)/(AN36+AM36+AK36+AJ36+AN211+AM211+AK211+AJ211)),0))&amp;"x"</f>
        <v>3x</v>
      </c>
      <c r="AO315" s="273" t="str">
        <f>(ROUND(((((AO271+AO272+AO277)+(AN271+AN272+AN277)+(AM271+AM272+AM277)+(AK271+AK272+AK277))/4)/(AO36+AN36+AM36+AK36+AO211+AN211+AM211+AK211)),0))&amp;"x"</f>
        <v>3x</v>
      </c>
      <c r="AP315" s="273" t="str">
        <f>(ROUND(((((AP271+AP272+AP277)+(AO271+AO272+AO277)+(AN271+AN272+AN277)+(AM271+AM272+AM277))/4)/(AP36+AO36+AN36+AM36+AP211+AO211+AN211+AM211)),0))&amp;"x"</f>
        <v>3x</v>
      </c>
      <c r="AQ315" s="306" t="str">
        <f>(ROUND(((((AP271+AP272+AP277)+(AO271+AO272+AO277)+(AN271+AN272+AN277)+(AM271+AM272+AM277))/4)/(AQ36+AQ211)),0))&amp;"x"</f>
        <v>3x</v>
      </c>
    </row>
    <row r="316" spans="2:43" x14ac:dyDescent="0.25">
      <c r="B316" s="52"/>
      <c r="C316" s="52"/>
      <c r="D316" s="64"/>
      <c r="H316" s="79"/>
      <c r="M316" s="37"/>
      <c r="N316" s="37"/>
      <c r="O316" s="80"/>
      <c r="S316" s="64"/>
    </row>
    <row r="317" spans="2:43" ht="15.75" x14ac:dyDescent="0.25">
      <c r="B317" s="713" t="s">
        <v>112</v>
      </c>
      <c r="C317" s="714"/>
      <c r="D317" s="90" t="s">
        <v>120</v>
      </c>
      <c r="E317" s="90" t="s">
        <v>121</v>
      </c>
      <c r="F317" s="90" t="s">
        <v>122</v>
      </c>
      <c r="G317" s="90" t="s">
        <v>123</v>
      </c>
      <c r="H317" s="400" t="s">
        <v>123</v>
      </c>
      <c r="I317" s="90" t="s">
        <v>124</v>
      </c>
      <c r="J317" s="90" t="s">
        <v>125</v>
      </c>
      <c r="K317" s="90" t="s">
        <v>126</v>
      </c>
      <c r="L317" s="90" t="s">
        <v>127</v>
      </c>
      <c r="M317" s="400" t="s">
        <v>127</v>
      </c>
      <c r="N317" s="90" t="s">
        <v>128</v>
      </c>
      <c r="O317" s="90" t="s">
        <v>129</v>
      </c>
      <c r="P317" s="90" t="s">
        <v>130</v>
      </c>
      <c r="Q317" s="90" t="s">
        <v>131</v>
      </c>
      <c r="R317" s="400" t="s">
        <v>131</v>
      </c>
      <c r="S317" s="90" t="s">
        <v>132</v>
      </c>
      <c r="T317" s="90" t="s">
        <v>133</v>
      </c>
      <c r="U317" s="90" t="s">
        <v>134</v>
      </c>
      <c r="V317" s="92" t="s">
        <v>135</v>
      </c>
      <c r="W317" s="404" t="s">
        <v>135</v>
      </c>
      <c r="X317" s="92" t="s">
        <v>136</v>
      </c>
      <c r="Y317" s="92" t="s">
        <v>137</v>
      </c>
      <c r="Z317" s="92" t="s">
        <v>138</v>
      </c>
      <c r="AA317" s="92" t="s">
        <v>139</v>
      </c>
      <c r="AB317" s="404" t="s">
        <v>139</v>
      </c>
      <c r="AC317" s="92" t="s">
        <v>140</v>
      </c>
      <c r="AD317" s="92" t="s">
        <v>141</v>
      </c>
      <c r="AE317" s="92" t="s">
        <v>142</v>
      </c>
      <c r="AF317" s="92" t="s">
        <v>143</v>
      </c>
      <c r="AG317" s="404" t="s">
        <v>143</v>
      </c>
      <c r="AH317" s="92" t="s">
        <v>144</v>
      </c>
      <c r="AI317" s="92" t="s">
        <v>145</v>
      </c>
      <c r="AJ317" s="92" t="s">
        <v>146</v>
      </c>
      <c r="AK317" s="92" t="s">
        <v>147</v>
      </c>
      <c r="AL317" s="404" t="s">
        <v>147</v>
      </c>
      <c r="AM317" s="92" t="s">
        <v>148</v>
      </c>
      <c r="AN317" s="92" t="s">
        <v>149</v>
      </c>
      <c r="AO317" s="92" t="s">
        <v>150</v>
      </c>
      <c r="AP317" s="92" t="s">
        <v>151</v>
      </c>
      <c r="AQ317" s="404" t="s">
        <v>151</v>
      </c>
    </row>
    <row r="318" spans="2:43" ht="17.25" x14ac:dyDescent="0.4">
      <c r="B318" s="291" t="s">
        <v>3</v>
      </c>
      <c r="C318" s="406"/>
      <c r="D318" s="91" t="s">
        <v>71</v>
      </c>
      <c r="E318" s="91" t="s">
        <v>74</v>
      </c>
      <c r="F318" s="91" t="s">
        <v>75</v>
      </c>
      <c r="G318" s="91" t="s">
        <v>78</v>
      </c>
      <c r="H318" s="401" t="s">
        <v>79</v>
      </c>
      <c r="I318" s="91" t="s">
        <v>80</v>
      </c>
      <c r="J318" s="91" t="s">
        <v>91</v>
      </c>
      <c r="K318" s="91" t="s">
        <v>109</v>
      </c>
      <c r="L318" s="91" t="s">
        <v>113</v>
      </c>
      <c r="M318" s="401" t="s">
        <v>114</v>
      </c>
      <c r="N318" s="91" t="s">
        <v>115</v>
      </c>
      <c r="O318" s="91" t="s">
        <v>116</v>
      </c>
      <c r="P318" s="91" t="s">
        <v>117</v>
      </c>
      <c r="Q318" s="91" t="s">
        <v>118</v>
      </c>
      <c r="R318" s="401" t="s">
        <v>119</v>
      </c>
      <c r="S318" s="91" t="s">
        <v>507</v>
      </c>
      <c r="T318" s="91" t="s">
        <v>749</v>
      </c>
      <c r="U318" s="91" t="s">
        <v>769</v>
      </c>
      <c r="V318" s="89" t="s">
        <v>378</v>
      </c>
      <c r="W318" s="405" t="s">
        <v>379</v>
      </c>
      <c r="X318" s="89" t="s">
        <v>380</v>
      </c>
      <c r="Y318" s="89" t="s">
        <v>381</v>
      </c>
      <c r="Z318" s="89" t="s">
        <v>382</v>
      </c>
      <c r="AA318" s="89" t="s">
        <v>383</v>
      </c>
      <c r="AB318" s="405" t="s">
        <v>384</v>
      </c>
      <c r="AC318" s="89" t="s">
        <v>385</v>
      </c>
      <c r="AD318" s="89" t="s">
        <v>386</v>
      </c>
      <c r="AE318" s="89" t="s">
        <v>387</v>
      </c>
      <c r="AF318" s="89" t="s">
        <v>388</v>
      </c>
      <c r="AG318" s="405" t="s">
        <v>389</v>
      </c>
      <c r="AH318" s="89" t="s">
        <v>390</v>
      </c>
      <c r="AI318" s="89" t="s">
        <v>391</v>
      </c>
      <c r="AJ318" s="89" t="s">
        <v>392</v>
      </c>
      <c r="AK318" s="89" t="s">
        <v>393</v>
      </c>
      <c r="AL318" s="405" t="s">
        <v>394</v>
      </c>
      <c r="AM318" s="89" t="s">
        <v>395</v>
      </c>
      <c r="AN318" s="89" t="s">
        <v>396</v>
      </c>
      <c r="AO318" s="89" t="s">
        <v>397</v>
      </c>
      <c r="AP318" s="89" t="s">
        <v>398</v>
      </c>
      <c r="AQ318" s="405" t="s">
        <v>399</v>
      </c>
    </row>
    <row r="319" spans="2:43" outlineLevel="1" x14ac:dyDescent="0.25">
      <c r="B319" s="729" t="s">
        <v>13</v>
      </c>
      <c r="C319" s="730"/>
      <c r="D319" s="72"/>
      <c r="E319" s="72"/>
      <c r="F319" s="72"/>
      <c r="G319" s="72"/>
      <c r="H319" s="43"/>
      <c r="I319" s="72"/>
      <c r="J319" s="93"/>
      <c r="K319" s="72"/>
      <c r="L319" s="72"/>
      <c r="M319" s="43"/>
      <c r="N319" s="72"/>
      <c r="O319" s="72"/>
      <c r="P319" s="72"/>
      <c r="Q319" s="72"/>
      <c r="R319" s="43"/>
      <c r="S319" s="72"/>
      <c r="T319" s="72"/>
      <c r="U319" s="72"/>
      <c r="V319" s="72"/>
      <c r="W319" s="43"/>
      <c r="X319" s="72"/>
      <c r="Y319" s="72"/>
      <c r="Z319" s="72"/>
      <c r="AA319" s="72"/>
      <c r="AB319" s="43"/>
      <c r="AC319" s="72"/>
      <c r="AD319" s="72"/>
      <c r="AE319" s="72"/>
      <c r="AF319" s="72"/>
      <c r="AG319" s="43"/>
      <c r="AH319" s="72"/>
      <c r="AI319" s="72"/>
      <c r="AJ319" s="72"/>
      <c r="AK319" s="72"/>
      <c r="AL319" s="43"/>
      <c r="AM319" s="72"/>
      <c r="AN319" s="72"/>
      <c r="AO319" s="72"/>
      <c r="AP319" s="72"/>
      <c r="AQ319" s="43"/>
    </row>
    <row r="320" spans="2:43" outlineLevel="1" x14ac:dyDescent="0.25">
      <c r="B320" s="709" t="s">
        <v>14</v>
      </c>
      <c r="C320" s="710"/>
      <c r="D320" s="93">
        <f t="shared" ref="D320:AQ320" si="202">D38</f>
        <v>692</v>
      </c>
      <c r="E320" s="93">
        <f t="shared" si="202"/>
        <v>691</v>
      </c>
      <c r="F320" s="93">
        <f t="shared" si="202"/>
        <v>507</v>
      </c>
      <c r="G320" s="93">
        <f t="shared" si="202"/>
        <v>-70</v>
      </c>
      <c r="H320" s="94">
        <f t="shared" si="202"/>
        <v>1820</v>
      </c>
      <c r="I320" s="93">
        <f t="shared" si="202"/>
        <v>715</v>
      </c>
      <c r="J320" s="93">
        <f t="shared" si="202"/>
        <v>700</v>
      </c>
      <c r="K320" s="93">
        <f t="shared" si="202"/>
        <v>562</v>
      </c>
      <c r="L320" s="93">
        <f t="shared" si="202"/>
        <v>1020</v>
      </c>
      <c r="M320" s="94">
        <f t="shared" si="202"/>
        <v>2997</v>
      </c>
      <c r="N320" s="93">
        <f t="shared" si="202"/>
        <v>596</v>
      </c>
      <c r="O320" s="93">
        <f t="shared" si="202"/>
        <v>775</v>
      </c>
      <c r="P320" s="93">
        <f t="shared" si="202"/>
        <v>2074</v>
      </c>
      <c r="Q320" s="93">
        <f t="shared" si="202"/>
        <v>1127.1257859999969</v>
      </c>
      <c r="R320" s="94">
        <f t="shared" si="202"/>
        <v>4572.1257859999969</v>
      </c>
      <c r="S320" s="93">
        <f t="shared" si="202"/>
        <v>835</v>
      </c>
      <c r="T320" s="93">
        <f t="shared" si="202"/>
        <v>935</v>
      </c>
      <c r="U320" s="93">
        <f t="shared" si="202"/>
        <v>739</v>
      </c>
      <c r="V320" s="93">
        <f t="shared" si="202"/>
        <v>1066.145512153043</v>
      </c>
      <c r="W320" s="94">
        <f t="shared" si="202"/>
        <v>3575.1455121530353</v>
      </c>
      <c r="X320" s="93">
        <f t="shared" si="202"/>
        <v>846.213593940583</v>
      </c>
      <c r="Y320" s="93">
        <f t="shared" si="202"/>
        <v>877.76300747901587</v>
      </c>
      <c r="Z320" s="93">
        <f t="shared" si="202"/>
        <v>656.21660504238457</v>
      </c>
      <c r="AA320" s="93">
        <f t="shared" si="202"/>
        <v>1172.2878016507261</v>
      </c>
      <c r="AB320" s="94">
        <f t="shared" si="202"/>
        <v>3552.4810081127057</v>
      </c>
      <c r="AC320" s="93">
        <f t="shared" si="202"/>
        <v>989.1642937775996</v>
      </c>
      <c r="AD320" s="93">
        <f t="shared" si="202"/>
        <v>979.13156654534225</v>
      </c>
      <c r="AE320" s="93">
        <f t="shared" si="202"/>
        <v>720.70973621746305</v>
      </c>
      <c r="AF320" s="93">
        <f t="shared" si="202"/>
        <v>1217.9431884645269</v>
      </c>
      <c r="AG320" s="94">
        <f t="shared" si="202"/>
        <v>3906.9487850049495</v>
      </c>
      <c r="AH320" s="93">
        <f t="shared" si="202"/>
        <v>893.56324002651854</v>
      </c>
      <c r="AI320" s="93">
        <f t="shared" si="202"/>
        <v>852.78552206508402</v>
      </c>
      <c r="AJ320" s="93">
        <f t="shared" si="202"/>
        <v>598.36890738866373</v>
      </c>
      <c r="AK320" s="93">
        <f t="shared" si="202"/>
        <v>1100.2012908192983</v>
      </c>
      <c r="AL320" s="94">
        <f t="shared" si="202"/>
        <v>3444.9189602995721</v>
      </c>
      <c r="AM320" s="93">
        <f t="shared" si="202"/>
        <v>814.79404077390654</v>
      </c>
      <c r="AN320" s="93">
        <f t="shared" si="202"/>
        <v>743.57472605869691</v>
      </c>
      <c r="AO320" s="93">
        <f t="shared" si="202"/>
        <v>494.2559867385724</v>
      </c>
      <c r="AP320" s="93">
        <f t="shared" si="202"/>
        <v>996.33807628961915</v>
      </c>
      <c r="AQ320" s="94">
        <f t="shared" si="202"/>
        <v>3048.9628298608059</v>
      </c>
    </row>
    <row r="321" spans="2:43" outlineLevel="1" x14ac:dyDescent="0.25">
      <c r="B321" s="709" t="s">
        <v>224</v>
      </c>
      <c r="C321" s="710"/>
      <c r="D321" s="100">
        <v>648</v>
      </c>
      <c r="E321" s="93">
        <f>1301-D321</f>
        <v>653</v>
      </c>
      <c r="F321" s="93">
        <f>1964-E321-D321</f>
        <v>663</v>
      </c>
      <c r="G321" s="93">
        <f>2631-F321-E321-D321</f>
        <v>667</v>
      </c>
      <c r="H321" s="94">
        <f t="shared" ref="H321:H327" si="203">SUM(D321:G321)</f>
        <v>2631</v>
      </c>
      <c r="I321" s="100">
        <v>739</v>
      </c>
      <c r="J321" s="93">
        <f>1479-I321</f>
        <v>740</v>
      </c>
      <c r="K321" s="93">
        <f>2241-J321-I321</f>
        <v>762</v>
      </c>
      <c r="L321" s="93">
        <f>2995-K321-J321-I321</f>
        <v>754</v>
      </c>
      <c r="M321" s="94">
        <f t="shared" ref="M321:M327" si="204">SUM(I321:L321)</f>
        <v>2995</v>
      </c>
      <c r="N321" s="100">
        <v>751</v>
      </c>
      <c r="O321" s="93">
        <f>1507-N321</f>
        <v>756</v>
      </c>
      <c r="P321" s="93">
        <f>2293-O321-N321</f>
        <v>786</v>
      </c>
      <c r="Q321" s="100">
        <f>3095-P321-O321-N321</f>
        <v>802</v>
      </c>
      <c r="R321" s="94">
        <f t="shared" ref="R321:R327" si="205">SUM(N321:Q321)</f>
        <v>3095</v>
      </c>
      <c r="S321" s="100">
        <v>808</v>
      </c>
      <c r="T321" s="100">
        <f>1636-S321</f>
        <v>828</v>
      </c>
      <c r="U321" s="100">
        <f>2487-T321-S321</f>
        <v>851</v>
      </c>
      <c r="V321" s="100">
        <f>(((T264+V264)/2)*V311)</f>
        <v>861.86090601574381</v>
      </c>
      <c r="W321" s="94">
        <f t="shared" ref="W321:W327" si="206">SUM(S321:V321)</f>
        <v>3348.8609060157437</v>
      </c>
      <c r="X321" s="100">
        <f>(((V264+X264)/2)*X311)</f>
        <v>887.18121954787705</v>
      </c>
      <c r="Y321" s="100">
        <f>(((X264+Y264)/2)*Y311)</f>
        <v>906.9569047625514</v>
      </c>
      <c r="Z321" s="100">
        <f>(((X264+Z264)/2)*Z311)</f>
        <v>916.59925920971807</v>
      </c>
      <c r="AA321" s="100">
        <f>(((Y264+AA264)/2)*AA311)</f>
        <v>937.31527898901686</v>
      </c>
      <c r="AB321" s="94">
        <f t="shared" ref="AB321:AB327" si="207">SUM(X321:AA321)</f>
        <v>3648.0526625091634</v>
      </c>
      <c r="AC321" s="100">
        <f>(((AA264+AC264)/2)*AC311)</f>
        <v>967.38683067203795</v>
      </c>
      <c r="AD321" s="100">
        <f>(((AC264+AD264)/2)*AD311)</f>
        <v>987.64826801555364</v>
      </c>
      <c r="AE321" s="100">
        <f>(((AC264+AE264)/2)*AE311)</f>
        <v>997.62570587196285</v>
      </c>
      <c r="AF321" s="100">
        <f>(((AD264+AF264)/2)*AF311)</f>
        <v>1018.5722304692054</v>
      </c>
      <c r="AG321" s="94">
        <f t="shared" ref="AG321:AG327" si="208">SUM(AC321:AF321)</f>
        <v>3971.2330350287598</v>
      </c>
      <c r="AH321" s="100">
        <f>(((AF264+AH264)/2)*AH311)</f>
        <v>1049.265729112406</v>
      </c>
      <c r="AI321" s="100">
        <f>(((AH264+AI264)/2)*AI311)</f>
        <v>1069.915661705232</v>
      </c>
      <c r="AJ321" s="100">
        <f>(((AH264+AJ264)/2)*AJ311)</f>
        <v>1080.0776609538059</v>
      </c>
      <c r="AK321" s="100">
        <f>(((AI264+AK264)/2)*AK311)</f>
        <v>1101.3399085676781</v>
      </c>
      <c r="AL321" s="94">
        <f t="shared" ref="AL321:AL327" si="209">SUM(AH321:AK321)</f>
        <v>4300.5989603391226</v>
      </c>
      <c r="AM321" s="100">
        <f>(((AK264+AM264)/2)*AM311)</f>
        <v>1132.5288064090068</v>
      </c>
      <c r="AN321" s="100">
        <f>(((AM264+AN264)/2)*AN311)</f>
        <v>1153.4851219808074</v>
      </c>
      <c r="AO321" s="100">
        <f>(((AM264+AO264)/2)*AO311)</f>
        <v>1163.7871822042441</v>
      </c>
      <c r="AP321" s="100">
        <f>(((AN264+AP264)/2)*AP311)</f>
        <v>1185.3137324893514</v>
      </c>
      <c r="AQ321" s="94">
        <f t="shared" ref="AQ321:AQ327" si="210">SUM(AM321:AP321)</f>
        <v>4635.1148430834101</v>
      </c>
    </row>
    <row r="322" spans="2:43" outlineLevel="1" x14ac:dyDescent="0.25">
      <c r="B322" s="289" t="s">
        <v>225</v>
      </c>
      <c r="C322" s="290"/>
      <c r="D322" s="100">
        <v>28</v>
      </c>
      <c r="E322" s="93">
        <f>57-D322</f>
        <v>29</v>
      </c>
      <c r="F322" s="93">
        <f>90-E322-D322</f>
        <v>33</v>
      </c>
      <c r="G322" s="93">
        <f>121-F322-E322-D322</f>
        <v>31</v>
      </c>
      <c r="H322" s="94">
        <f t="shared" si="203"/>
        <v>121</v>
      </c>
      <c r="I322" s="100">
        <v>39</v>
      </c>
      <c r="J322" s="93">
        <f>76-I322</f>
        <v>37</v>
      </c>
      <c r="K322" s="93">
        <f>115-J322-I322</f>
        <v>39</v>
      </c>
      <c r="L322" s="93">
        <f>136-K322-J322-I322</f>
        <v>21</v>
      </c>
      <c r="M322" s="94">
        <f t="shared" si="204"/>
        <v>136</v>
      </c>
      <c r="N322" s="100">
        <v>60</v>
      </c>
      <c r="O322" s="93">
        <f>116-N322</f>
        <v>56</v>
      </c>
      <c r="P322" s="93">
        <f>177-O322-N322</f>
        <v>61</v>
      </c>
      <c r="Q322" s="100">
        <f>246-P322-O322-N322</f>
        <v>69</v>
      </c>
      <c r="R322" s="94">
        <f t="shared" si="205"/>
        <v>246</v>
      </c>
      <c r="S322" s="100">
        <v>82</v>
      </c>
      <c r="T322" s="100">
        <f>160-S322</f>
        <v>78</v>
      </c>
      <c r="U322" s="100">
        <f>221-T322-S322</f>
        <v>61</v>
      </c>
      <c r="V322" s="100">
        <f>V365*(U259+U322)</f>
        <v>73.0996901892007</v>
      </c>
      <c r="W322" s="94">
        <f t="shared" si="206"/>
        <v>294.09969018920071</v>
      </c>
      <c r="X322" s="100">
        <f>X365*(V259+V322)</f>
        <v>71.645874698625505</v>
      </c>
      <c r="Y322" s="100">
        <f>Y365*(X259+X322)</f>
        <v>68.298359005257382</v>
      </c>
      <c r="Z322" s="100">
        <f>Z365*(Y259+Y322)</f>
        <v>76.017856773745621</v>
      </c>
      <c r="AA322" s="100">
        <f>AA365*(Z259+Z322)</f>
        <v>73.547876440415394</v>
      </c>
      <c r="AB322" s="94">
        <f t="shared" si="207"/>
        <v>289.50996691804392</v>
      </c>
      <c r="AC322" s="100">
        <f>AC365*(AA259+AA322)</f>
        <v>72.265696141701412</v>
      </c>
      <c r="AD322" s="100">
        <f>AD365*(AC259+AC322)</f>
        <v>68.94852477106177</v>
      </c>
      <c r="AE322" s="100">
        <f>AE365*(AD259+AD322)</f>
        <v>79.832701040330534</v>
      </c>
      <c r="AF322" s="100">
        <f>AF365*(AE259+AE322)</f>
        <v>73.599121557554227</v>
      </c>
      <c r="AG322" s="94">
        <f t="shared" si="208"/>
        <v>294.64604351064793</v>
      </c>
      <c r="AH322" s="100">
        <f>AH365*(AF259+AF322)</f>
        <v>74.009097106168511</v>
      </c>
      <c r="AI322" s="100">
        <f>AI365*(AH259+AH322)</f>
        <v>69.792466359710701</v>
      </c>
      <c r="AJ322" s="100">
        <f>AJ365*(AI259+AI322)</f>
        <v>81.761289124746853</v>
      </c>
      <c r="AK322" s="100">
        <f>AK365*(AJ259+AJ322)</f>
        <v>74.335882319239772</v>
      </c>
      <c r="AL322" s="94">
        <f t="shared" si="209"/>
        <v>299.89873490986582</v>
      </c>
      <c r="AM322" s="100">
        <f>AM365*(AK259+AK322)</f>
        <v>75.384086880529665</v>
      </c>
      <c r="AN322" s="100">
        <f>AN365*(AM259+AM322)</f>
        <v>70.727594665106324</v>
      </c>
      <c r="AO322" s="100">
        <f>AO365*(AN259+AN322)</f>
        <v>82.866013082565658</v>
      </c>
      <c r="AP322" s="100">
        <f>AP365*(AO259+AO322)</f>
        <v>75.3589622638805</v>
      </c>
      <c r="AQ322" s="94">
        <f t="shared" si="210"/>
        <v>304.33665689208215</v>
      </c>
    </row>
    <row r="323" spans="2:43" outlineLevel="1" x14ac:dyDescent="0.25">
      <c r="B323" s="709" t="s">
        <v>226</v>
      </c>
      <c r="C323" s="710"/>
      <c r="D323" s="93">
        <v>53</v>
      </c>
      <c r="E323" s="93">
        <f>86-D323</f>
        <v>33</v>
      </c>
      <c r="F323" s="93">
        <f>115-E323-D323</f>
        <v>29</v>
      </c>
      <c r="G323" s="93">
        <f>144-F323-E323-D323</f>
        <v>29</v>
      </c>
      <c r="H323" s="94">
        <f t="shared" si="203"/>
        <v>144</v>
      </c>
      <c r="I323" s="93">
        <v>57</v>
      </c>
      <c r="J323" s="93">
        <f>93-I323</f>
        <v>36</v>
      </c>
      <c r="K323" s="93">
        <f>123-J323-I323</f>
        <v>30</v>
      </c>
      <c r="L323" s="93">
        <f>154-K323-J323-I323</f>
        <v>31</v>
      </c>
      <c r="M323" s="94">
        <f t="shared" si="204"/>
        <v>154</v>
      </c>
      <c r="N323" s="93">
        <v>62</v>
      </c>
      <c r="O323" s="93">
        <f>103-N323</f>
        <v>41</v>
      </c>
      <c r="P323" s="93">
        <f>135-O323-N323</f>
        <v>32</v>
      </c>
      <c r="Q323" s="93">
        <f>167-P323-O323-N323</f>
        <v>32</v>
      </c>
      <c r="R323" s="94">
        <f t="shared" si="205"/>
        <v>167</v>
      </c>
      <c r="S323" s="100">
        <v>68</v>
      </c>
      <c r="T323" s="100">
        <f>108-S323</f>
        <v>40</v>
      </c>
      <c r="U323" s="93">
        <f>141-T323-S323</f>
        <v>33</v>
      </c>
      <c r="V323" s="93">
        <f>V13*V366</f>
        <v>45.10615521571733</v>
      </c>
      <c r="W323" s="94">
        <f t="shared" si="206"/>
        <v>186.10615521571734</v>
      </c>
      <c r="X323" s="93">
        <f>X13*X366</f>
        <v>46.538148395150181</v>
      </c>
      <c r="Y323" s="93">
        <f>Y13*Y366</f>
        <v>42.608320612463309</v>
      </c>
      <c r="Z323" s="93">
        <f>Z13*Z366</f>
        <v>41.468836946235974</v>
      </c>
      <c r="AA323" s="93">
        <f>AA13*AA366</f>
        <v>45.943816651923548</v>
      </c>
      <c r="AB323" s="94">
        <f t="shared" si="207"/>
        <v>176.55912260577301</v>
      </c>
      <c r="AC323" s="93">
        <f>AC13*AC366</f>
        <v>43.834962627866751</v>
      </c>
      <c r="AD323" s="93">
        <f>AD13*AD366</f>
        <v>44.707096838448976</v>
      </c>
      <c r="AE323" s="93">
        <f>AE13*AE366</f>
        <v>43.427558980654645</v>
      </c>
      <c r="AF323" s="93">
        <f>AF13*AF366</f>
        <v>46.239846046595545</v>
      </c>
      <c r="AG323" s="94">
        <f t="shared" si="208"/>
        <v>178.20946449356592</v>
      </c>
      <c r="AH323" s="93">
        <f>AH13*AH366</f>
        <v>44.189305235485229</v>
      </c>
      <c r="AI323" s="93">
        <f>AI13*AI366</f>
        <v>45.791986183369943</v>
      </c>
      <c r="AJ323" s="93">
        <f>AJ13*AJ366</f>
        <v>44.288865505351801</v>
      </c>
      <c r="AK323" s="93">
        <f>AK13*AK366</f>
        <v>46.805120524722177</v>
      </c>
      <c r="AL323" s="94">
        <f t="shared" si="209"/>
        <v>181.07527744892914</v>
      </c>
      <c r="AM323" s="93">
        <f>AM13*AM366</f>
        <v>44.851512341606863</v>
      </c>
      <c r="AN323" s="93">
        <f>AN13*AN366</f>
        <v>46.464507061236858</v>
      </c>
      <c r="AO323" s="93">
        <f>AO13*AO366</f>
        <v>44.898728875227739</v>
      </c>
      <c r="AP323" s="93">
        <f>AP13*AP366</f>
        <v>47.335842121247111</v>
      </c>
      <c r="AQ323" s="94">
        <f t="shared" si="210"/>
        <v>183.55059039931857</v>
      </c>
    </row>
    <row r="324" spans="2:43" outlineLevel="1" x14ac:dyDescent="0.25">
      <c r="B324" s="709" t="s">
        <v>227</v>
      </c>
      <c r="C324" s="710"/>
      <c r="D324" s="93">
        <v>20</v>
      </c>
      <c r="E324" s="93">
        <f>-48-D324</f>
        <v>-68</v>
      </c>
      <c r="F324" s="93">
        <f>288-E324-D324</f>
        <v>336</v>
      </c>
      <c r="G324" s="93">
        <f>31-F324-E324-D324</f>
        <v>-257</v>
      </c>
      <c r="H324" s="94">
        <f t="shared" si="203"/>
        <v>31</v>
      </c>
      <c r="I324" s="93">
        <v>173</v>
      </c>
      <c r="J324" s="93">
        <f>320-I324</f>
        <v>147</v>
      </c>
      <c r="K324" s="93">
        <f>474-J324-I324</f>
        <v>154</v>
      </c>
      <c r="L324" s="93">
        <f>909-K324-J324-I324</f>
        <v>435</v>
      </c>
      <c r="M324" s="94">
        <f t="shared" si="204"/>
        <v>909</v>
      </c>
      <c r="N324" s="93">
        <v>97</v>
      </c>
      <c r="O324" s="93">
        <f>327-N324</f>
        <v>230</v>
      </c>
      <c r="P324" s="93">
        <f>-914-O324-N324</f>
        <v>-1241</v>
      </c>
      <c r="Q324" s="93">
        <f>-231-P324-O324-N324</f>
        <v>683</v>
      </c>
      <c r="R324" s="94">
        <f t="shared" si="205"/>
        <v>-231</v>
      </c>
      <c r="S324" s="100">
        <v>23</v>
      </c>
      <c r="T324" s="100">
        <f>236-S324</f>
        <v>213</v>
      </c>
      <c r="U324" s="93">
        <f>250-T324-S324</f>
        <v>14</v>
      </c>
      <c r="V324" s="93">
        <f>V278-U278</f>
        <v>122.01800000000003</v>
      </c>
      <c r="W324" s="94">
        <f t="shared" si="206"/>
        <v>372.01800000000003</v>
      </c>
      <c r="X324" s="93">
        <f>X278-V278</f>
        <v>126.65468400000009</v>
      </c>
      <c r="Y324" s="93">
        <f>Y278-X278</f>
        <v>131.4675619919999</v>
      </c>
      <c r="Z324" s="93">
        <f>Z278-Y278</f>
        <v>136.46332934769634</v>
      </c>
      <c r="AA324" s="93">
        <f>AA278-Z278</f>
        <v>141.64893586290873</v>
      </c>
      <c r="AB324" s="94">
        <f t="shared" si="207"/>
        <v>536.23451120260506</v>
      </c>
      <c r="AC324" s="93">
        <f>AC278-AA278</f>
        <v>147.03159542569892</v>
      </c>
      <c r="AD324" s="93">
        <f>AD278-AC278</f>
        <v>152.61879605187596</v>
      </c>
      <c r="AE324" s="93">
        <f>AE278-AD278</f>
        <v>158.41831030184676</v>
      </c>
      <c r="AF324" s="93">
        <f>AF278-AE278</f>
        <v>164.4382060933176</v>
      </c>
      <c r="AG324" s="94">
        <f t="shared" si="208"/>
        <v>622.50690787273925</v>
      </c>
      <c r="AH324" s="93">
        <f>AH278-AF278</f>
        <v>170.68685792486303</v>
      </c>
      <c r="AI324" s="93">
        <f>AI278-AH278</f>
        <v>177.17295852600819</v>
      </c>
      <c r="AJ324" s="93">
        <f>AJ278-AI278</f>
        <v>183.90553094999632</v>
      </c>
      <c r="AK324" s="93">
        <f>AK278-AJ278</f>
        <v>190.89394112609625</v>
      </c>
      <c r="AL324" s="94">
        <f t="shared" si="209"/>
        <v>722.65928852696379</v>
      </c>
      <c r="AM324" s="93">
        <f>AM278-AK278</f>
        <v>198.14791088888796</v>
      </c>
      <c r="AN324" s="93">
        <f>AN278-AM278</f>
        <v>205.67753150266526</v>
      </c>
      <c r="AO324" s="93">
        <f>AO278-AN278</f>
        <v>213.49327769976662</v>
      </c>
      <c r="AP324" s="93">
        <f>AP278-AO278</f>
        <v>221.60602225235834</v>
      </c>
      <c r="AQ324" s="94">
        <f t="shared" si="210"/>
        <v>838.92474234367819</v>
      </c>
    </row>
    <row r="325" spans="2:43" outlineLevel="1" x14ac:dyDescent="0.25">
      <c r="B325" s="289" t="s">
        <v>160</v>
      </c>
      <c r="C325" s="290"/>
      <c r="D325" s="93">
        <v>0</v>
      </c>
      <c r="E325" s="93">
        <f>0-D325</f>
        <v>0</v>
      </c>
      <c r="F325" s="93">
        <f>0-E325-D325</f>
        <v>0</v>
      </c>
      <c r="G325" s="93">
        <f>0-F325-E325-D325</f>
        <v>0</v>
      </c>
      <c r="H325" s="94">
        <f t="shared" si="203"/>
        <v>0</v>
      </c>
      <c r="I325" s="93"/>
      <c r="J325" s="93">
        <f>0-I325</f>
        <v>0</v>
      </c>
      <c r="K325" s="93">
        <f>0-J325-I325</f>
        <v>0</v>
      </c>
      <c r="L325" s="93">
        <f>0-K325-J325-I325</f>
        <v>0</v>
      </c>
      <c r="M325" s="94">
        <f t="shared" si="204"/>
        <v>0</v>
      </c>
      <c r="N325" s="93">
        <v>0</v>
      </c>
      <c r="O325" s="93">
        <f>0-N325</f>
        <v>0</v>
      </c>
      <c r="P325" s="93">
        <f>0-O325-N325</f>
        <v>0</v>
      </c>
      <c r="Q325" s="93">
        <f>380-P325-O325-N325</f>
        <v>380</v>
      </c>
      <c r="R325" s="94">
        <f t="shared" si="205"/>
        <v>380</v>
      </c>
      <c r="S325" s="100">
        <v>0</v>
      </c>
      <c r="T325" s="100">
        <f>+T21</f>
        <v>0</v>
      </c>
      <c r="U325" s="93">
        <f t="shared" ref="U325:U327" si="211">0-T325-S325</f>
        <v>0</v>
      </c>
      <c r="V325" s="93">
        <f>+V21</f>
        <v>0</v>
      </c>
      <c r="W325" s="94">
        <f t="shared" si="206"/>
        <v>0</v>
      </c>
      <c r="X325" s="93">
        <f t="shared" ref="X325:AA326" si="212">+X21</f>
        <v>0</v>
      </c>
      <c r="Y325" s="93">
        <f t="shared" si="212"/>
        <v>0</v>
      </c>
      <c r="Z325" s="93">
        <f t="shared" si="212"/>
        <v>0</v>
      </c>
      <c r="AA325" s="93">
        <f t="shared" si="212"/>
        <v>0</v>
      </c>
      <c r="AB325" s="94">
        <f t="shared" si="207"/>
        <v>0</v>
      </c>
      <c r="AC325" s="93">
        <f t="shared" ref="AC325:AF326" si="213">+AC21</f>
        <v>0</v>
      </c>
      <c r="AD325" s="93">
        <f t="shared" si="213"/>
        <v>0</v>
      </c>
      <c r="AE325" s="93">
        <f t="shared" si="213"/>
        <v>0</v>
      </c>
      <c r="AF325" s="93">
        <f t="shared" si="213"/>
        <v>0</v>
      </c>
      <c r="AG325" s="94">
        <f t="shared" si="208"/>
        <v>0</v>
      </c>
      <c r="AH325" s="93">
        <f t="shared" ref="AH325:AK326" si="214">+AH21</f>
        <v>0</v>
      </c>
      <c r="AI325" s="93">
        <f t="shared" si="214"/>
        <v>0</v>
      </c>
      <c r="AJ325" s="93">
        <f t="shared" si="214"/>
        <v>0</v>
      </c>
      <c r="AK325" s="93">
        <f t="shared" si="214"/>
        <v>0</v>
      </c>
      <c r="AL325" s="94">
        <f t="shared" si="209"/>
        <v>0</v>
      </c>
      <c r="AM325" s="93">
        <f t="shared" ref="AM325:AP326" si="215">+AM21</f>
        <v>0</v>
      </c>
      <c r="AN325" s="93">
        <f t="shared" si="215"/>
        <v>0</v>
      </c>
      <c r="AO325" s="93">
        <f t="shared" si="215"/>
        <v>0</v>
      </c>
      <c r="AP325" s="93">
        <f t="shared" si="215"/>
        <v>0</v>
      </c>
      <c r="AQ325" s="94">
        <f t="shared" si="210"/>
        <v>0</v>
      </c>
    </row>
    <row r="326" spans="2:43" outlineLevel="1" x14ac:dyDescent="0.25">
      <c r="B326" s="289" t="s">
        <v>161</v>
      </c>
      <c r="C326" s="290"/>
      <c r="D326" s="93">
        <v>0</v>
      </c>
      <c r="E326" s="93">
        <f>0-D326</f>
        <v>0</v>
      </c>
      <c r="F326" s="93">
        <f>0-E326-D326</f>
        <v>0</v>
      </c>
      <c r="G326" s="93">
        <f>1498-F326-E326-D326</f>
        <v>1498</v>
      </c>
      <c r="H326" s="94">
        <f t="shared" si="203"/>
        <v>1498</v>
      </c>
      <c r="I326" s="93"/>
      <c r="J326" s="93">
        <f>0-I326</f>
        <v>0</v>
      </c>
      <c r="K326" s="93">
        <f>0-J326-I326</f>
        <v>0</v>
      </c>
      <c r="L326" s="93">
        <f>-24-K326-J326-I326</f>
        <v>-24</v>
      </c>
      <c r="M326" s="94">
        <f t="shared" si="204"/>
        <v>-24</v>
      </c>
      <c r="N326" s="93">
        <v>0</v>
      </c>
      <c r="O326" s="93">
        <f>0-N326</f>
        <v>0</v>
      </c>
      <c r="P326" s="93">
        <f>0-O326-N326</f>
        <v>0</v>
      </c>
      <c r="Q326" s="93">
        <f>-10-P326-O326-N326</f>
        <v>-10</v>
      </c>
      <c r="R326" s="94">
        <f t="shared" si="205"/>
        <v>-10</v>
      </c>
      <c r="S326" s="100">
        <v>0</v>
      </c>
      <c r="T326" s="93">
        <f>+T22</f>
        <v>0</v>
      </c>
      <c r="U326" s="93">
        <f t="shared" si="211"/>
        <v>0</v>
      </c>
      <c r="V326" s="93">
        <f>+V22</f>
        <v>-3.9999999999997158</v>
      </c>
      <c r="W326" s="94">
        <f t="shared" si="206"/>
        <v>-3.9999999999997158</v>
      </c>
      <c r="X326" s="93">
        <f t="shared" si="212"/>
        <v>0</v>
      </c>
      <c r="Y326" s="93">
        <f t="shared" si="212"/>
        <v>0</v>
      </c>
      <c r="Z326" s="93">
        <f t="shared" si="212"/>
        <v>0</v>
      </c>
      <c r="AA326" s="100">
        <f t="shared" si="212"/>
        <v>-99.999999999999943</v>
      </c>
      <c r="AB326" s="94">
        <f t="shared" si="207"/>
        <v>-99.999999999999943</v>
      </c>
      <c r="AC326" s="93">
        <f t="shared" si="213"/>
        <v>0</v>
      </c>
      <c r="AD326" s="93">
        <f t="shared" si="213"/>
        <v>0</v>
      </c>
      <c r="AE326" s="93">
        <f t="shared" si="213"/>
        <v>0</v>
      </c>
      <c r="AF326" s="93">
        <f t="shared" si="213"/>
        <v>-55.00000000000005</v>
      </c>
      <c r="AG326" s="94">
        <f t="shared" si="208"/>
        <v>-55.00000000000005</v>
      </c>
      <c r="AH326" s="93">
        <f t="shared" si="214"/>
        <v>0</v>
      </c>
      <c r="AI326" s="93">
        <f t="shared" si="214"/>
        <v>0</v>
      </c>
      <c r="AJ326" s="93">
        <f t="shared" si="214"/>
        <v>0</v>
      </c>
      <c r="AK326" s="93">
        <f t="shared" si="214"/>
        <v>-55.00000000000005</v>
      </c>
      <c r="AL326" s="94">
        <f t="shared" si="209"/>
        <v>-55.00000000000005</v>
      </c>
      <c r="AM326" s="93">
        <f t="shared" si="215"/>
        <v>0</v>
      </c>
      <c r="AN326" s="93">
        <f t="shared" si="215"/>
        <v>0</v>
      </c>
      <c r="AO326" s="93">
        <f t="shared" si="215"/>
        <v>0</v>
      </c>
      <c r="AP326" s="93">
        <f t="shared" si="215"/>
        <v>-55.00000000000005</v>
      </c>
      <c r="AQ326" s="94">
        <f t="shared" si="210"/>
        <v>-55.00000000000005</v>
      </c>
    </row>
    <row r="327" spans="2:43" outlineLevel="1" x14ac:dyDescent="0.25">
      <c r="B327" s="709" t="s">
        <v>228</v>
      </c>
      <c r="C327" s="710"/>
      <c r="D327" s="93">
        <v>0</v>
      </c>
      <c r="E327" s="93">
        <f>0-D327</f>
        <v>0</v>
      </c>
      <c r="F327" s="93">
        <f>0-E327-D327</f>
        <v>0</v>
      </c>
      <c r="G327" s="93">
        <f>0-F327-E327-D327</f>
        <v>0</v>
      </c>
      <c r="H327" s="94">
        <f t="shared" si="203"/>
        <v>0</v>
      </c>
      <c r="I327" s="93"/>
      <c r="J327" s="93">
        <f>-35-I327</f>
        <v>-35</v>
      </c>
      <c r="K327" s="93">
        <f>-35-J327-I327</f>
        <v>0</v>
      </c>
      <c r="L327" s="93">
        <f>-35-K327-J327-I327</f>
        <v>0</v>
      </c>
      <c r="M327" s="94">
        <f t="shared" si="204"/>
        <v>-35</v>
      </c>
      <c r="N327" s="93">
        <v>0</v>
      </c>
      <c r="O327" s="93">
        <f>0-N327</f>
        <v>0</v>
      </c>
      <c r="P327" s="93">
        <f>0-O327-N327</f>
        <v>0</v>
      </c>
      <c r="Q327" s="93">
        <f>-85-P327-O327-N327</f>
        <v>-85</v>
      </c>
      <c r="R327" s="94">
        <f t="shared" si="205"/>
        <v>-85</v>
      </c>
      <c r="S327" s="100">
        <v>0</v>
      </c>
      <c r="T327" s="100">
        <v>0</v>
      </c>
      <c r="U327" s="100">
        <f t="shared" si="211"/>
        <v>0</v>
      </c>
      <c r="V327" s="242">
        <v>0</v>
      </c>
      <c r="W327" s="94">
        <f t="shared" si="206"/>
        <v>0</v>
      </c>
      <c r="X327" s="242">
        <v>0</v>
      </c>
      <c r="Y327" s="242">
        <v>0</v>
      </c>
      <c r="Z327" s="242">
        <v>0</v>
      </c>
      <c r="AA327" s="242">
        <v>0</v>
      </c>
      <c r="AB327" s="94">
        <f t="shared" si="207"/>
        <v>0</v>
      </c>
      <c r="AC327" s="242">
        <v>0</v>
      </c>
      <c r="AD327" s="242">
        <v>0</v>
      </c>
      <c r="AE327" s="242">
        <v>0</v>
      </c>
      <c r="AF327" s="242">
        <v>0</v>
      </c>
      <c r="AG327" s="94">
        <f t="shared" si="208"/>
        <v>0</v>
      </c>
      <c r="AH327" s="242">
        <v>0</v>
      </c>
      <c r="AI327" s="242">
        <v>0</v>
      </c>
      <c r="AJ327" s="242">
        <v>0</v>
      </c>
      <c r="AK327" s="242">
        <v>0</v>
      </c>
      <c r="AL327" s="94">
        <f t="shared" si="209"/>
        <v>0</v>
      </c>
      <c r="AM327" s="242">
        <v>0</v>
      </c>
      <c r="AN327" s="242">
        <v>0</v>
      </c>
      <c r="AO327" s="242">
        <v>0</v>
      </c>
      <c r="AP327" s="242">
        <v>0</v>
      </c>
      <c r="AQ327" s="94">
        <f t="shared" si="210"/>
        <v>0</v>
      </c>
    </row>
    <row r="328" spans="2:43" outlineLevel="1" x14ac:dyDescent="0.25">
      <c r="B328" s="719" t="s">
        <v>229</v>
      </c>
      <c r="C328" s="720"/>
      <c r="D328" s="371"/>
      <c r="E328" s="371"/>
      <c r="F328" s="371"/>
      <c r="G328" s="371"/>
      <c r="H328" s="372"/>
      <c r="I328" s="371"/>
      <c r="J328" s="371"/>
      <c r="K328" s="371"/>
      <c r="L328" s="371"/>
      <c r="M328" s="372"/>
      <c r="N328" s="371"/>
      <c r="O328" s="371"/>
      <c r="P328" s="371"/>
      <c r="Q328" s="371"/>
      <c r="R328" s="372"/>
      <c r="S328" s="373"/>
      <c r="T328" s="373"/>
      <c r="U328" s="373"/>
      <c r="V328" s="373"/>
      <c r="W328" s="372"/>
      <c r="X328" s="373"/>
      <c r="Y328" s="373"/>
      <c r="Z328" s="373"/>
      <c r="AA328" s="373"/>
      <c r="AB328" s="372"/>
      <c r="AC328" s="373"/>
      <c r="AD328" s="373"/>
      <c r="AE328" s="373"/>
      <c r="AF328" s="373"/>
      <c r="AG328" s="372"/>
      <c r="AH328" s="373"/>
      <c r="AI328" s="373"/>
      <c r="AJ328" s="373"/>
      <c r="AK328" s="373"/>
      <c r="AL328" s="372"/>
      <c r="AM328" s="373"/>
      <c r="AN328" s="373"/>
      <c r="AO328" s="373"/>
      <c r="AP328" s="373"/>
      <c r="AQ328" s="372"/>
    </row>
    <row r="329" spans="2:43" outlineLevel="1" x14ac:dyDescent="0.25">
      <c r="B329" s="717" t="s">
        <v>230</v>
      </c>
      <c r="C329" s="718"/>
      <c r="D329" s="374">
        <v>50</v>
      </c>
      <c r="E329" s="374">
        <f>-263-D329</f>
        <v>-313</v>
      </c>
      <c r="F329" s="374">
        <f>-78-E329-D329</f>
        <v>185</v>
      </c>
      <c r="G329" s="374">
        <f>-199-F329-E329-D329</f>
        <v>-121</v>
      </c>
      <c r="H329" s="375">
        <f>SUM(D329:G329)</f>
        <v>-199</v>
      </c>
      <c r="I329" s="374">
        <v>20</v>
      </c>
      <c r="J329" s="374">
        <f>-513-I329</f>
        <v>-533</v>
      </c>
      <c r="K329" s="374">
        <f>-340-J329-I329</f>
        <v>173</v>
      </c>
      <c r="L329" s="374">
        <f>-556-K329-J329-I329</f>
        <v>-216</v>
      </c>
      <c r="M329" s="375">
        <f>SUM(I329:L329)</f>
        <v>-556</v>
      </c>
      <c r="N329" s="374">
        <v>-271</v>
      </c>
      <c r="O329" s="374">
        <f>-983-N329</f>
        <v>-712</v>
      </c>
      <c r="P329" s="374">
        <f>-986-O329-N329</f>
        <v>-3</v>
      </c>
      <c r="Q329" s="374">
        <f>-1049-P329-O329-N329</f>
        <v>-63</v>
      </c>
      <c r="R329" s="375">
        <f>SUM(N329:Q329)</f>
        <v>-1049</v>
      </c>
      <c r="S329" s="374">
        <v>-380</v>
      </c>
      <c r="T329" s="374">
        <f>-1343-S329</f>
        <v>-963</v>
      </c>
      <c r="U329" s="374">
        <f>-780-T329-S329</f>
        <v>563</v>
      </c>
      <c r="V329" s="374">
        <f>-(V259-U259)-V322</f>
        <v>120.78490195810322</v>
      </c>
      <c r="W329" s="375">
        <f>SUM(S329:V329)</f>
        <v>-659.21509804189679</v>
      </c>
      <c r="X329" s="374">
        <f>-(X259-V259)-X322</f>
        <v>-10.419007690995443</v>
      </c>
      <c r="Y329" s="374">
        <f>-(Y259-X259)-Y322</f>
        <v>-1191.205974236975</v>
      </c>
      <c r="Z329" s="374">
        <f>-(Z259-Y259)-Z322</f>
        <v>537.63830735919703</v>
      </c>
      <c r="AA329" s="374">
        <f>-(AA259-Z259)-AA322</f>
        <v>33.332026518032535</v>
      </c>
      <c r="AB329" s="375">
        <f>SUM(X329:AA329)</f>
        <v>-630.65464805074078</v>
      </c>
      <c r="AC329" s="374">
        <f>-(AC259-AA259)-AC322</f>
        <v>285.99278009840788</v>
      </c>
      <c r="AD329" s="374">
        <f>-(AD259-AC259)-AD322</f>
        <v>-1465.5567031084247</v>
      </c>
      <c r="AE329" s="374">
        <f>-(AE259-AD259)-AE322</f>
        <v>775.69227434114816</v>
      </c>
      <c r="AF329" s="374">
        <f>-(AF259-AE259)-AF322</f>
        <v>-151.04606338225688</v>
      </c>
      <c r="AG329" s="375">
        <f>SUM(AC329:AF329)</f>
        <v>-554.91771205112559</v>
      </c>
      <c r="AH329" s="374">
        <f>-(AH259-AF259)-AH322</f>
        <v>459.93086915305378</v>
      </c>
      <c r="AI329" s="374">
        <f>-(AI259-AH259)-AI322</f>
        <v>-1608.1996622130966</v>
      </c>
      <c r="AJ329" s="374">
        <f>-(AJ259-AI259)-AJ322</f>
        <v>890.35372569743174</v>
      </c>
      <c r="AK329" s="374">
        <f>-(AK259-AJ259)-AK322</f>
        <v>-220.90723602182015</v>
      </c>
      <c r="AL329" s="375">
        <f>SUM(AH329:AK329)</f>
        <v>-478.82230338443117</v>
      </c>
      <c r="AM329" s="374">
        <f>-(AM259-AK259)-AM322</f>
        <v>524.03573636770432</v>
      </c>
      <c r="AN329" s="374">
        <f>-(AN259-AM259)-AN322</f>
        <v>-1635.4173297852869</v>
      </c>
      <c r="AO329" s="374">
        <f>-(AO259-AN259)-AO322</f>
        <v>895.27317366602517</v>
      </c>
      <c r="AP329" s="374">
        <f>-(AP259-AO259)-AP322</f>
        <v>-182.61485105955344</v>
      </c>
      <c r="AQ329" s="375">
        <f>SUM(AM329:AP329)</f>
        <v>-398.72327081111098</v>
      </c>
    </row>
    <row r="330" spans="2:43" outlineLevel="1" x14ac:dyDescent="0.25">
      <c r="B330" s="717" t="s">
        <v>9</v>
      </c>
      <c r="C330" s="718"/>
      <c r="D330" s="374">
        <v>-89</v>
      </c>
      <c r="E330" s="374">
        <f>-113-D330</f>
        <v>-24</v>
      </c>
      <c r="F330" s="374">
        <f>-322-E330-D330</f>
        <v>-209</v>
      </c>
      <c r="G330" s="374">
        <f>-234-F330-E330-D330</f>
        <v>88</v>
      </c>
      <c r="H330" s="375">
        <f>SUM(D330:G330)</f>
        <v>-234</v>
      </c>
      <c r="I330" s="374">
        <v>-4</v>
      </c>
      <c r="J330" s="374">
        <f>-250-I330</f>
        <v>-246</v>
      </c>
      <c r="K330" s="374">
        <f>-235-J330-I330</f>
        <v>15</v>
      </c>
      <c r="L330" s="374">
        <f>78-K330-J330-I330</f>
        <v>313</v>
      </c>
      <c r="M330" s="375">
        <f>SUM(I330:L330)</f>
        <v>78</v>
      </c>
      <c r="N330" s="374">
        <v>-142</v>
      </c>
      <c r="O330" s="374">
        <f>-338-N330</f>
        <v>-196</v>
      </c>
      <c r="P330" s="374">
        <f>-151-O330-N330</f>
        <v>187</v>
      </c>
      <c r="Q330" s="374">
        <f>-135-P330-O330-N330</f>
        <v>16</v>
      </c>
      <c r="R330" s="375">
        <f>SUM(N330:Q330)</f>
        <v>-135</v>
      </c>
      <c r="S330" s="374">
        <v>-120</v>
      </c>
      <c r="T330" s="374">
        <f>-111-S330</f>
        <v>9</v>
      </c>
      <c r="U330" s="374">
        <f>-96-T330-S330</f>
        <v>15</v>
      </c>
      <c r="V330" s="374">
        <f>-(V261-U261)-(V262-U262)-(V260-U260)</f>
        <v>-49.273180569788792</v>
      </c>
      <c r="W330" s="375">
        <f>SUM(S330:V330)</f>
        <v>-145.27318056978879</v>
      </c>
      <c r="X330" s="374">
        <f>-(X261-V261)-(X262-V262)-(X260-V260)</f>
        <v>-20.126174998084593</v>
      </c>
      <c r="Y330" s="374">
        <f>-(Y261-X261)-(Y262-X262)-(Y260-X260)</f>
        <v>-28.217986935124259</v>
      </c>
      <c r="Z330" s="374">
        <f>-(Z261-Y261)-(Z262-Y262)-(Z260-Y260)</f>
        <v>12.100673895350155</v>
      </c>
      <c r="AA330" s="374">
        <f>-(AA261-Z261)-(AA262-Z262)-(AA260-Z260)</f>
        <v>-21.81610471934232</v>
      </c>
      <c r="AB330" s="375">
        <f>SUM(X330:AA330)</f>
        <v>-58.059592757201017</v>
      </c>
      <c r="AC330" s="374">
        <f>-(AC261-AA261)-(AC262-AA262)-(AC260-AA260)</f>
        <v>-14.367482225846175</v>
      </c>
      <c r="AD330" s="374">
        <f>-(AD261-AC261)-(AD262-AC262)-(AD260-AC260)</f>
        <v>-13.463527223425558</v>
      </c>
      <c r="AE330" s="374">
        <f>-(AE261-AD261)-(AE262-AD262)-(AE260-AD260)</f>
        <v>-9.2633236907039418</v>
      </c>
      <c r="AF330" s="374">
        <f>-(AF261-AE261)-(AF262-AE262)-(AF260-AE260)</f>
        <v>-15.205424175720509</v>
      </c>
      <c r="AG330" s="375">
        <f>SUM(AC330:AF330)</f>
        <v>-52.299757315696183</v>
      </c>
      <c r="AH330" s="374">
        <f>-(AH261-AF261)-(AH262-AF262)-(AH260-AF260)</f>
        <v>-12.964701693944448</v>
      </c>
      <c r="AI330" s="374">
        <f>-(AI261-AH261)-(AI262-AH262)-(AI260-AH260)</f>
        <v>-13.066169409653412</v>
      </c>
      <c r="AJ330" s="374">
        <f>-(AJ261-AI261)-(AJ262-AI262)-(AJ260-AI260)</f>
        <v>-12.447921084753943</v>
      </c>
      <c r="AK330" s="374">
        <f>-(AK261-AJ261)-(AK262-AJ262)-(AK260-AJ260)</f>
        <v>-13.900993965002499</v>
      </c>
      <c r="AL330" s="375">
        <f>SUM(AH330:AK330)</f>
        <v>-52.379786153354303</v>
      </c>
      <c r="AM330" s="374">
        <f>-(AM261-AK261)-(AM262-AK262)-(AM260-AK260)</f>
        <v>-12.974412307705961</v>
      </c>
      <c r="AN330" s="374">
        <f>-(AN261-AM261)-(AN262-AM262)-(AN260-AM260)</f>
        <v>-13.397447102399951</v>
      </c>
      <c r="AO330" s="374">
        <f>-(AO261-AN261)-(AO262-AN262)-(AO260-AN260)</f>
        <v>-12.976325969060667</v>
      </c>
      <c r="AP330" s="374">
        <f>-(AP261-AO261)-(AP262-AO262)-(AP260-AO260)</f>
        <v>-13.769280481711689</v>
      </c>
      <c r="AQ330" s="375">
        <f>SUM(AM330:AP330)</f>
        <v>-53.117465860878269</v>
      </c>
    </row>
    <row r="331" spans="2:43" outlineLevel="1" x14ac:dyDescent="0.25">
      <c r="B331" s="178" t="s">
        <v>231</v>
      </c>
      <c r="C331" s="128"/>
      <c r="D331" s="374">
        <v>0</v>
      </c>
      <c r="E331" s="374">
        <f>0-D331</f>
        <v>0</v>
      </c>
      <c r="F331" s="374">
        <f>0-E331-D331</f>
        <v>0</v>
      </c>
      <c r="G331" s="374">
        <f>-346-F331-E331-D331</f>
        <v>-346</v>
      </c>
      <c r="H331" s="375">
        <f>SUM(D331:G331)</f>
        <v>-346</v>
      </c>
      <c r="I331" s="374">
        <v>0</v>
      </c>
      <c r="J331" s="374">
        <f>0-I331</f>
        <v>0</v>
      </c>
      <c r="K331" s="374">
        <f>0-J331-I331</f>
        <v>0</v>
      </c>
      <c r="L331" s="374">
        <f>-1688-K331-J331-I331</f>
        <v>-1688</v>
      </c>
      <c r="M331" s="375">
        <f>SUM(I331:L331)</f>
        <v>-1688</v>
      </c>
      <c r="N331" s="374">
        <v>0</v>
      </c>
      <c r="O331" s="374">
        <f>0-N331</f>
        <v>0</v>
      </c>
      <c r="P331" s="374">
        <f>0-O331-N331</f>
        <v>0</v>
      </c>
      <c r="Q331" s="374">
        <f>-2345-P331-O331-N331</f>
        <v>-2345</v>
      </c>
      <c r="R331" s="375">
        <f>SUM(N331:Q331)</f>
        <v>-2345</v>
      </c>
      <c r="S331" s="374">
        <v>0</v>
      </c>
      <c r="T331" s="374">
        <f>+U194-P194</f>
        <v>0</v>
      </c>
      <c r="U331" s="374">
        <f t="shared" ref="U331" si="216">0-T331-S331</f>
        <v>0</v>
      </c>
      <c r="V331" s="374">
        <f>+W194-R194</f>
        <v>922.46936363636632</v>
      </c>
      <c r="W331" s="375">
        <f>SUM(S331:V331)</f>
        <v>922.46936363636632</v>
      </c>
      <c r="X331" s="374">
        <f>+Y194-T194</f>
        <v>0</v>
      </c>
      <c r="Y331" s="374">
        <f>+Z194-U194</f>
        <v>0</v>
      </c>
      <c r="Z331" s="374">
        <f>+AA194-V194</f>
        <v>0</v>
      </c>
      <c r="AA331" s="374">
        <f>+AB194-W194</f>
        <v>-115.88449136363852</v>
      </c>
      <c r="AB331" s="375">
        <f>SUM(X331:AA331)</f>
        <v>-115.88449136363852</v>
      </c>
      <c r="AC331" s="374">
        <f>+AD194-Y194</f>
        <v>0</v>
      </c>
      <c r="AD331" s="374">
        <f>+AE194-Z194</f>
        <v>0</v>
      </c>
      <c r="AE331" s="374">
        <f>+AF194-AA194</f>
        <v>0</v>
      </c>
      <c r="AF331" s="374">
        <f>+AG194-AB194</f>
        <v>96.55094105909302</v>
      </c>
      <c r="AG331" s="375">
        <f>SUM(AC331:AF331)</f>
        <v>96.55094105909302</v>
      </c>
      <c r="AH331" s="374">
        <f>+AI194-AD194</f>
        <v>0</v>
      </c>
      <c r="AI331" s="374">
        <f>+AJ194-AE194</f>
        <v>0</v>
      </c>
      <c r="AJ331" s="374">
        <f>+AK194-AF194</f>
        <v>0</v>
      </c>
      <c r="AK331" s="374">
        <f>+AL194-AG194</f>
        <v>94.309506933230296</v>
      </c>
      <c r="AL331" s="375">
        <f>SUM(AH331:AK331)</f>
        <v>94.309506933230296</v>
      </c>
      <c r="AM331" s="374">
        <f>+AN194-AI194</f>
        <v>0</v>
      </c>
      <c r="AN331" s="374">
        <f>+AO194-AJ194</f>
        <v>0</v>
      </c>
      <c r="AO331" s="374">
        <f>+AP194-AK194</f>
        <v>0</v>
      </c>
      <c r="AP331" s="374">
        <f>+AQ194-AL194</f>
        <v>98.911172418556816</v>
      </c>
      <c r="AQ331" s="375">
        <f>SUM(AM331:AP331)</f>
        <v>98.911172418556816</v>
      </c>
    </row>
    <row r="332" spans="2:43" outlineLevel="1" x14ac:dyDescent="0.25">
      <c r="B332" s="717" t="s">
        <v>232</v>
      </c>
      <c r="C332" s="718"/>
      <c r="D332" s="374">
        <v>-151</v>
      </c>
      <c r="E332" s="374">
        <f>66-D332</f>
        <v>217</v>
      </c>
      <c r="F332" s="374">
        <f>-146-E332-D332</f>
        <v>-212</v>
      </c>
      <c r="G332" s="374">
        <f>467-F332-E332-D332</f>
        <v>613</v>
      </c>
      <c r="H332" s="375">
        <f>SUM(D332:G332)</f>
        <v>467</v>
      </c>
      <c r="I332" s="374">
        <v>-753</v>
      </c>
      <c r="J332" s="374">
        <f>67-I332</f>
        <v>820</v>
      </c>
      <c r="K332" s="374">
        <f>-1642-J332-I332</f>
        <v>-1709</v>
      </c>
      <c r="L332" s="374">
        <f>103-K332-J332-I332</f>
        <v>1745</v>
      </c>
      <c r="M332" s="375">
        <f>SUM(I332:L332)</f>
        <v>103</v>
      </c>
      <c r="N332" s="374">
        <v>-540</v>
      </c>
      <c r="O332" s="374">
        <f>-564-N332</f>
        <v>-24</v>
      </c>
      <c r="P332" s="374">
        <f>-2781-O332-N332</f>
        <v>-2217</v>
      </c>
      <c r="Q332" s="374">
        <f>141-P332-O332-N332</f>
        <v>2922</v>
      </c>
      <c r="R332" s="375">
        <f>SUM(N332:Q332)</f>
        <v>141</v>
      </c>
      <c r="S332" s="374">
        <v>-584</v>
      </c>
      <c r="T332" s="374">
        <f>-227-S332</f>
        <v>357</v>
      </c>
      <c r="U332" s="374">
        <f>-1307-T332-S332</f>
        <v>-1080</v>
      </c>
      <c r="V332" s="374">
        <f>V274-U274</f>
        <v>184.25970941556352</v>
      </c>
      <c r="W332" s="375">
        <f>SUM(S332:V332)</f>
        <v>-1122.7402905844365</v>
      </c>
      <c r="X332" s="374">
        <f>X274-V274</f>
        <v>-512.80178034151868</v>
      </c>
      <c r="Y332" s="374">
        <f>Y274-X274</f>
        <v>969.44985328158873</v>
      </c>
      <c r="Z332" s="374">
        <f>Z274-Y274</f>
        <v>-824.76881396583394</v>
      </c>
      <c r="AA332" s="374">
        <f>AA274-Z274</f>
        <v>756.66936280502159</v>
      </c>
      <c r="AB332" s="375">
        <f>SUM(X332:AA332)</f>
        <v>388.5486217792577</v>
      </c>
      <c r="AC332" s="374">
        <f>AC274-AA274</f>
        <v>-1235.0489204018413</v>
      </c>
      <c r="AD332" s="374">
        <f>AD274-AC274</f>
        <v>1689.1949890461647</v>
      </c>
      <c r="AE332" s="374">
        <f>AE274-AD274</f>
        <v>-1531.9598693792195</v>
      </c>
      <c r="AF332" s="374">
        <f>AF274-AE274</f>
        <v>1442.0400723292196</v>
      </c>
      <c r="AG332" s="375">
        <f>SUM(AC332:AF332)</f>
        <v>364.22627159432341</v>
      </c>
      <c r="AH332" s="374">
        <f>AH274-AF274</f>
        <v>-1834.8346152049326</v>
      </c>
      <c r="AI332" s="374">
        <f>AI274-AH274</f>
        <v>2291.7520311069547</v>
      </c>
      <c r="AJ332" s="374">
        <f>AJ274-AI274</f>
        <v>-2127.6315864924982</v>
      </c>
      <c r="AK332" s="374">
        <f>AK274-AJ274</f>
        <v>2022.3503795085526</v>
      </c>
      <c r="AL332" s="375">
        <f>SUM(AH332:AK332)</f>
        <v>351.63620891807659</v>
      </c>
      <c r="AM332" s="374">
        <f>AM274-AK274</f>
        <v>-2426.9007610675653</v>
      </c>
      <c r="AN332" s="374">
        <f>AN274-AM274</f>
        <v>2884.3093808534813</v>
      </c>
      <c r="AO332" s="374">
        <f>AO274-AN274</f>
        <v>-2715.4509697349185</v>
      </c>
      <c r="AP332" s="374">
        <f>AP274-AO274</f>
        <v>2595.8456113618467</v>
      </c>
      <c r="AQ332" s="375">
        <f>SUM(AM332:AP332)</f>
        <v>337.80326141284422</v>
      </c>
    </row>
    <row r="333" spans="2:43" ht="17.25" outlineLevel="1" x14ac:dyDescent="0.4">
      <c r="B333" s="717" t="s">
        <v>233</v>
      </c>
      <c r="C333" s="718"/>
      <c r="D333" s="376">
        <v>-10</v>
      </c>
      <c r="E333" s="376">
        <f>-15-D333</f>
        <v>-5</v>
      </c>
      <c r="F333" s="376">
        <f>-5-E333-D333</f>
        <v>10</v>
      </c>
      <c r="G333" s="376">
        <f>-225-F333-E333-D333</f>
        <v>-220</v>
      </c>
      <c r="H333" s="377">
        <f>SUM(D333:G333)</f>
        <v>-225</v>
      </c>
      <c r="I333" s="376">
        <v>-15</v>
      </c>
      <c r="J333" s="376">
        <f>-17-I333</f>
        <v>-2</v>
      </c>
      <c r="K333" s="376">
        <f>-33-J333-I333</f>
        <v>-16</v>
      </c>
      <c r="L333" s="376">
        <f>-139-K333-J333-I333</f>
        <v>-106</v>
      </c>
      <c r="M333" s="377">
        <f>SUM(I333:L333)</f>
        <v>-139</v>
      </c>
      <c r="N333" s="376">
        <v>-23</v>
      </c>
      <c r="O333" s="376">
        <f>-41-N333</f>
        <v>-18</v>
      </c>
      <c r="P333" s="376">
        <f>-56-O333-N333</f>
        <v>-15</v>
      </c>
      <c r="Q333" s="376">
        <f>-72-P333-O333-N333</f>
        <v>-16</v>
      </c>
      <c r="R333" s="377">
        <f>SUM(N333:Q333)</f>
        <v>-72</v>
      </c>
      <c r="S333" s="376">
        <v>-31</v>
      </c>
      <c r="T333" s="376">
        <f>-50-S333</f>
        <v>-19</v>
      </c>
      <c r="U333" s="376">
        <f>-102-T333-S333</f>
        <v>-52</v>
      </c>
      <c r="V333" s="376">
        <f>(V275-U275)+(V283-U283)+(V280-U280)+(V281-U281)+(V282-U282)-(V268-U268)+(V273-U273)+(V279-U279)+V199-V211-(W194-R194)</f>
        <v>-1292.1633156973746</v>
      </c>
      <c r="W333" s="377">
        <f>SUM(S333:V333)</f>
        <v>-1394.1633156973746</v>
      </c>
      <c r="X333" s="376">
        <f>(X275-V275)+(X283-V283)+(X280-V280)+(X281-V281)+(X282-V282)-(X268-V268)+(X273-V273)+(X279-V279)+X199</f>
        <v>-11.181122214193877</v>
      </c>
      <c r="Y333" s="376">
        <f>(Y275-X275)+(Y283-X283)+(Y280-X280)+(Y281-X281)+(Y282-X282)-(Y268-X268)+(Y273-X273)+(Y279-X279)+Y199</f>
        <v>2.6738836707914118</v>
      </c>
      <c r="Z333" s="376">
        <f>(Z275-Y275)+(Z283-Y283)+(Z280-Y280)+(Z281-Y281)+(Z282-Y282)-(Z268-Y268)+(Z273-Y273)+(Z279-Y279)+Z199</f>
        <v>76.115361408970784</v>
      </c>
      <c r="AA333" s="376">
        <f>(AA275-Z275)+(AA283-Z283)+(AA280-Z280)+(AA281-Z281)+(AA282-Z282)-(AA268-Z268)+(AA273-Z273)+(AA279-Z279)+AA199-AA211-(AB194-W194)</f>
        <v>164.20353255088784</v>
      </c>
      <c r="AB333" s="377">
        <f>SUM(X333:AA333)</f>
        <v>231.81165541645618</v>
      </c>
      <c r="AC333" s="376">
        <f>(AC275-AA275)+(AC283-AA283)+(AC280-AA280)+(AC281-AA281)+(AC282-AA282)-(AC268-AA268)+(AC273-AA273)+(AC279-AA279)+AC199</f>
        <v>-32.823078346259493</v>
      </c>
      <c r="AD333" s="376">
        <f>(AD275-AC275)+(AD283-AC283)+(AD280-AC280)+(AD281-AC281)+(AD282-AC282)-(AD268-AC268)+(AD273-AC273)+(AD279-AC279)+AD199</f>
        <v>-146.98891654332795</v>
      </c>
      <c r="AE333" s="376">
        <f>(AE275-AD275)+(AE283-AD283)+(AE280-AD280)+(AE281-AD281)+(AE282-AD282)-(AE268-AD268)+(AE273-AD273)+(AE279-AD279)+AE199</f>
        <v>114.95957027624246</v>
      </c>
      <c r="AF333" s="376">
        <f>(AF275-AE275)+(AF283-AE283)+(AF280-AE280)+(AF281-AE281)+(AF282-AE282)-(AF268-AE268)+(AF273-AE273)+(AF279-AE279)+AF199-AF211-(AG194-AB194)</f>
        <v>-260.29530046415385</v>
      </c>
      <c r="AG333" s="377">
        <f>SUM(AC333:AF333)</f>
        <v>-325.14772507749882</v>
      </c>
      <c r="AH333" s="376">
        <f>(AH275-AF275)+(AH283-AF283)+(AH280-AF280)+(AH281-AF281)+(AH282-AF282)-(AH268-AF268)+(AH273-AF273)+(AH279-AF279)+AH199</f>
        <v>67.701594678960646</v>
      </c>
      <c r="AI333" s="376">
        <f>(AI275-AH275)+(AI283-AH283)+(AI280-AH280)+(AI281-AH281)+(AI282-AH282)-(AI268-AH268)+(AI273-AH273)+(AI279-AH279)+AI199</f>
        <v>-267.33302833075635</v>
      </c>
      <c r="AJ333" s="376">
        <f>(AJ275-AI275)+(AJ283-AI283)+(AJ280-AI280)+(AJ281-AI281)+(AJ282-AI282)-(AJ268-AI268)+(AJ273-AI273)+(AJ279-AI279)+AJ199</f>
        <v>252.20431137371202</v>
      </c>
      <c r="AK333" s="376">
        <f>(AK275-AJ275)+(AK283-AJ283)+(AK280-AJ280)+(AK281-AJ281)+(AK282-AJ282)-(AK268-AJ268)+(AK273-AJ273)+(AK279-AJ279)+AK199-AK211-(AL194-AG194)</f>
        <v>-391.68561570233777</v>
      </c>
      <c r="AL333" s="377">
        <f>SUM(AH333:AK333)</f>
        <v>-339.11273798042146</v>
      </c>
      <c r="AM333" s="376">
        <f>(AM275-AK275)+(AM283-AK283)+(AM280-AK280)+(AM281-AK281)+(AM282-AK282)-(AM268-AK268)+(AM273-AK273)+(AM279-AK279)+AM199</f>
        <v>182.60885941068278</v>
      </c>
      <c r="AN333" s="376">
        <f>(AN275-AM275)+(AN283-AM283)+(AN280-AM280)+(AN281-AM281)+(AN282-AM282)-(AN268-AM268)+(AN273-AM273)+(AN279-AM279)+AN199</f>
        <v>-413.53477755525319</v>
      </c>
      <c r="AO333" s="376">
        <f>(AO275-AN275)+(AO283-AN283)+(AO280-AN280)+(AO281-AN281)+(AO282-AN282)-(AO268-AN268)+(AO273-AN273)+(AO279-AN279)+AO199</f>
        <v>408.09262951211804</v>
      </c>
      <c r="AP333" s="376">
        <f>(AP275-AO275)+(AP283-AO283)+(AP280-AO280)+(AP281-AO281)+(AP282-AO282)-(AP268-AO268)+(AP273-AO273)+(AP279-AO279)+AP199-AP211-(AQ194-AL194)</f>
        <v>-555.51292639005896</v>
      </c>
      <c r="AQ333" s="377">
        <f>SUM(AM333:AP333)</f>
        <v>-378.34621502251133</v>
      </c>
    </row>
    <row r="334" spans="2:43" outlineLevel="1" x14ac:dyDescent="0.25">
      <c r="B334" s="715" t="s">
        <v>15</v>
      </c>
      <c r="C334" s="716"/>
      <c r="D334" s="361">
        <f t="shared" ref="D334:AQ334" si="217">D320+SUM(D321:D333)</f>
        <v>1241</v>
      </c>
      <c r="E334" s="361">
        <f t="shared" si="217"/>
        <v>1213</v>
      </c>
      <c r="F334" s="361">
        <f t="shared" si="217"/>
        <v>1342</v>
      </c>
      <c r="G334" s="361">
        <f t="shared" si="217"/>
        <v>1912</v>
      </c>
      <c r="H334" s="362">
        <f t="shared" si="217"/>
        <v>5708</v>
      </c>
      <c r="I334" s="361">
        <f t="shared" si="217"/>
        <v>971</v>
      </c>
      <c r="J334" s="361">
        <f t="shared" si="217"/>
        <v>1664</v>
      </c>
      <c r="K334" s="361">
        <f t="shared" si="217"/>
        <v>10</v>
      </c>
      <c r="L334" s="361">
        <f t="shared" si="217"/>
        <v>2285</v>
      </c>
      <c r="M334" s="362">
        <f t="shared" si="217"/>
        <v>4930</v>
      </c>
      <c r="N334" s="361">
        <f t="shared" si="217"/>
        <v>590</v>
      </c>
      <c r="O334" s="361">
        <f t="shared" si="217"/>
        <v>908</v>
      </c>
      <c r="P334" s="361">
        <f t="shared" si="217"/>
        <v>-336</v>
      </c>
      <c r="Q334" s="361">
        <f t="shared" si="217"/>
        <v>3512.1257859999969</v>
      </c>
      <c r="R334" s="362">
        <f t="shared" si="217"/>
        <v>4674.1257859999969</v>
      </c>
      <c r="S334" s="361">
        <f t="shared" si="217"/>
        <v>701</v>
      </c>
      <c r="T334" s="361">
        <f t="shared" si="217"/>
        <v>1478</v>
      </c>
      <c r="U334" s="361">
        <f t="shared" si="217"/>
        <v>1144</v>
      </c>
      <c r="V334" s="361">
        <f t="shared" si="217"/>
        <v>2050.3077423165751</v>
      </c>
      <c r="W334" s="362">
        <f t="shared" si="217"/>
        <v>5373.307742316566</v>
      </c>
      <c r="X334" s="361">
        <f t="shared" si="217"/>
        <v>1423.7054353374435</v>
      </c>
      <c r="Y334" s="361">
        <f t="shared" si="217"/>
        <v>1779.793929631569</v>
      </c>
      <c r="Z334" s="361">
        <f t="shared" si="217"/>
        <v>1627.8514160174648</v>
      </c>
      <c r="AA334" s="361">
        <f t="shared" si="217"/>
        <v>3087.2480353859519</v>
      </c>
      <c r="AB334" s="362">
        <f t="shared" si="217"/>
        <v>7918.5988163724251</v>
      </c>
      <c r="AC334" s="361">
        <f t="shared" si="217"/>
        <v>1223.4366777693654</v>
      </c>
      <c r="AD334" s="361">
        <f t="shared" si="217"/>
        <v>2296.2400943932689</v>
      </c>
      <c r="AE334" s="361">
        <f t="shared" si="217"/>
        <v>1349.4426639597245</v>
      </c>
      <c r="AF334" s="361">
        <f t="shared" si="217"/>
        <v>3577.8368179973809</v>
      </c>
      <c r="AG334" s="362">
        <f t="shared" si="217"/>
        <v>8446.9562541197574</v>
      </c>
      <c r="AH334" s="361">
        <f t="shared" si="217"/>
        <v>911.54737633857894</v>
      </c>
      <c r="AI334" s="361">
        <f t="shared" si="217"/>
        <v>2618.6117659928532</v>
      </c>
      <c r="AJ334" s="361">
        <f t="shared" si="217"/>
        <v>990.88078341645632</v>
      </c>
      <c r="AK334" s="361">
        <f t="shared" si="217"/>
        <v>3948.7421841096575</v>
      </c>
      <c r="AL334" s="362">
        <f t="shared" si="217"/>
        <v>8469.782109857555</v>
      </c>
      <c r="AM334" s="361">
        <f t="shared" si="217"/>
        <v>532.47577969705367</v>
      </c>
      <c r="AN334" s="361">
        <f t="shared" si="217"/>
        <v>3041.8893076790541</v>
      </c>
      <c r="AO334" s="361">
        <f t="shared" si="217"/>
        <v>574.23969607454023</v>
      </c>
      <c r="AP334" s="361">
        <f t="shared" si="217"/>
        <v>4413.8123612655363</v>
      </c>
      <c r="AQ334" s="362">
        <f t="shared" si="217"/>
        <v>8562.4171447161953</v>
      </c>
    </row>
    <row r="335" spans="2:43" outlineLevel="1" x14ac:dyDescent="0.25">
      <c r="B335" s="787" t="s">
        <v>16</v>
      </c>
      <c r="C335" s="788"/>
      <c r="D335" s="369"/>
      <c r="E335" s="369"/>
      <c r="F335" s="369"/>
      <c r="G335" s="369"/>
      <c r="H335" s="397"/>
      <c r="I335" s="369"/>
      <c r="J335" s="369"/>
      <c r="K335" s="369"/>
      <c r="L335" s="369"/>
      <c r="M335" s="397"/>
      <c r="N335" s="369"/>
      <c r="O335" s="369"/>
      <c r="P335" s="369"/>
      <c r="Q335" s="369"/>
      <c r="R335" s="397"/>
      <c r="S335" s="398"/>
      <c r="T335" s="398"/>
      <c r="U335" s="398"/>
      <c r="V335" s="398"/>
      <c r="W335" s="397"/>
      <c r="X335" s="398"/>
      <c r="Y335" s="398"/>
      <c r="Z335" s="398"/>
      <c r="AA335" s="398"/>
      <c r="AB335" s="397"/>
      <c r="AC335" s="398"/>
      <c r="AD335" s="398"/>
      <c r="AE335" s="398"/>
      <c r="AF335" s="398"/>
      <c r="AG335" s="397"/>
      <c r="AH335" s="398"/>
      <c r="AI335" s="398"/>
      <c r="AJ335" s="398"/>
      <c r="AK335" s="398"/>
      <c r="AL335" s="397"/>
      <c r="AM335" s="398"/>
      <c r="AN335" s="398"/>
      <c r="AO335" s="398"/>
      <c r="AP335" s="398"/>
      <c r="AQ335" s="397"/>
    </row>
    <row r="336" spans="2:43" outlineLevel="1" x14ac:dyDescent="0.25">
      <c r="B336" s="723" t="s">
        <v>234</v>
      </c>
      <c r="C336" s="724"/>
      <c r="D336" s="100">
        <v>-1209</v>
      </c>
      <c r="E336" s="100">
        <f>-2562-D336</f>
        <v>-1353</v>
      </c>
      <c r="F336" s="93">
        <f>-3562-E336-D336</f>
        <v>-1000</v>
      </c>
      <c r="G336" s="100">
        <f>-4818-F336-E336-D336</f>
        <v>-1256</v>
      </c>
      <c r="H336" s="112">
        <f>SUM(D336:G336)</f>
        <v>-4818</v>
      </c>
      <c r="I336" s="100">
        <v>-1215</v>
      </c>
      <c r="J336" s="100">
        <f>-2681-I336</f>
        <v>-1466</v>
      </c>
      <c r="K336" s="93">
        <f>-3790-J336-I336</f>
        <v>-1109</v>
      </c>
      <c r="L336" s="100">
        <f>-5116-K336-J336-I336</f>
        <v>-1326</v>
      </c>
      <c r="M336" s="112">
        <f>SUM(I336:L336)</f>
        <v>-5116</v>
      </c>
      <c r="N336" s="100">
        <v>-1044</v>
      </c>
      <c r="O336" s="100">
        <f>-2621-N336</f>
        <v>-1577</v>
      </c>
      <c r="P336" s="93">
        <f>-3994-O336-N336</f>
        <v>-1373</v>
      </c>
      <c r="Q336" s="100">
        <f>-5663-P336-O336-N336</f>
        <v>-1669</v>
      </c>
      <c r="R336" s="112">
        <f>SUM(N336:Q336)</f>
        <v>-5663</v>
      </c>
      <c r="S336" s="100">
        <v>-1179</v>
      </c>
      <c r="T336" s="100">
        <f>-2634-S336</f>
        <v>-1455</v>
      </c>
      <c r="U336" s="100">
        <f>-3757-T336-S336</f>
        <v>-1123</v>
      </c>
      <c r="V336" s="100">
        <f>-V13*V368</f>
        <v>-1476.1770790963606</v>
      </c>
      <c r="W336" s="422">
        <f>SUM(S336:V336)</f>
        <v>-5233.1770790963601</v>
      </c>
      <c r="X336" s="100">
        <f>-X13*X368</f>
        <v>-1302.2730556794222</v>
      </c>
      <c r="Y336" s="100">
        <f>-Y13*Y368</f>
        <v>-1385.5702232340002</v>
      </c>
      <c r="Z336" s="100">
        <f>-Z13*Z368</f>
        <v>-1310.5557310593763</v>
      </c>
      <c r="AA336" s="100">
        <f>-AA13*AA368</f>
        <v>-1430.0801031732717</v>
      </c>
      <c r="AB336" s="112">
        <f>SUM(X336:AA336)</f>
        <v>-5428.4791131460697</v>
      </c>
      <c r="AC336" s="100">
        <f>-AC13*AC368</f>
        <v>-1346.5862872910236</v>
      </c>
      <c r="AD336" s="100">
        <f>-AD13*AD368</f>
        <v>-1407.2787542339311</v>
      </c>
      <c r="AE336" s="100">
        <f>-AE13*AE368</f>
        <v>-1356.099118286221</v>
      </c>
      <c r="AF336" s="100">
        <f>-AF13*AF368</f>
        <v>-1439.7009961069045</v>
      </c>
      <c r="AG336" s="112">
        <f>SUM(AC336:AF336)</f>
        <v>-5549.66515591808</v>
      </c>
      <c r="AH336" s="100">
        <f>-AH13*AH368</f>
        <v>-1375.9549038980438</v>
      </c>
      <c r="AI336" s="100">
        <f>-AI13*AI368</f>
        <v>-1430.7130788860093</v>
      </c>
      <c r="AJ336" s="100">
        <f>-AJ13*AJ368</f>
        <v>-1381.1840694316254</v>
      </c>
      <c r="AK336" s="100">
        <f>-AK13*AK368</f>
        <v>-1459.1786605482341</v>
      </c>
      <c r="AL336" s="112">
        <f>SUM(AH336:AK336)</f>
        <v>-5647.0307127639126</v>
      </c>
      <c r="AM336" s="100">
        <f>-AM13*AM368</f>
        <v>-1398.7252474787572</v>
      </c>
      <c r="AN336" s="100">
        <f>-AN13*AN368</f>
        <v>-1449.5852585286693</v>
      </c>
      <c r="AO336" s="100">
        <f>-AO13*AO368</f>
        <v>-1400.2206765497308</v>
      </c>
      <c r="AP336" s="100">
        <f>-AP13*AP368</f>
        <v>-1476.2295930893481</v>
      </c>
      <c r="AQ336" s="112">
        <f>SUM(AM336:AP336)</f>
        <v>-5724.760775646505</v>
      </c>
    </row>
    <row r="337" spans="2:43" outlineLevel="1" x14ac:dyDescent="0.25">
      <c r="B337" s="723" t="s">
        <v>235</v>
      </c>
      <c r="C337" s="724"/>
      <c r="D337" s="100">
        <v>0</v>
      </c>
      <c r="E337" s="100">
        <f>0-D337</f>
        <v>0</v>
      </c>
      <c r="F337" s="93">
        <f>0-E337-D337</f>
        <v>0</v>
      </c>
      <c r="G337" s="100">
        <f>-4618-F337-E337-D337</f>
        <v>-4618</v>
      </c>
      <c r="H337" s="112">
        <f>SUM(D337:G337)</f>
        <v>-4618</v>
      </c>
      <c r="I337" s="100">
        <v>0</v>
      </c>
      <c r="J337" s="100">
        <f>0-I337</f>
        <v>0</v>
      </c>
      <c r="K337" s="93">
        <f>0-J337-I337</f>
        <v>0</v>
      </c>
      <c r="L337" s="100">
        <f>0-K337-J337-I337</f>
        <v>0</v>
      </c>
      <c r="M337" s="112">
        <f>SUM(I337:L337)</f>
        <v>0</v>
      </c>
      <c r="N337" s="100">
        <v>0</v>
      </c>
      <c r="O337" s="100">
        <f>-44-N337</f>
        <v>-44</v>
      </c>
      <c r="P337" s="93">
        <f>-44-O337-N337</f>
        <v>0</v>
      </c>
      <c r="Q337" s="100">
        <f>-179-P337-O337-N337</f>
        <v>-135</v>
      </c>
      <c r="R337" s="112">
        <f>SUM(N337:Q337)</f>
        <v>-179</v>
      </c>
      <c r="S337" s="100">
        <v>0</v>
      </c>
      <c r="T337" s="100">
        <v>0</v>
      </c>
      <c r="U337" s="100">
        <f t="shared" ref="U337" si="218">0-T337-S337</f>
        <v>0</v>
      </c>
      <c r="V337" s="242">
        <v>0</v>
      </c>
      <c r="W337" s="112">
        <f>SUM(S337:V337)</f>
        <v>0</v>
      </c>
      <c r="X337" s="242">
        <v>0</v>
      </c>
      <c r="Y337" s="242">
        <v>0</v>
      </c>
      <c r="Z337" s="242">
        <v>0</v>
      </c>
      <c r="AA337" s="242">
        <v>0</v>
      </c>
      <c r="AB337" s="112">
        <f>SUM(X337:AA337)</f>
        <v>0</v>
      </c>
      <c r="AC337" s="242">
        <v>0</v>
      </c>
      <c r="AD337" s="242">
        <v>0</v>
      </c>
      <c r="AE337" s="242">
        <v>0</v>
      </c>
      <c r="AF337" s="242">
        <v>0</v>
      </c>
      <c r="AG337" s="112">
        <f>SUM(AC337:AF337)</f>
        <v>0</v>
      </c>
      <c r="AH337" s="242">
        <v>0</v>
      </c>
      <c r="AI337" s="242">
        <v>0</v>
      </c>
      <c r="AJ337" s="242">
        <v>0</v>
      </c>
      <c r="AK337" s="242">
        <v>0</v>
      </c>
      <c r="AL337" s="112">
        <f>SUM(AH337:AK337)</f>
        <v>0</v>
      </c>
      <c r="AM337" s="242">
        <v>0</v>
      </c>
      <c r="AN337" s="242">
        <v>0</v>
      </c>
      <c r="AO337" s="242">
        <v>0</v>
      </c>
      <c r="AP337" s="242">
        <v>0</v>
      </c>
      <c r="AQ337" s="112">
        <f>SUM(AM337:AP337)</f>
        <v>0</v>
      </c>
    </row>
    <row r="338" spans="2:43" ht="17.25" outlineLevel="1" x14ac:dyDescent="0.4">
      <c r="B338" s="723" t="s">
        <v>236</v>
      </c>
      <c r="C338" s="724"/>
      <c r="D338" s="101">
        <v>10</v>
      </c>
      <c r="E338" s="101">
        <f>12-D338</f>
        <v>2</v>
      </c>
      <c r="F338" s="98">
        <f>-17-E338-D338</f>
        <v>-29</v>
      </c>
      <c r="G338" s="101">
        <f>-10-F338-E338-D338</f>
        <v>7</v>
      </c>
      <c r="H338" s="153">
        <f>SUM(D338:G338)</f>
        <v>-10</v>
      </c>
      <c r="I338" s="101">
        <v>9</v>
      </c>
      <c r="J338" s="101">
        <f>100-I338</f>
        <v>91</v>
      </c>
      <c r="K338" s="98">
        <f>123-J338-I338</f>
        <v>23</v>
      </c>
      <c r="L338" s="101">
        <f>135-K338-J338-I338</f>
        <v>12</v>
      </c>
      <c r="M338" s="153">
        <f>SUM(I338:L338)</f>
        <v>135</v>
      </c>
      <c r="N338" s="101">
        <v>6</v>
      </c>
      <c r="O338" s="101">
        <f>12-N338</f>
        <v>6</v>
      </c>
      <c r="P338" s="98">
        <f>21-O338-N338</f>
        <v>9</v>
      </c>
      <c r="Q338" s="101">
        <f>123+42-P338-O338-N338</f>
        <v>144</v>
      </c>
      <c r="R338" s="153">
        <f>SUM(N338:Q338)</f>
        <v>165</v>
      </c>
      <c r="S338" s="101">
        <v>78</v>
      </c>
      <c r="T338" s="101">
        <f>53-S338</f>
        <v>-25</v>
      </c>
      <c r="U338" s="101">
        <f>62-T338-S338</f>
        <v>9</v>
      </c>
      <c r="V338" s="101">
        <f>-(V267-U267)</f>
        <v>-34.579999999999018</v>
      </c>
      <c r="W338" s="153">
        <f>SUM(S338:V338)</f>
        <v>27.420000000000982</v>
      </c>
      <c r="X338" s="101">
        <f>-(X267-V267)</f>
        <v>-34.752899999999499</v>
      </c>
      <c r="Y338" s="101">
        <f>-(Y267-X267)</f>
        <v>-34.926664499998878</v>
      </c>
      <c r="Z338" s="101">
        <f>-(Z267-Y267)</f>
        <v>-35.101297822498964</v>
      </c>
      <c r="AA338" s="101">
        <f>-(AA267-Z267)</f>
        <v>-35.276804311612068</v>
      </c>
      <c r="AB338" s="153">
        <f>SUM(X338:AA338)</f>
        <v>-140.05766663410941</v>
      </c>
      <c r="AC338" s="101">
        <f>-(AC267-AA267)</f>
        <v>-35.453188333170147</v>
      </c>
      <c r="AD338" s="101">
        <f>-(AD267-AC267)</f>
        <v>-35.630454274835756</v>
      </c>
      <c r="AE338" s="101">
        <f>-(AE267-AD267)</f>
        <v>-35.808606546209376</v>
      </c>
      <c r="AF338" s="101">
        <f>-(AF267-AE267)</f>
        <v>-35.987649578941273</v>
      </c>
      <c r="AG338" s="153">
        <f>SUM(AC338:AF338)</f>
        <v>-142.87989873315655</v>
      </c>
      <c r="AH338" s="101">
        <f>-(AH267-AF267)</f>
        <v>-36.167587826835188</v>
      </c>
      <c r="AI338" s="101">
        <f>-(AI267-AH267)</f>
        <v>-36.348425765969296</v>
      </c>
      <c r="AJ338" s="101">
        <f>-(AJ267-AI267)</f>
        <v>-36.530167894799888</v>
      </c>
      <c r="AK338" s="101">
        <f>-(AK267-AJ267)</f>
        <v>-36.712818734273242</v>
      </c>
      <c r="AL338" s="153">
        <f>SUM(AH338:AK338)</f>
        <v>-145.75900022187761</v>
      </c>
      <c r="AM338" s="101">
        <f>-(AM267-AK267)</f>
        <v>-36.896382827944763</v>
      </c>
      <c r="AN338" s="101">
        <f>-(AN267-AM267)</f>
        <v>-37.080864742084486</v>
      </c>
      <c r="AO338" s="101">
        <f>-(AO267-AN267)</f>
        <v>-37.266269065795314</v>
      </c>
      <c r="AP338" s="101">
        <f>-(AP267-AO267)</f>
        <v>-37.452600411123967</v>
      </c>
      <c r="AQ338" s="153">
        <f>SUM(AM338:AP338)</f>
        <v>-148.69611704694853</v>
      </c>
    </row>
    <row r="339" spans="2:43" outlineLevel="1" x14ac:dyDescent="0.25">
      <c r="B339" s="791" t="s">
        <v>17</v>
      </c>
      <c r="C339" s="792"/>
      <c r="D339" s="109">
        <f>SUM(D335:D338)</f>
        <v>-1199</v>
      </c>
      <c r="E339" s="109">
        <f>SUM(E335:E338)</f>
        <v>-1351</v>
      </c>
      <c r="F339" s="109">
        <f>SUM(F335:F338)</f>
        <v>-1029</v>
      </c>
      <c r="G339" s="109">
        <f>SUM(G335:G338)</f>
        <v>-5867</v>
      </c>
      <c r="H339" s="110">
        <f>SUM(H336:H338)</f>
        <v>-9446</v>
      </c>
      <c r="I339" s="109">
        <f>SUM(I335:I338)</f>
        <v>-1206</v>
      </c>
      <c r="J339" s="109">
        <f>SUM(J335:J338)</f>
        <v>-1375</v>
      </c>
      <c r="K339" s="109">
        <f>SUM(K335:K338)</f>
        <v>-1086</v>
      </c>
      <c r="L339" s="109">
        <f>SUM(L335:L338)</f>
        <v>-1314</v>
      </c>
      <c r="M339" s="110">
        <f>SUM(M336:M338)</f>
        <v>-4981</v>
      </c>
      <c r="N339" s="109">
        <f>SUM(N335:N338)</f>
        <v>-1038</v>
      </c>
      <c r="O339" s="109">
        <f>SUM(O335:O338)</f>
        <v>-1615</v>
      </c>
      <c r="P339" s="109">
        <f>SUM(P335:P338)</f>
        <v>-1364</v>
      </c>
      <c r="Q339" s="109">
        <f>SUM(Q335:Q338)</f>
        <v>-1660</v>
      </c>
      <c r="R339" s="110">
        <f>SUM(R336:R338)</f>
        <v>-5677</v>
      </c>
      <c r="S339" s="109">
        <f>SUM(S335:S338)</f>
        <v>-1101</v>
      </c>
      <c r="T339" s="109">
        <f>SUM(T335:T338)</f>
        <v>-1480</v>
      </c>
      <c r="U339" s="109">
        <f>SUM(U335:U338)</f>
        <v>-1114</v>
      </c>
      <c r="V339" s="109">
        <f>SUM(V335:V338)</f>
        <v>-1510.7570790963596</v>
      </c>
      <c r="W339" s="110">
        <f>SUM(W336:W338)</f>
        <v>-5205.7570790963591</v>
      </c>
      <c r="X339" s="109">
        <f>SUM(X335:X338)</f>
        <v>-1337.0259556794217</v>
      </c>
      <c r="Y339" s="109">
        <f>SUM(Y335:Y338)</f>
        <v>-1420.4968877339991</v>
      </c>
      <c r="Z339" s="109">
        <f>SUM(Z335:Z338)</f>
        <v>-1345.6570288818752</v>
      </c>
      <c r="AA339" s="109">
        <f>SUM(AA335:AA338)</f>
        <v>-1465.3569074848838</v>
      </c>
      <c r="AB339" s="110">
        <f>SUM(AB336:AB338)</f>
        <v>-5568.5367797801791</v>
      </c>
      <c r="AC339" s="109">
        <f>SUM(AC335:AC338)</f>
        <v>-1382.0394756241938</v>
      </c>
      <c r="AD339" s="109">
        <f>SUM(AD335:AD338)</f>
        <v>-1442.9092085087668</v>
      </c>
      <c r="AE339" s="109">
        <f>SUM(AE335:AE338)</f>
        <v>-1391.9077248324304</v>
      </c>
      <c r="AF339" s="109">
        <f>SUM(AF335:AF338)</f>
        <v>-1475.6886456858458</v>
      </c>
      <c r="AG339" s="110">
        <f>SUM(AG336:AG338)</f>
        <v>-5692.5450546512366</v>
      </c>
      <c r="AH339" s="109">
        <f>SUM(AH335:AH338)</f>
        <v>-1412.122491724879</v>
      </c>
      <c r="AI339" s="109">
        <f>SUM(AI335:AI338)</f>
        <v>-1467.0615046519786</v>
      </c>
      <c r="AJ339" s="109">
        <f>SUM(AJ335:AJ338)</f>
        <v>-1417.7142373264253</v>
      </c>
      <c r="AK339" s="109">
        <f>SUM(AK335:AK338)</f>
        <v>-1495.8914792825074</v>
      </c>
      <c r="AL339" s="110">
        <f>SUM(AL336:AL338)</f>
        <v>-5792.7897129857902</v>
      </c>
      <c r="AM339" s="109">
        <f>SUM(AM335:AM338)</f>
        <v>-1435.6216303067019</v>
      </c>
      <c r="AN339" s="109">
        <f>SUM(AN335:AN338)</f>
        <v>-1486.6661232707538</v>
      </c>
      <c r="AO339" s="109">
        <f>SUM(AO335:AO338)</f>
        <v>-1437.4869456155261</v>
      </c>
      <c r="AP339" s="109">
        <f>SUM(AP335:AP338)</f>
        <v>-1513.6821935004721</v>
      </c>
      <c r="AQ339" s="110">
        <f>SUM(AQ336:AQ338)</f>
        <v>-5873.4568926934535</v>
      </c>
    </row>
    <row r="340" spans="2:43" outlineLevel="1" x14ac:dyDescent="0.25">
      <c r="B340" s="719" t="s">
        <v>18</v>
      </c>
      <c r="C340" s="720"/>
      <c r="D340" s="371"/>
      <c r="E340" s="371"/>
      <c r="F340" s="371"/>
      <c r="G340" s="371"/>
      <c r="H340" s="372"/>
      <c r="I340" s="371"/>
      <c r="J340" s="371"/>
      <c r="K340" s="371"/>
      <c r="L340" s="371"/>
      <c r="M340" s="372"/>
      <c r="N340" s="371"/>
      <c r="O340" s="371"/>
      <c r="P340" s="371"/>
      <c r="Q340" s="371"/>
      <c r="R340" s="372"/>
      <c r="S340" s="373"/>
      <c r="T340" s="373"/>
      <c r="U340" s="373"/>
      <c r="V340" s="373"/>
      <c r="W340" s="372"/>
      <c r="X340" s="373"/>
      <c r="Y340" s="373"/>
      <c r="Z340" s="373"/>
      <c r="AA340" s="373"/>
      <c r="AB340" s="372"/>
      <c r="AC340" s="373"/>
      <c r="AD340" s="373"/>
      <c r="AE340" s="373"/>
      <c r="AF340" s="373"/>
      <c r="AG340" s="372"/>
      <c r="AH340" s="373"/>
      <c r="AI340" s="373"/>
      <c r="AJ340" s="373"/>
      <c r="AK340" s="373"/>
      <c r="AL340" s="372"/>
      <c r="AM340" s="373"/>
      <c r="AN340" s="373"/>
      <c r="AO340" s="373"/>
      <c r="AP340" s="373"/>
      <c r="AQ340" s="372"/>
    </row>
    <row r="341" spans="2:43" outlineLevel="1" x14ac:dyDescent="0.25">
      <c r="B341" s="717" t="s">
        <v>237</v>
      </c>
      <c r="C341" s="718"/>
      <c r="D341" s="374">
        <v>0</v>
      </c>
      <c r="E341" s="374">
        <f>0-D341</f>
        <v>0</v>
      </c>
      <c r="F341" s="374">
        <f>0-E341-D341</f>
        <v>0</v>
      </c>
      <c r="G341" s="374">
        <f>0-F341-E341-D341</f>
        <v>0</v>
      </c>
      <c r="H341" s="375">
        <f t="shared" ref="H341:H348" si="219">SUM(D341:G341)</f>
        <v>0</v>
      </c>
      <c r="I341" s="374">
        <v>0</v>
      </c>
      <c r="J341" s="374">
        <f>0-I341</f>
        <v>0</v>
      </c>
      <c r="K341" s="374">
        <f>0-J341-I341</f>
        <v>0</v>
      </c>
      <c r="L341" s="374">
        <f>0-K341-J341-I341</f>
        <v>0</v>
      </c>
      <c r="M341" s="375">
        <f t="shared" ref="M341:M348" si="220">SUM(I341:L341)</f>
        <v>0</v>
      </c>
      <c r="N341" s="374">
        <v>0</v>
      </c>
      <c r="O341" s="374">
        <f>250-N341</f>
        <v>250</v>
      </c>
      <c r="P341" s="374">
        <f>797-O341-N341</f>
        <v>547</v>
      </c>
      <c r="Q341" s="374">
        <f>0-P341-O341-N341</f>
        <v>-797</v>
      </c>
      <c r="R341" s="375">
        <f t="shared" ref="R341:R348" si="221">SUM(N341:Q341)</f>
        <v>0</v>
      </c>
      <c r="S341" s="374">
        <v>299</v>
      </c>
      <c r="T341" s="374">
        <f>248-S341</f>
        <v>-51</v>
      </c>
      <c r="U341" s="374">
        <f>220-T341-S341</f>
        <v>-28</v>
      </c>
      <c r="V341" s="374">
        <f t="shared" ref="V341:V342" si="222">V271-U271</f>
        <v>10.406983304447692</v>
      </c>
      <c r="W341" s="375">
        <f t="shared" ref="W341:W348" si="223">SUM(S341:V341)</f>
        <v>230.40698330444769</v>
      </c>
      <c r="X341" s="374">
        <f>X271-V271</f>
        <v>41.126046046487147</v>
      </c>
      <c r="Y341" s="374">
        <f t="shared" ref="Y341:AA342" si="224">Y271-X271</f>
        <v>-12.020976252574428</v>
      </c>
      <c r="Z341" s="374">
        <f t="shared" si="224"/>
        <v>-2.4828038210170007</v>
      </c>
      <c r="AA341" s="374">
        <f t="shared" si="224"/>
        <v>13.395418607995282</v>
      </c>
      <c r="AB341" s="375">
        <f t="shared" ref="AB341:AB348" si="225">SUM(X341:AA341)</f>
        <v>40.017684580891</v>
      </c>
      <c r="AC341" s="374">
        <f>AC271-AA271</f>
        <v>11.158156921955765</v>
      </c>
      <c r="AD341" s="374">
        <f t="shared" ref="AD341:AF342" si="226">AD271-AC271</f>
        <v>2.3437182245087911</v>
      </c>
      <c r="AE341" s="374">
        <f t="shared" si="226"/>
        <v>3.0112793917708132</v>
      </c>
      <c r="AF341" s="374">
        <f t="shared" si="226"/>
        <v>10.616502320925235</v>
      </c>
      <c r="AG341" s="375">
        <f t="shared" ref="AG341:AG348" si="227">SUM(AC341:AF341)</f>
        <v>27.129656859160605</v>
      </c>
      <c r="AH341" s="374">
        <f>AH271-AF271</f>
        <v>4.502303585074003</v>
      </c>
      <c r="AI341" s="374">
        <f t="shared" ref="AI341:AK342" si="228">AI271-AH271</f>
        <v>3.0390870475474685</v>
      </c>
      <c r="AJ341" s="374">
        <f t="shared" si="228"/>
        <v>1.1161326456504526</v>
      </c>
      <c r="AK341" s="374">
        <f t="shared" si="228"/>
        <v>7.598739324546159</v>
      </c>
      <c r="AL341" s="375">
        <f t="shared" ref="AL341:AL348" si="229">SUM(AH341:AK341)</f>
        <v>16.256262602818083</v>
      </c>
      <c r="AM341" s="374">
        <f>AM271-AK271</f>
        <v>3.7553873931416319</v>
      </c>
      <c r="AN341" s="374">
        <f t="shared" ref="AN341:AP342" si="230">AN271-AM271</f>
        <v>3.0943318115317311</v>
      </c>
      <c r="AO341" s="374">
        <f t="shared" si="230"/>
        <v>0.61729550606844441</v>
      </c>
      <c r="AP341" s="374">
        <f t="shared" si="230"/>
        <v>6.8419569863874585</v>
      </c>
      <c r="AQ341" s="375">
        <f t="shared" ref="AQ341:AQ348" si="231">SUM(AM341:AP341)</f>
        <v>14.308971697129266</v>
      </c>
    </row>
    <row r="342" spans="2:43" outlineLevel="1" x14ac:dyDescent="0.25">
      <c r="B342" s="178" t="s">
        <v>238</v>
      </c>
      <c r="C342" s="128"/>
      <c r="D342" s="374">
        <v>-15</v>
      </c>
      <c r="E342" s="374">
        <f>-17-D342</f>
        <v>-2</v>
      </c>
      <c r="F342" s="374">
        <f>-28-E342-D342</f>
        <v>-11</v>
      </c>
      <c r="G342" s="374">
        <f>-41-F342-E342-D342</f>
        <v>-13</v>
      </c>
      <c r="H342" s="375">
        <f t="shared" si="219"/>
        <v>-41</v>
      </c>
      <c r="I342" s="374">
        <v>-12</v>
      </c>
      <c r="J342" s="374">
        <f>-43-I342</f>
        <v>-31</v>
      </c>
      <c r="K342" s="374">
        <f>-49-J342-I342</f>
        <v>-6</v>
      </c>
      <c r="L342" s="374">
        <f>-82-K342-J342-I342</f>
        <v>-33</v>
      </c>
      <c r="M342" s="375">
        <f t="shared" si="220"/>
        <v>-82</v>
      </c>
      <c r="N342" s="374">
        <v>-12</v>
      </c>
      <c r="O342" s="374">
        <f>-28-N342</f>
        <v>-16</v>
      </c>
      <c r="P342" s="374">
        <f>-31-O342-N342</f>
        <v>-3</v>
      </c>
      <c r="Q342" s="374">
        <f>-38-P342-O342-N342</f>
        <v>-7</v>
      </c>
      <c r="R342" s="375">
        <f t="shared" si="221"/>
        <v>-38</v>
      </c>
      <c r="S342" s="374">
        <v>-2</v>
      </c>
      <c r="T342" s="374">
        <f>-785-S342</f>
        <v>-783</v>
      </c>
      <c r="U342" s="374">
        <f>-874-T342-S342</f>
        <v>-89</v>
      </c>
      <c r="V342" s="374">
        <f t="shared" si="222"/>
        <v>45.004421134344966</v>
      </c>
      <c r="W342" s="375">
        <f t="shared" si="223"/>
        <v>-828.99557886565503</v>
      </c>
      <c r="X342" s="374">
        <f>X272-V272</f>
        <v>85.678359755371275</v>
      </c>
      <c r="Y342" s="374">
        <f t="shared" si="224"/>
        <v>-109.98958644811057</v>
      </c>
      <c r="Z342" s="374">
        <f t="shared" si="224"/>
        <v>77.56551869794373</v>
      </c>
      <c r="AA342" s="374">
        <f t="shared" si="224"/>
        <v>39.649118865409491</v>
      </c>
      <c r="AB342" s="375">
        <f t="shared" si="225"/>
        <v>92.903410870613925</v>
      </c>
      <c r="AC342" s="374">
        <f>AC272-AA272</f>
        <v>25.957059331287383</v>
      </c>
      <c r="AD342" s="374">
        <f t="shared" si="226"/>
        <v>7.4250475497474326</v>
      </c>
      <c r="AE342" s="374">
        <f t="shared" si="226"/>
        <v>26.905268629795728</v>
      </c>
      <c r="AF342" s="374">
        <f t="shared" si="226"/>
        <v>36.916377521906952</v>
      </c>
      <c r="AG342" s="375">
        <f t="shared" si="227"/>
        <v>97.203753032737495</v>
      </c>
      <c r="AH342" s="374">
        <f>AH272-AF272</f>
        <v>14.89837609537949</v>
      </c>
      <c r="AI342" s="374">
        <f t="shared" si="228"/>
        <v>13.364865390909472</v>
      </c>
      <c r="AJ342" s="374">
        <f t="shared" si="228"/>
        <v>6.5154903491975347</v>
      </c>
      <c r="AK342" s="374">
        <f t="shared" si="228"/>
        <v>28.911064803850195</v>
      </c>
      <c r="AL342" s="375">
        <f t="shared" si="229"/>
        <v>63.689796639336691</v>
      </c>
      <c r="AM342" s="374">
        <f>AM272-AK272</f>
        <v>14.671811739877285</v>
      </c>
      <c r="AN342" s="374">
        <f t="shared" si="230"/>
        <v>12.768222165700081</v>
      </c>
      <c r="AO342" s="374">
        <f t="shared" si="230"/>
        <v>2.6653215617079695</v>
      </c>
      <c r="AP342" s="374">
        <f t="shared" si="230"/>
        <v>27.006803114072909</v>
      </c>
      <c r="AQ342" s="375">
        <f t="shared" si="231"/>
        <v>57.112158581358244</v>
      </c>
    </row>
    <row r="343" spans="2:43" outlineLevel="1" x14ac:dyDescent="0.25">
      <c r="B343" s="717" t="s">
        <v>239</v>
      </c>
      <c r="C343" s="718"/>
      <c r="D343" s="374">
        <v>0</v>
      </c>
      <c r="E343" s="374">
        <f>1238-D343</f>
        <v>1238</v>
      </c>
      <c r="F343" s="374">
        <f>1238-E343-D343</f>
        <v>0</v>
      </c>
      <c r="G343" s="374">
        <f>6519-F343-E343-D343</f>
        <v>5281</v>
      </c>
      <c r="H343" s="375">
        <f t="shared" si="219"/>
        <v>6519</v>
      </c>
      <c r="I343" s="374">
        <v>0</v>
      </c>
      <c r="J343" s="374">
        <f>0-I343</f>
        <v>0</v>
      </c>
      <c r="K343" s="374">
        <f>1190-J343-I343</f>
        <v>1190</v>
      </c>
      <c r="L343" s="374">
        <f>1190-K343-J343-I343</f>
        <v>0</v>
      </c>
      <c r="M343" s="375">
        <f t="shared" si="220"/>
        <v>1190</v>
      </c>
      <c r="N343" s="374">
        <v>0</v>
      </c>
      <c r="O343" s="374">
        <f>0-N343</f>
        <v>0</v>
      </c>
      <c r="P343" s="374">
        <f>1481-O343-N343</f>
        <v>1481</v>
      </c>
      <c r="Q343" s="374">
        <f>1480-P343-O343-N343</f>
        <v>-1</v>
      </c>
      <c r="R343" s="375">
        <f t="shared" si="221"/>
        <v>1480</v>
      </c>
      <c r="S343" s="374">
        <v>0</v>
      </c>
      <c r="T343" s="374">
        <f>1233-S343</f>
        <v>1233</v>
      </c>
      <c r="U343" s="374">
        <f>2463-T343-S343</f>
        <v>1230</v>
      </c>
      <c r="V343" s="374">
        <f>V277-U277</f>
        <v>796.38861571546659</v>
      </c>
      <c r="W343" s="375">
        <f t="shared" si="223"/>
        <v>3259.3886157154666</v>
      </c>
      <c r="X343" s="374">
        <f>X277-V277</f>
        <v>169.09544336534964</v>
      </c>
      <c r="Y343" s="374">
        <f>Y277-X277</f>
        <v>510.69171809749605</v>
      </c>
      <c r="Z343" s="374">
        <f>Z277-Y277</f>
        <v>195.7392863473433</v>
      </c>
      <c r="AA343" s="374">
        <f>AA277-Z277</f>
        <v>681.87310845585671</v>
      </c>
      <c r="AB343" s="375">
        <f t="shared" si="225"/>
        <v>1557.3995562660457</v>
      </c>
      <c r="AC343" s="374">
        <f>AC277-AA277</f>
        <v>435.24100663114586</v>
      </c>
      <c r="AD343" s="374">
        <f>AD277-AC277</f>
        <v>477.86211645833464</v>
      </c>
      <c r="AE343" s="374">
        <f>AE277-AD277</f>
        <v>230.09747127273295</v>
      </c>
      <c r="AF343" s="374">
        <f>AF277-AE277</f>
        <v>669.2136007584777</v>
      </c>
      <c r="AG343" s="375">
        <f t="shared" si="227"/>
        <v>1812.4141951206911</v>
      </c>
      <c r="AH343" s="374">
        <f>AH277-AF277</f>
        <v>289.13352619215948</v>
      </c>
      <c r="AI343" s="374">
        <f>AI277-AH277</f>
        <v>275.13326164795581</v>
      </c>
      <c r="AJ343" s="374">
        <f>AJ277-AI277</f>
        <v>69.651265424134181</v>
      </c>
      <c r="AK343" s="374">
        <f>AK277-AJ277</f>
        <v>521.1523162545127</v>
      </c>
      <c r="AL343" s="375">
        <f t="shared" si="229"/>
        <v>1155.0703695187622</v>
      </c>
      <c r="AM343" s="374">
        <f>AM277-AK277</f>
        <v>267.04070327224326</v>
      </c>
      <c r="AN343" s="374">
        <f>AN277-AM277</f>
        <v>228.45525955735866</v>
      </c>
      <c r="AO343" s="374">
        <f>AO277-AN277</f>
        <v>39.819183570281893</v>
      </c>
      <c r="AP343" s="374">
        <f>AP277-AO277</f>
        <v>481.46276856918848</v>
      </c>
      <c r="AQ343" s="375">
        <f t="shared" si="231"/>
        <v>1016.7779149690723</v>
      </c>
    </row>
    <row r="344" spans="2:43" outlineLevel="1" x14ac:dyDescent="0.25">
      <c r="B344" s="717" t="s">
        <v>240</v>
      </c>
      <c r="C344" s="718"/>
      <c r="D344" s="374">
        <v>46</v>
      </c>
      <c r="E344" s="374">
        <f>62-D344</f>
        <v>16</v>
      </c>
      <c r="F344" s="374">
        <f>79-E344-D344</f>
        <v>17</v>
      </c>
      <c r="G344" s="374">
        <f>183-F344-E344-D344</f>
        <v>104</v>
      </c>
      <c r="H344" s="375">
        <f t="shared" si="219"/>
        <v>183</v>
      </c>
      <c r="I344" s="374">
        <v>40</v>
      </c>
      <c r="J344" s="374">
        <f>164-I344</f>
        <v>124</v>
      </c>
      <c r="K344" s="374">
        <f>265-J344-I344</f>
        <v>101</v>
      </c>
      <c r="L344" s="374">
        <f>337-K344-J344-I344</f>
        <v>72</v>
      </c>
      <c r="M344" s="375">
        <f t="shared" si="220"/>
        <v>337</v>
      </c>
      <c r="N344" s="374">
        <v>150</v>
      </c>
      <c r="O344" s="374">
        <f>205-N344</f>
        <v>55</v>
      </c>
      <c r="P344" s="374">
        <f>284-O344-N344</f>
        <v>79</v>
      </c>
      <c r="Q344" s="374">
        <f>327-P344-O344-N344</f>
        <v>43</v>
      </c>
      <c r="R344" s="375">
        <f t="shared" si="221"/>
        <v>327</v>
      </c>
      <c r="S344" s="374">
        <v>25</v>
      </c>
      <c r="T344" s="374">
        <f>45-S344</f>
        <v>20</v>
      </c>
      <c r="U344" s="374">
        <f>58-T344-S344</f>
        <v>13</v>
      </c>
      <c r="V344" s="242">
        <v>0</v>
      </c>
      <c r="W344" s="375">
        <f t="shared" si="223"/>
        <v>58</v>
      </c>
      <c r="X344" s="242">
        <v>0</v>
      </c>
      <c r="Y344" s="242">
        <v>0</v>
      </c>
      <c r="Z344" s="242">
        <v>0</v>
      </c>
      <c r="AA344" s="242">
        <v>0</v>
      </c>
      <c r="AB344" s="375">
        <f t="shared" si="225"/>
        <v>0</v>
      </c>
      <c r="AC344" s="242">
        <v>0</v>
      </c>
      <c r="AD344" s="242">
        <v>0</v>
      </c>
      <c r="AE344" s="242">
        <v>0</v>
      </c>
      <c r="AF344" s="242">
        <v>0</v>
      </c>
      <c r="AG344" s="375">
        <f t="shared" si="227"/>
        <v>0</v>
      </c>
      <c r="AH344" s="242">
        <v>0</v>
      </c>
      <c r="AI344" s="242">
        <v>0</v>
      </c>
      <c r="AJ344" s="242">
        <v>0</v>
      </c>
      <c r="AK344" s="242">
        <v>0</v>
      </c>
      <c r="AL344" s="375">
        <f t="shared" si="229"/>
        <v>0</v>
      </c>
      <c r="AM344" s="242">
        <v>0</v>
      </c>
      <c r="AN344" s="242">
        <v>0</v>
      </c>
      <c r="AO344" s="242">
        <v>0</v>
      </c>
      <c r="AP344" s="242">
        <v>0</v>
      </c>
      <c r="AQ344" s="375">
        <f t="shared" si="231"/>
        <v>0</v>
      </c>
    </row>
    <row r="345" spans="2:43" outlineLevel="1" x14ac:dyDescent="0.25">
      <c r="B345" s="717" t="s">
        <v>51</v>
      </c>
      <c r="C345" s="718"/>
      <c r="D345" s="374">
        <v>-71</v>
      </c>
      <c r="E345" s="374">
        <f>-141-D345</f>
        <v>-70</v>
      </c>
      <c r="F345" s="374">
        <f>-210-E345-D345</f>
        <v>-69</v>
      </c>
      <c r="G345" s="374">
        <f>-277-F345-E345-D345</f>
        <v>-67</v>
      </c>
      <c r="H345" s="375">
        <f t="shared" si="219"/>
        <v>-277</v>
      </c>
      <c r="I345" s="374">
        <v>-106</v>
      </c>
      <c r="J345" s="374">
        <f>-213-I345</f>
        <v>-107</v>
      </c>
      <c r="K345" s="374">
        <f>-319-J345-I345</f>
        <v>-106</v>
      </c>
      <c r="L345" s="374">
        <f>-426-K345-J345-I345</f>
        <v>-107</v>
      </c>
      <c r="M345" s="375">
        <f t="shared" si="220"/>
        <v>-426</v>
      </c>
      <c r="N345" s="374">
        <v>-134</v>
      </c>
      <c r="O345" s="374">
        <f>-268-N345</f>
        <v>-134</v>
      </c>
      <c r="P345" s="374">
        <f>-402-O345-N345</f>
        <v>-134</v>
      </c>
      <c r="Q345" s="374">
        <f>-535-P345-O345-N345</f>
        <v>-133</v>
      </c>
      <c r="R345" s="375">
        <f t="shared" si="221"/>
        <v>-535</v>
      </c>
      <c r="S345" s="374">
        <v>-173</v>
      </c>
      <c r="T345" s="374">
        <f>-173-S345</f>
        <v>0</v>
      </c>
      <c r="U345" s="374">
        <f>-514-T345-S345</f>
        <v>-341</v>
      </c>
      <c r="V345" s="374">
        <f>-V46*V41</f>
        <v>-168.83933021906441</v>
      </c>
      <c r="W345" s="375">
        <f t="shared" si="223"/>
        <v>-682.83933021906444</v>
      </c>
      <c r="X345" s="374">
        <f>-X46*X41</f>
        <v>-209.26807893801126</v>
      </c>
      <c r="Y345" s="374">
        <f>-Y46*Y41</f>
        <v>-207.55802734678625</v>
      </c>
      <c r="Z345" s="374">
        <f>-Z46*Z41</f>
        <v>-206.15885132463126</v>
      </c>
      <c r="AA345" s="374">
        <f>-AA46*AA41</f>
        <v>-204.69321717551026</v>
      </c>
      <c r="AB345" s="375">
        <f t="shared" si="225"/>
        <v>-827.67817478493907</v>
      </c>
      <c r="AC345" s="374">
        <f>-AC46*AC41</f>
        <v>-253.8878651227333</v>
      </c>
      <c r="AD345" s="374">
        <f>-AD46*AD41</f>
        <v>-251.97432045176794</v>
      </c>
      <c r="AE345" s="374">
        <f>-AE46*AE41</f>
        <v>-250.11750805898279</v>
      </c>
      <c r="AF345" s="374">
        <f>-AF46*AF41</f>
        <v>-248.23298238815011</v>
      </c>
      <c r="AG345" s="375">
        <f t="shared" si="227"/>
        <v>-1004.2126760216343</v>
      </c>
      <c r="AH345" s="374">
        <f>-AH46*AH41</f>
        <v>-296.1443722530492</v>
      </c>
      <c r="AI345" s="374">
        <f>-AI46*AI41</f>
        <v>-294.56845475823832</v>
      </c>
      <c r="AJ345" s="374">
        <f>-AJ46*AJ41</f>
        <v>-293.17137847367411</v>
      </c>
      <c r="AK345" s="374">
        <f>-AK46*AK41</f>
        <v>-291.98065793047834</v>
      </c>
      <c r="AL345" s="375">
        <f t="shared" si="229"/>
        <v>-1175.8648634154401</v>
      </c>
      <c r="AM345" s="374">
        <f>-AM46*AM41</f>
        <v>-334.71480224069245</v>
      </c>
      <c r="AN345" s="374">
        <f>-AN46*AN41</f>
        <v>-333.88365063896686</v>
      </c>
      <c r="AO345" s="374">
        <f>-AO46*AO41</f>
        <v>-333.13219951217241</v>
      </c>
      <c r="AP345" s="374">
        <f>-AP46*AP41</f>
        <v>-332.38347656040929</v>
      </c>
      <c r="AQ345" s="375">
        <f t="shared" si="231"/>
        <v>-1334.1141289522411</v>
      </c>
    </row>
    <row r="346" spans="2:43" outlineLevel="1" x14ac:dyDescent="0.25">
      <c r="B346" s="717" t="s">
        <v>241</v>
      </c>
      <c r="C346" s="718"/>
      <c r="D346" s="374">
        <v>-190</v>
      </c>
      <c r="E346" s="374">
        <f>-1101-D346</f>
        <v>-911</v>
      </c>
      <c r="F346" s="374">
        <f>-2133-E346-D346</f>
        <v>-1032</v>
      </c>
      <c r="G346" s="374">
        <f>-2722-F346-E346-D346</f>
        <v>-589</v>
      </c>
      <c r="H346" s="375">
        <f t="shared" si="219"/>
        <v>-2722</v>
      </c>
      <c r="I346" s="374">
        <v>-222</v>
      </c>
      <c r="J346" s="374">
        <f>-334-I346</f>
        <v>-112</v>
      </c>
      <c r="K346" s="374">
        <f>-358-J346-I346</f>
        <v>-24</v>
      </c>
      <c r="L346" s="374">
        <f>-509-K346-J346-I346</f>
        <v>-151</v>
      </c>
      <c r="M346" s="375">
        <f t="shared" si="220"/>
        <v>-509</v>
      </c>
      <c r="N346" s="374">
        <v>-86</v>
      </c>
      <c r="O346" s="374">
        <f>-270-N346</f>
        <v>-184</v>
      </c>
      <c r="P346" s="374">
        <f>-558-O346-N346</f>
        <v>-288</v>
      </c>
      <c r="Q346" s="374">
        <f>-1017-P346-O346-N346</f>
        <v>-459</v>
      </c>
      <c r="R346" s="375">
        <f t="shared" si="221"/>
        <v>-1017</v>
      </c>
      <c r="S346" s="374">
        <v>-625</v>
      </c>
      <c r="T346" s="374">
        <f>-1271-S346</f>
        <v>-646</v>
      </c>
      <c r="U346" s="374">
        <f>-1365-T346-S346</f>
        <v>-94</v>
      </c>
      <c r="V346" s="374">
        <f>-V236</f>
        <v>0</v>
      </c>
      <c r="W346" s="375">
        <f t="shared" si="223"/>
        <v>-1365</v>
      </c>
      <c r="X346" s="374">
        <f>-X236</f>
        <v>-341.02348749999999</v>
      </c>
      <c r="Y346" s="374">
        <f>-Y236</f>
        <v>-270.12553437500003</v>
      </c>
      <c r="Z346" s="374">
        <f>-Z236</f>
        <v>-176.15691796875001</v>
      </c>
      <c r="AA346" s="374">
        <f>-AA236</f>
        <v>-196.82648496093751</v>
      </c>
      <c r="AB346" s="375">
        <f t="shared" si="225"/>
        <v>-984.1324248046875</v>
      </c>
      <c r="AC346" s="374">
        <f>-AC236</f>
        <v>-246.03310620117188</v>
      </c>
      <c r="AD346" s="374">
        <f>-AD236</f>
        <v>-222.28551087646485</v>
      </c>
      <c r="AE346" s="374">
        <f>-AE236</f>
        <v>-210.32550500183106</v>
      </c>
      <c r="AF346" s="374">
        <f>-AF236</f>
        <v>-218.86765176010132</v>
      </c>
      <c r="AG346" s="375">
        <f t="shared" si="227"/>
        <v>-897.51177383956917</v>
      </c>
      <c r="AH346" s="374">
        <f>-AH236</f>
        <v>-149.37794345989229</v>
      </c>
      <c r="AI346" s="374">
        <f>-AI236</f>
        <v>-125.2141527745724</v>
      </c>
      <c r="AJ346" s="374">
        <f>-AJ236</f>
        <v>-100.94631324909926</v>
      </c>
      <c r="AK346" s="374">
        <f>-AK236</f>
        <v>-73.601515310916312</v>
      </c>
      <c r="AL346" s="375">
        <f t="shared" si="229"/>
        <v>-449.13992479448029</v>
      </c>
      <c r="AM346" s="374">
        <f>-AM236</f>
        <v>-37.284981198620073</v>
      </c>
      <c r="AN346" s="374">
        <f>-AN236</f>
        <v>-9.2617406333020114</v>
      </c>
      <c r="AO346" s="374">
        <f>-AO236</f>
        <v>19.726362402015582</v>
      </c>
      <c r="AP346" s="374">
        <f>-AP236</f>
        <v>49.894531314794293</v>
      </c>
      <c r="AQ346" s="375">
        <f t="shared" si="231"/>
        <v>23.074171884887789</v>
      </c>
    </row>
    <row r="347" spans="2:43" outlineLevel="1" x14ac:dyDescent="0.25">
      <c r="B347" s="178" t="s">
        <v>243</v>
      </c>
      <c r="C347" s="128"/>
      <c r="D347" s="374"/>
      <c r="E347" s="374"/>
      <c r="F347" s="374"/>
      <c r="G347" s="374"/>
      <c r="H347" s="375">
        <f t="shared" si="219"/>
        <v>0</v>
      </c>
      <c r="I347" s="374"/>
      <c r="J347" s="374">
        <f>0-I347</f>
        <v>0</v>
      </c>
      <c r="K347" s="374">
        <f>0-J347-I347</f>
        <v>0</v>
      </c>
      <c r="L347" s="374">
        <f>0-K347-J347-I347</f>
        <v>0</v>
      </c>
      <c r="M347" s="375">
        <f t="shared" si="220"/>
        <v>0</v>
      </c>
      <c r="N347" s="374"/>
      <c r="O347" s="374"/>
      <c r="P347" s="374"/>
      <c r="Q347" s="374">
        <f>0-P347-O347-N347</f>
        <v>0</v>
      </c>
      <c r="R347" s="375">
        <f t="shared" si="221"/>
        <v>0</v>
      </c>
      <c r="S347" s="374">
        <v>0</v>
      </c>
      <c r="T347" s="374">
        <v>0</v>
      </c>
      <c r="U347" s="374">
        <f t="shared" ref="U347" si="232">0-T347-S347</f>
        <v>0</v>
      </c>
      <c r="V347" s="242">
        <v>0</v>
      </c>
      <c r="W347" s="375">
        <f t="shared" si="223"/>
        <v>0</v>
      </c>
      <c r="X347" s="242">
        <v>0</v>
      </c>
      <c r="Y347" s="242">
        <v>0</v>
      </c>
      <c r="Z347" s="242">
        <v>0</v>
      </c>
      <c r="AA347" s="242">
        <v>0</v>
      </c>
      <c r="AB347" s="375">
        <f t="shared" si="225"/>
        <v>0</v>
      </c>
      <c r="AC347" s="242">
        <v>0</v>
      </c>
      <c r="AD347" s="242">
        <v>0</v>
      </c>
      <c r="AE347" s="242">
        <v>0</v>
      </c>
      <c r="AF347" s="242">
        <v>0</v>
      </c>
      <c r="AG347" s="375">
        <f t="shared" si="227"/>
        <v>0</v>
      </c>
      <c r="AH347" s="242">
        <v>0</v>
      </c>
      <c r="AI347" s="242">
        <v>0</v>
      </c>
      <c r="AJ347" s="242">
        <v>0</v>
      </c>
      <c r="AK347" s="242">
        <v>0</v>
      </c>
      <c r="AL347" s="375">
        <f t="shared" si="229"/>
        <v>0</v>
      </c>
      <c r="AM347" s="242">
        <v>0</v>
      </c>
      <c r="AN347" s="242">
        <v>0</v>
      </c>
      <c r="AO347" s="242">
        <v>0</v>
      </c>
      <c r="AP347" s="242">
        <v>0</v>
      </c>
      <c r="AQ347" s="375">
        <f t="shared" si="231"/>
        <v>0</v>
      </c>
    </row>
    <row r="348" spans="2:43" ht="17.25" outlineLevel="1" x14ac:dyDescent="0.4">
      <c r="B348" s="717" t="s">
        <v>233</v>
      </c>
      <c r="C348" s="718"/>
      <c r="D348" s="376">
        <v>6</v>
      </c>
      <c r="E348" s="376">
        <f>-8-D348</f>
        <v>-14</v>
      </c>
      <c r="F348" s="376">
        <f>-16+9-E348-D348</f>
        <v>1</v>
      </c>
      <c r="G348" s="376">
        <f>3-54-F348-E348-D348</f>
        <v>-44</v>
      </c>
      <c r="H348" s="377">
        <f t="shared" si="219"/>
        <v>-51</v>
      </c>
      <c r="I348" s="376">
        <f>-15+2</f>
        <v>-13</v>
      </c>
      <c r="J348" s="376">
        <f>-5-I348</f>
        <v>8</v>
      </c>
      <c r="K348" s="376">
        <f>2-J348-I348</f>
        <v>7</v>
      </c>
      <c r="L348" s="376">
        <f>18-K348-J348-I348</f>
        <v>16</v>
      </c>
      <c r="M348" s="377">
        <f t="shared" si="220"/>
        <v>18</v>
      </c>
      <c r="N348" s="376">
        <v>-6</v>
      </c>
      <c r="O348" s="376">
        <f>3-N348</f>
        <v>9</v>
      </c>
      <c r="P348" s="376">
        <f>6-O348-N348</f>
        <v>3</v>
      </c>
      <c r="Q348" s="376">
        <f>10-P348-O348-N348</f>
        <v>4</v>
      </c>
      <c r="R348" s="377">
        <f t="shared" si="221"/>
        <v>10</v>
      </c>
      <c r="S348" s="376">
        <v>4</v>
      </c>
      <c r="T348" s="376">
        <f>1-S348</f>
        <v>-3</v>
      </c>
      <c r="U348" s="376">
        <f>5-T348-S348</f>
        <v>4</v>
      </c>
      <c r="V348" s="240">
        <v>0</v>
      </c>
      <c r="W348" s="377">
        <f t="shared" si="223"/>
        <v>5</v>
      </c>
      <c r="X348" s="240">
        <v>0</v>
      </c>
      <c r="Y348" s="240">
        <v>0</v>
      </c>
      <c r="Z348" s="240">
        <v>0</v>
      </c>
      <c r="AA348" s="240">
        <v>0</v>
      </c>
      <c r="AB348" s="377">
        <f t="shared" si="225"/>
        <v>0</v>
      </c>
      <c r="AC348" s="240">
        <v>0</v>
      </c>
      <c r="AD348" s="240">
        <v>0</v>
      </c>
      <c r="AE348" s="240">
        <v>0</v>
      </c>
      <c r="AF348" s="240">
        <v>0</v>
      </c>
      <c r="AG348" s="377">
        <f t="shared" si="227"/>
        <v>0</v>
      </c>
      <c r="AH348" s="240">
        <v>0</v>
      </c>
      <c r="AI348" s="240">
        <v>0</v>
      </c>
      <c r="AJ348" s="240">
        <v>0</v>
      </c>
      <c r="AK348" s="240">
        <v>0</v>
      </c>
      <c r="AL348" s="377">
        <f t="shared" si="229"/>
        <v>0</v>
      </c>
      <c r="AM348" s="240">
        <v>0</v>
      </c>
      <c r="AN348" s="240">
        <v>0</v>
      </c>
      <c r="AO348" s="240">
        <v>0</v>
      </c>
      <c r="AP348" s="240">
        <v>0</v>
      </c>
      <c r="AQ348" s="377">
        <f t="shared" si="231"/>
        <v>0</v>
      </c>
    </row>
    <row r="349" spans="2:43" outlineLevel="1" x14ac:dyDescent="0.25">
      <c r="B349" s="715" t="s">
        <v>19</v>
      </c>
      <c r="C349" s="716"/>
      <c r="D349" s="361">
        <f t="shared" ref="D349:AQ349" si="233">SUM(D341:D348)</f>
        <v>-224</v>
      </c>
      <c r="E349" s="361">
        <f t="shared" si="233"/>
        <v>257</v>
      </c>
      <c r="F349" s="361">
        <f t="shared" si="233"/>
        <v>-1094</v>
      </c>
      <c r="G349" s="361">
        <f t="shared" si="233"/>
        <v>4672</v>
      </c>
      <c r="H349" s="362">
        <f t="shared" si="233"/>
        <v>3611</v>
      </c>
      <c r="I349" s="361">
        <f t="shared" si="233"/>
        <v>-313</v>
      </c>
      <c r="J349" s="361">
        <f t="shared" si="233"/>
        <v>-118</v>
      </c>
      <c r="K349" s="361">
        <f t="shared" si="233"/>
        <v>1162</v>
      </c>
      <c r="L349" s="361">
        <f t="shared" si="233"/>
        <v>-203</v>
      </c>
      <c r="M349" s="362">
        <f t="shared" si="233"/>
        <v>528</v>
      </c>
      <c r="N349" s="361">
        <f t="shared" si="233"/>
        <v>-88</v>
      </c>
      <c r="O349" s="361">
        <f t="shared" si="233"/>
        <v>-20</v>
      </c>
      <c r="P349" s="361">
        <f t="shared" si="233"/>
        <v>1685</v>
      </c>
      <c r="Q349" s="361">
        <f t="shared" si="233"/>
        <v>-1350</v>
      </c>
      <c r="R349" s="362">
        <f t="shared" si="233"/>
        <v>227</v>
      </c>
      <c r="S349" s="361">
        <f t="shared" si="233"/>
        <v>-472</v>
      </c>
      <c r="T349" s="361">
        <f t="shared" si="233"/>
        <v>-230</v>
      </c>
      <c r="U349" s="361">
        <f t="shared" si="233"/>
        <v>695</v>
      </c>
      <c r="V349" s="361">
        <f t="shared" si="233"/>
        <v>682.96068993519486</v>
      </c>
      <c r="W349" s="362">
        <f t="shared" si="233"/>
        <v>675.96068993519475</v>
      </c>
      <c r="X349" s="361">
        <f t="shared" si="233"/>
        <v>-254.39171727080318</v>
      </c>
      <c r="Y349" s="361">
        <f t="shared" si="233"/>
        <v>-89.002406324975226</v>
      </c>
      <c r="Z349" s="361">
        <f t="shared" si="233"/>
        <v>-111.49376806911124</v>
      </c>
      <c r="AA349" s="361">
        <f t="shared" si="233"/>
        <v>333.39794379281375</v>
      </c>
      <c r="AB349" s="362">
        <f t="shared" si="233"/>
        <v>-121.48994787207596</v>
      </c>
      <c r="AC349" s="361">
        <f t="shared" si="233"/>
        <v>-27.564748439516165</v>
      </c>
      <c r="AD349" s="361">
        <f t="shared" si="233"/>
        <v>13.371050904358071</v>
      </c>
      <c r="AE349" s="361">
        <f t="shared" si="233"/>
        <v>-200.42899376651437</v>
      </c>
      <c r="AF349" s="361">
        <f t="shared" si="233"/>
        <v>249.64584645305851</v>
      </c>
      <c r="AG349" s="362">
        <f t="shared" si="233"/>
        <v>35.023155151385822</v>
      </c>
      <c r="AH349" s="361">
        <f t="shared" si="233"/>
        <v>-136.98810984032852</v>
      </c>
      <c r="AI349" s="361">
        <f t="shared" si="233"/>
        <v>-128.24539344639797</v>
      </c>
      <c r="AJ349" s="361">
        <f t="shared" si="233"/>
        <v>-316.8348033037912</v>
      </c>
      <c r="AK349" s="361">
        <f t="shared" si="233"/>
        <v>192.0799471415144</v>
      </c>
      <c r="AL349" s="362">
        <f t="shared" si="233"/>
        <v>-389.98835944900361</v>
      </c>
      <c r="AM349" s="361">
        <f t="shared" si="233"/>
        <v>-86.531881034050343</v>
      </c>
      <c r="AN349" s="361">
        <f t="shared" si="233"/>
        <v>-98.827577737678396</v>
      </c>
      <c r="AO349" s="361">
        <f t="shared" si="233"/>
        <v>-270.30403647209852</v>
      </c>
      <c r="AP349" s="361">
        <f t="shared" si="233"/>
        <v>232.82258342403384</v>
      </c>
      <c r="AQ349" s="362">
        <f t="shared" si="233"/>
        <v>-222.84091181979358</v>
      </c>
    </row>
    <row r="350" spans="2:43" outlineLevel="1" x14ac:dyDescent="0.25">
      <c r="B350" s="297" t="s">
        <v>242</v>
      </c>
      <c r="C350" s="298"/>
      <c r="D350" s="276">
        <v>-38</v>
      </c>
      <c r="E350" s="276">
        <f>-53-D350</f>
        <v>-15</v>
      </c>
      <c r="F350" s="276">
        <f>-78-E350-D350</f>
        <v>-25</v>
      </c>
      <c r="G350" s="276">
        <f>-102-F350-E350-D350</f>
        <v>-24</v>
      </c>
      <c r="H350" s="397">
        <f>SUM(D350:G350)</f>
        <v>-102</v>
      </c>
      <c r="I350" s="276">
        <v>3</v>
      </c>
      <c r="J350" s="276">
        <f>-98-I350</f>
        <v>-101</v>
      </c>
      <c r="K350" s="276">
        <f>-70-J350-I350</f>
        <v>28</v>
      </c>
      <c r="L350" s="276">
        <f>-42-K350-J350-I350</f>
        <v>28</v>
      </c>
      <c r="M350" s="397">
        <f>SUM(I350:L350)</f>
        <v>-42</v>
      </c>
      <c r="N350" s="276">
        <v>70</v>
      </c>
      <c r="O350" s="276">
        <f>62-N350</f>
        <v>-8</v>
      </c>
      <c r="P350" s="276">
        <f>98-O350-N350</f>
        <v>36</v>
      </c>
      <c r="Q350" s="276">
        <f>72-P350-O350-N350</f>
        <v>-26</v>
      </c>
      <c r="R350" s="370">
        <f>SUM(N350:Q350)</f>
        <v>72</v>
      </c>
      <c r="S350" s="369">
        <v>-24</v>
      </c>
      <c r="T350" s="369">
        <f>-38-S350</f>
        <v>-14</v>
      </c>
      <c r="U350" s="369">
        <f>-14-T350-S350</f>
        <v>24</v>
      </c>
      <c r="V350" s="399">
        <v>0</v>
      </c>
      <c r="W350" s="397">
        <f>SUM(S350:V350)</f>
        <v>-14</v>
      </c>
      <c r="X350" s="399">
        <v>0</v>
      </c>
      <c r="Y350" s="399">
        <v>0</v>
      </c>
      <c r="Z350" s="399">
        <v>0</v>
      </c>
      <c r="AA350" s="399">
        <v>0</v>
      </c>
      <c r="AB350" s="397">
        <f>SUM(X350:AA350)</f>
        <v>0</v>
      </c>
      <c r="AC350" s="399">
        <v>0</v>
      </c>
      <c r="AD350" s="399">
        <v>0</v>
      </c>
      <c r="AE350" s="399">
        <v>0</v>
      </c>
      <c r="AF350" s="399">
        <v>0</v>
      </c>
      <c r="AG350" s="397">
        <f>SUM(AC350:AF350)</f>
        <v>0</v>
      </c>
      <c r="AH350" s="399">
        <v>0</v>
      </c>
      <c r="AI350" s="399">
        <v>0</v>
      </c>
      <c r="AJ350" s="399">
        <v>0</v>
      </c>
      <c r="AK350" s="399">
        <v>0</v>
      </c>
      <c r="AL350" s="397">
        <f>SUM(AH350:AK350)</f>
        <v>0</v>
      </c>
      <c r="AM350" s="399">
        <v>0</v>
      </c>
      <c r="AN350" s="399">
        <v>0</v>
      </c>
      <c r="AO350" s="399">
        <v>0</v>
      </c>
      <c r="AP350" s="399">
        <v>0</v>
      </c>
      <c r="AQ350" s="397">
        <f>SUM(AM350:AP350)</f>
        <v>0</v>
      </c>
    </row>
    <row r="351" spans="2:43" outlineLevel="1" x14ac:dyDescent="0.25">
      <c r="B351" s="723" t="s">
        <v>20</v>
      </c>
      <c r="C351" s="724"/>
      <c r="D351" s="93">
        <f t="shared" ref="D351:AQ351" si="234">D349+D339+D334+D350</f>
        <v>-220</v>
      </c>
      <c r="E351" s="93">
        <f t="shared" si="234"/>
        <v>104</v>
      </c>
      <c r="F351" s="93">
        <f t="shared" si="234"/>
        <v>-806</v>
      </c>
      <c r="G351" s="93">
        <f t="shared" si="234"/>
        <v>693</v>
      </c>
      <c r="H351" s="94">
        <f t="shared" si="234"/>
        <v>-229</v>
      </c>
      <c r="I351" s="93">
        <f t="shared" si="234"/>
        <v>-545</v>
      </c>
      <c r="J351" s="93">
        <f t="shared" si="234"/>
        <v>70</v>
      </c>
      <c r="K351" s="93">
        <f t="shared" si="234"/>
        <v>114</v>
      </c>
      <c r="L351" s="93">
        <f t="shared" si="234"/>
        <v>796</v>
      </c>
      <c r="M351" s="94">
        <f t="shared" si="234"/>
        <v>435</v>
      </c>
      <c r="N351" s="93">
        <f t="shared" si="234"/>
        <v>-466</v>
      </c>
      <c r="O351" s="93">
        <f t="shared" si="234"/>
        <v>-735</v>
      </c>
      <c r="P351" s="93">
        <f t="shared" si="234"/>
        <v>21</v>
      </c>
      <c r="Q351" s="93">
        <f t="shared" si="234"/>
        <v>476.12578599999688</v>
      </c>
      <c r="R351" s="94">
        <f t="shared" si="234"/>
        <v>-703.87421400000312</v>
      </c>
      <c r="S351" s="100">
        <f t="shared" si="234"/>
        <v>-896</v>
      </c>
      <c r="T351" s="93">
        <f t="shared" si="234"/>
        <v>-246</v>
      </c>
      <c r="U351" s="93">
        <f t="shared" si="234"/>
        <v>749</v>
      </c>
      <c r="V351" s="93">
        <f t="shared" si="234"/>
        <v>1222.5113531554102</v>
      </c>
      <c r="W351" s="94">
        <f t="shared" si="234"/>
        <v>829.51135315540159</v>
      </c>
      <c r="X351" s="93">
        <f t="shared" si="234"/>
        <v>-167.71223761278134</v>
      </c>
      <c r="Y351" s="93">
        <f t="shared" si="234"/>
        <v>270.29463557259464</v>
      </c>
      <c r="Z351" s="93">
        <f t="shared" si="234"/>
        <v>170.70061906647834</v>
      </c>
      <c r="AA351" s="93">
        <f t="shared" si="234"/>
        <v>1955.2890716938819</v>
      </c>
      <c r="AB351" s="94">
        <f t="shared" si="234"/>
        <v>2228.5720887201696</v>
      </c>
      <c r="AC351" s="93">
        <f t="shared" si="234"/>
        <v>-186.16754629434445</v>
      </c>
      <c r="AD351" s="93">
        <f t="shared" si="234"/>
        <v>866.70193678886017</v>
      </c>
      <c r="AE351" s="93">
        <f t="shared" si="234"/>
        <v>-242.89405463922026</v>
      </c>
      <c r="AF351" s="93">
        <f t="shared" si="234"/>
        <v>2351.7940187645936</v>
      </c>
      <c r="AG351" s="94">
        <f t="shared" si="234"/>
        <v>2789.434354619907</v>
      </c>
      <c r="AH351" s="93">
        <f t="shared" si="234"/>
        <v>-637.56322522662845</v>
      </c>
      <c r="AI351" s="93">
        <f t="shared" si="234"/>
        <v>1023.3048678944767</v>
      </c>
      <c r="AJ351" s="93">
        <f t="shared" si="234"/>
        <v>-743.66825721376017</v>
      </c>
      <c r="AK351" s="93">
        <f t="shared" si="234"/>
        <v>2644.9306519686643</v>
      </c>
      <c r="AL351" s="94">
        <f t="shared" si="234"/>
        <v>2287.004037422761</v>
      </c>
      <c r="AM351" s="93">
        <f t="shared" si="234"/>
        <v>-989.67773164369851</v>
      </c>
      <c r="AN351" s="93">
        <f t="shared" si="234"/>
        <v>1456.3956066706219</v>
      </c>
      <c r="AO351" s="93">
        <f t="shared" si="234"/>
        <v>-1133.5512860130843</v>
      </c>
      <c r="AP351" s="93">
        <f t="shared" si="234"/>
        <v>3132.9527511890983</v>
      </c>
      <c r="AQ351" s="94">
        <f t="shared" si="234"/>
        <v>2466.1193402029485</v>
      </c>
    </row>
    <row r="352" spans="2:43" ht="17.25" outlineLevel="1" x14ac:dyDescent="0.4">
      <c r="B352" s="723" t="s">
        <v>21</v>
      </c>
      <c r="C352" s="724"/>
      <c r="D352" s="98">
        <v>3763</v>
      </c>
      <c r="E352" s="98">
        <f>D353</f>
        <v>3543</v>
      </c>
      <c r="F352" s="98">
        <f>E353</f>
        <v>3647</v>
      </c>
      <c r="G352" s="98">
        <f>F353</f>
        <v>2841</v>
      </c>
      <c r="H352" s="99">
        <v>3763</v>
      </c>
      <c r="I352" s="98">
        <f>H353</f>
        <v>3534</v>
      </c>
      <c r="J352" s="98">
        <f>I353</f>
        <v>2989</v>
      </c>
      <c r="K352" s="98">
        <f>J353</f>
        <v>3059</v>
      </c>
      <c r="L352" s="98">
        <f>K353</f>
        <v>3173</v>
      </c>
      <c r="M352" s="99">
        <f>H353</f>
        <v>3534</v>
      </c>
      <c r="N352" s="98">
        <f>M353</f>
        <v>3969</v>
      </c>
      <c r="O352" s="98">
        <f>N353</f>
        <v>3503</v>
      </c>
      <c r="P352" s="98">
        <f>O353</f>
        <v>2768</v>
      </c>
      <c r="Q352" s="98">
        <f>P353</f>
        <v>2789</v>
      </c>
      <c r="R352" s="99">
        <f>M353</f>
        <v>3969</v>
      </c>
      <c r="S352" s="101">
        <f>R353</f>
        <v>3265.1257859999969</v>
      </c>
      <c r="T352" s="98">
        <f>S353</f>
        <v>2369.1257859999969</v>
      </c>
      <c r="U352" s="98">
        <f>T353</f>
        <v>2123.1257859999969</v>
      </c>
      <c r="V352" s="98">
        <f>U353</f>
        <v>2872.1257859999969</v>
      </c>
      <c r="W352" s="99">
        <f>R353</f>
        <v>3265.1257859999969</v>
      </c>
      <c r="X352" s="98">
        <f>W353</f>
        <v>4094.6371391553985</v>
      </c>
      <c r="Y352" s="98">
        <f>X353</f>
        <v>3926.9249015426171</v>
      </c>
      <c r="Z352" s="98">
        <f>Y353</f>
        <v>4197.219537115212</v>
      </c>
      <c r="AA352" s="98">
        <f>Z353</f>
        <v>4367.9201561816899</v>
      </c>
      <c r="AB352" s="99">
        <f>W353</f>
        <v>4094.6371391553985</v>
      </c>
      <c r="AC352" s="98">
        <f>AB353</f>
        <v>6323.2092278755681</v>
      </c>
      <c r="AD352" s="98">
        <f>AC353</f>
        <v>6137.0416815812241</v>
      </c>
      <c r="AE352" s="98">
        <f>AD353</f>
        <v>7003.7436183700847</v>
      </c>
      <c r="AF352" s="98">
        <f>AE353</f>
        <v>6760.8495637308642</v>
      </c>
      <c r="AG352" s="99">
        <f>AB353</f>
        <v>6323.2092278755681</v>
      </c>
      <c r="AH352" s="98">
        <f>AG353</f>
        <v>9112.6435824954751</v>
      </c>
      <c r="AI352" s="98">
        <f>AH353</f>
        <v>8475.0803572688474</v>
      </c>
      <c r="AJ352" s="98">
        <f>AI353</f>
        <v>9498.3852251633234</v>
      </c>
      <c r="AK352" s="98">
        <f>AJ353</f>
        <v>8754.7169679495637</v>
      </c>
      <c r="AL352" s="99">
        <f>AG353</f>
        <v>9112.6435824954751</v>
      </c>
      <c r="AM352" s="98">
        <f>AL353</f>
        <v>11399.647619918236</v>
      </c>
      <c r="AN352" s="98">
        <f>AM353</f>
        <v>10409.969888274538</v>
      </c>
      <c r="AO352" s="98">
        <f>AN353</f>
        <v>11866.365494945159</v>
      </c>
      <c r="AP352" s="98">
        <f>AO353</f>
        <v>10732.814208932075</v>
      </c>
      <c r="AQ352" s="99">
        <f>AL353</f>
        <v>11399.647619918236</v>
      </c>
    </row>
    <row r="353" spans="2:44" outlineLevel="1" x14ac:dyDescent="0.25">
      <c r="B353" s="757" t="s">
        <v>22</v>
      </c>
      <c r="C353" s="758"/>
      <c r="D353" s="107">
        <f>D352+D351</f>
        <v>3543</v>
      </c>
      <c r="E353" s="107">
        <f>E352+E351</f>
        <v>3647</v>
      </c>
      <c r="F353" s="107">
        <f>F352+F351</f>
        <v>2841</v>
      </c>
      <c r="G353" s="107">
        <f>G352+G351</f>
        <v>3534</v>
      </c>
      <c r="H353" s="108">
        <f>G353</f>
        <v>3534</v>
      </c>
      <c r="I353" s="107">
        <f t="shared" ref="I353:AQ353" si="235">I352+I351</f>
        <v>2989</v>
      </c>
      <c r="J353" s="107">
        <f t="shared" si="235"/>
        <v>3059</v>
      </c>
      <c r="K353" s="107">
        <f t="shared" si="235"/>
        <v>3173</v>
      </c>
      <c r="L353" s="107">
        <f t="shared" si="235"/>
        <v>3969</v>
      </c>
      <c r="M353" s="108">
        <f t="shared" si="235"/>
        <v>3969</v>
      </c>
      <c r="N353" s="107">
        <f t="shared" si="235"/>
        <v>3503</v>
      </c>
      <c r="O353" s="107">
        <f t="shared" si="235"/>
        <v>2768</v>
      </c>
      <c r="P353" s="107">
        <f t="shared" si="235"/>
        <v>2789</v>
      </c>
      <c r="Q353" s="107">
        <f t="shared" si="235"/>
        <v>3265.1257859999969</v>
      </c>
      <c r="R353" s="108">
        <f t="shared" si="235"/>
        <v>3265.1257859999969</v>
      </c>
      <c r="S353" s="109">
        <f t="shared" si="235"/>
        <v>2369.1257859999969</v>
      </c>
      <c r="T353" s="107">
        <f t="shared" si="235"/>
        <v>2123.1257859999969</v>
      </c>
      <c r="U353" s="107">
        <f t="shared" si="235"/>
        <v>2872.1257859999969</v>
      </c>
      <c r="V353" s="107">
        <f t="shared" si="235"/>
        <v>4094.6371391554071</v>
      </c>
      <c r="W353" s="108">
        <f t="shared" si="235"/>
        <v>4094.6371391553985</v>
      </c>
      <c r="X353" s="107">
        <f t="shared" si="235"/>
        <v>3926.9249015426171</v>
      </c>
      <c r="Y353" s="107">
        <f t="shared" si="235"/>
        <v>4197.219537115212</v>
      </c>
      <c r="Z353" s="107">
        <f t="shared" si="235"/>
        <v>4367.9201561816899</v>
      </c>
      <c r="AA353" s="107">
        <f t="shared" si="235"/>
        <v>6323.2092278755717</v>
      </c>
      <c r="AB353" s="108">
        <f t="shared" si="235"/>
        <v>6323.2092278755681</v>
      </c>
      <c r="AC353" s="107">
        <f t="shared" si="235"/>
        <v>6137.0416815812241</v>
      </c>
      <c r="AD353" s="107">
        <f t="shared" si="235"/>
        <v>7003.7436183700847</v>
      </c>
      <c r="AE353" s="107">
        <f t="shared" si="235"/>
        <v>6760.8495637308642</v>
      </c>
      <c r="AF353" s="107">
        <f t="shared" si="235"/>
        <v>9112.6435824954569</v>
      </c>
      <c r="AG353" s="108">
        <f t="shared" si="235"/>
        <v>9112.6435824954751</v>
      </c>
      <c r="AH353" s="107">
        <f t="shared" si="235"/>
        <v>8475.0803572688474</v>
      </c>
      <c r="AI353" s="107">
        <f t="shared" si="235"/>
        <v>9498.3852251633234</v>
      </c>
      <c r="AJ353" s="107">
        <f t="shared" si="235"/>
        <v>8754.7169679495637</v>
      </c>
      <c r="AK353" s="107">
        <f t="shared" si="235"/>
        <v>11399.647619918229</v>
      </c>
      <c r="AL353" s="108">
        <f t="shared" si="235"/>
        <v>11399.647619918236</v>
      </c>
      <c r="AM353" s="107">
        <f t="shared" si="235"/>
        <v>10409.969888274538</v>
      </c>
      <c r="AN353" s="107">
        <f t="shared" si="235"/>
        <v>11866.365494945159</v>
      </c>
      <c r="AO353" s="107">
        <f t="shared" si="235"/>
        <v>10732.814208932075</v>
      </c>
      <c r="AP353" s="107">
        <f t="shared" si="235"/>
        <v>13865.766960121175</v>
      </c>
      <c r="AQ353" s="108">
        <f t="shared" si="235"/>
        <v>13865.766960121186</v>
      </c>
    </row>
    <row r="354" spans="2:44" s="111" customFormat="1" outlineLevel="1" x14ac:dyDescent="0.25">
      <c r="B354" s="776" t="s">
        <v>342</v>
      </c>
      <c r="C354" s="777"/>
      <c r="D354" s="371"/>
      <c r="E354" s="371"/>
      <c r="F354" s="371"/>
      <c r="G354" s="371"/>
      <c r="H354" s="372">
        <f>H334-(-H336)+((-H29)*(1-$C$395))</f>
        <v>1142</v>
      </c>
      <c r="I354" s="371"/>
      <c r="J354" s="371"/>
      <c r="K354" s="371"/>
      <c r="L354" s="371"/>
      <c r="M354" s="372">
        <f>M334-(-M336)+((-M29)*(1-$C$395))</f>
        <v>198</v>
      </c>
      <c r="N354" s="371"/>
      <c r="O354" s="371"/>
      <c r="P354" s="371"/>
      <c r="Q354" s="371"/>
      <c r="R354" s="372">
        <f>R334-(-R336)+((-R29)*(1-$C$395))</f>
        <v>-570.37421400000312</v>
      </c>
      <c r="S354" s="371"/>
      <c r="T354" s="371"/>
      <c r="U354" s="371"/>
      <c r="V354" s="371"/>
      <c r="W354" s="372">
        <f>W334-(-W336)+((-W29)*(1-$C$395))</f>
        <v>633.42513629271264</v>
      </c>
      <c r="X354" s="371"/>
      <c r="Y354" s="371"/>
      <c r="Z354" s="371"/>
      <c r="AA354" s="371"/>
      <c r="AB354" s="372">
        <f>AB334-(-AB336)+((-AB29)*(1-$C$395))</f>
        <v>2987.9658926718625</v>
      </c>
      <c r="AC354" s="371"/>
      <c r="AD354" s="371"/>
      <c r="AE354" s="371"/>
      <c r="AF354" s="371"/>
      <c r="AG354" s="372">
        <f>AG334-(-AG336)+((-AG29)*(1-$C$395))</f>
        <v>3442.2566821621749</v>
      </c>
      <c r="AH354" s="371"/>
      <c r="AI354" s="371"/>
      <c r="AJ354" s="371"/>
      <c r="AK354" s="371"/>
      <c r="AL354" s="372">
        <f>AL334-(-AL336)+((-AL29)*(1-$C$395))</f>
        <v>3409.8133859023674</v>
      </c>
      <c r="AM354" s="371"/>
      <c r="AN354" s="371"/>
      <c r="AO354" s="371"/>
      <c r="AP354" s="371"/>
      <c r="AQ354" s="372">
        <f>AQ334-(-AQ336)+((-AQ29)*(1-$C$395))</f>
        <v>3454.6006094270006</v>
      </c>
      <c r="AR354" s="504"/>
    </row>
    <row r="355" spans="2:44" s="111" customFormat="1" outlineLevel="1" x14ac:dyDescent="0.25">
      <c r="B355" s="178" t="s">
        <v>61</v>
      </c>
      <c r="C355" s="128"/>
      <c r="D355" s="374"/>
      <c r="E355" s="374"/>
      <c r="F355" s="374"/>
      <c r="G355" s="374"/>
      <c r="H355" s="375">
        <v>0</v>
      </c>
      <c r="I355" s="374"/>
      <c r="J355" s="374"/>
      <c r="K355" s="374"/>
      <c r="L355" s="374"/>
      <c r="M355" s="375">
        <v>0</v>
      </c>
      <c r="N355" s="374"/>
      <c r="O355" s="374"/>
      <c r="P355" s="374"/>
      <c r="Q355" s="374"/>
      <c r="R355" s="375">
        <v>0</v>
      </c>
      <c r="S355" s="374"/>
      <c r="T355" s="374"/>
      <c r="U355" s="374"/>
      <c r="V355" s="374"/>
      <c r="W355" s="375">
        <f>R355+1</f>
        <v>1</v>
      </c>
      <c r="X355" s="374"/>
      <c r="Y355" s="374"/>
      <c r="Z355" s="374"/>
      <c r="AA355" s="374"/>
      <c r="AB355" s="375">
        <f>W355+1</f>
        <v>2</v>
      </c>
      <c r="AC355" s="374"/>
      <c r="AD355" s="374"/>
      <c r="AE355" s="374"/>
      <c r="AF355" s="374"/>
      <c r="AG355" s="375">
        <f>AB355+1</f>
        <v>3</v>
      </c>
      <c r="AH355" s="374"/>
      <c r="AI355" s="374"/>
      <c r="AJ355" s="374"/>
      <c r="AK355" s="374"/>
      <c r="AL355" s="375">
        <f>AG355+1</f>
        <v>4</v>
      </c>
      <c r="AM355" s="374"/>
      <c r="AN355" s="374"/>
      <c r="AO355" s="374"/>
      <c r="AP355" s="374"/>
      <c r="AQ355" s="375">
        <f>AL355+1</f>
        <v>5</v>
      </c>
    </row>
    <row r="356" spans="2:44" s="111" customFormat="1" outlineLevel="1" x14ac:dyDescent="0.25">
      <c r="B356" s="745" t="s">
        <v>31</v>
      </c>
      <c r="C356" s="746"/>
      <c r="D356" s="382"/>
      <c r="E356" s="382"/>
      <c r="F356" s="382"/>
      <c r="G356" s="382"/>
      <c r="H356" s="383">
        <f>H354/(1+$C$397)^H355</f>
        <v>1142</v>
      </c>
      <c r="I356" s="382"/>
      <c r="J356" s="382"/>
      <c r="K356" s="382"/>
      <c r="L356" s="382"/>
      <c r="M356" s="383">
        <f>M354/(1+$C$397)^M355</f>
        <v>198</v>
      </c>
      <c r="N356" s="382"/>
      <c r="O356" s="382"/>
      <c r="P356" s="382"/>
      <c r="Q356" s="382"/>
      <c r="R356" s="383">
        <f>R354/(1+$C$397)^R355</f>
        <v>-570.37421400000312</v>
      </c>
      <c r="S356" s="382"/>
      <c r="T356" s="382"/>
      <c r="U356" s="382"/>
      <c r="V356" s="382"/>
      <c r="W356" s="383">
        <f>W354/(1+$C$397)^W355</f>
        <v>577.68838992967642</v>
      </c>
      <c r="X356" s="382"/>
      <c r="Y356" s="382"/>
      <c r="Z356" s="382"/>
      <c r="AA356" s="382"/>
      <c r="AB356" s="383">
        <f>AB354/(1+$C$397)^AB355</f>
        <v>2485.2628471246321</v>
      </c>
      <c r="AC356" s="382"/>
      <c r="AD356" s="382"/>
      <c r="AE356" s="382"/>
      <c r="AF356" s="382"/>
      <c r="AG356" s="383">
        <f>AG354/(1+$C$397)^AG355</f>
        <v>2611.1888901126636</v>
      </c>
      <c r="AH356" s="382"/>
      <c r="AI356" s="382"/>
      <c r="AJ356" s="382"/>
      <c r="AK356" s="382"/>
      <c r="AL356" s="383">
        <f>AL354/(1+$C$397)^AL355</f>
        <v>2358.9785658651899</v>
      </c>
      <c r="AM356" s="382"/>
      <c r="AN356" s="382"/>
      <c r="AO356" s="382"/>
      <c r="AP356" s="382"/>
      <c r="AQ356" s="383">
        <f>AQ354/(1+$C$397)^AQ355</f>
        <v>2179.6641171083406</v>
      </c>
    </row>
    <row r="357" spans="2:44" outlineLevel="1" x14ac:dyDescent="0.25">
      <c r="B357" s="255" t="s">
        <v>81</v>
      </c>
      <c r="C357" s="312"/>
      <c r="D357" s="276"/>
      <c r="E357" s="73"/>
      <c r="F357" s="73"/>
      <c r="G357" s="73"/>
      <c r="H357" s="74"/>
      <c r="I357" s="73"/>
      <c r="J357" s="73"/>
      <c r="K357" s="73"/>
      <c r="L357" s="73"/>
      <c r="M357" s="74"/>
      <c r="N357" s="73"/>
      <c r="O357" s="73"/>
      <c r="P357" s="73"/>
      <c r="Q357" s="73"/>
      <c r="R357" s="74"/>
      <c r="S357" s="73"/>
      <c r="T357" s="73"/>
      <c r="U357" s="73"/>
      <c r="V357" s="73"/>
      <c r="W357" s="74"/>
      <c r="X357" s="73"/>
      <c r="Y357" s="73"/>
      <c r="Z357" s="73"/>
      <c r="AA357" s="73"/>
      <c r="AB357" s="74"/>
      <c r="AC357" s="73"/>
      <c r="AD357" s="73"/>
      <c r="AE357" s="73"/>
      <c r="AF357" s="73"/>
      <c r="AG357" s="74"/>
      <c r="AH357" s="73"/>
      <c r="AI357" s="73"/>
      <c r="AJ357" s="73"/>
      <c r="AK357" s="73"/>
      <c r="AL357" s="74"/>
      <c r="AM357" s="73"/>
      <c r="AN357" s="73"/>
      <c r="AO357" s="73"/>
      <c r="AP357" s="73"/>
      <c r="AQ357" s="74"/>
    </row>
    <row r="358" spans="2:44" outlineLevel="1" x14ac:dyDescent="0.25">
      <c r="B358" s="284" t="s">
        <v>344</v>
      </c>
      <c r="C358" s="285"/>
      <c r="D358" s="93">
        <f t="shared" ref="D358:AQ358" si="236">+D258</f>
        <v>3543</v>
      </c>
      <c r="E358" s="93">
        <f t="shared" si="236"/>
        <v>3647</v>
      </c>
      <c r="F358" s="93">
        <f t="shared" si="236"/>
        <v>2841</v>
      </c>
      <c r="G358" s="93">
        <f t="shared" si="236"/>
        <v>3534</v>
      </c>
      <c r="H358" s="94">
        <f t="shared" si="236"/>
        <v>3534</v>
      </c>
      <c r="I358" s="93">
        <f t="shared" si="236"/>
        <v>2989</v>
      </c>
      <c r="J358" s="93">
        <f t="shared" si="236"/>
        <v>3059</v>
      </c>
      <c r="K358" s="93">
        <f t="shared" si="236"/>
        <v>3173</v>
      </c>
      <c r="L358" s="93">
        <f t="shared" si="236"/>
        <v>3969</v>
      </c>
      <c r="M358" s="94">
        <f t="shared" si="236"/>
        <v>3969</v>
      </c>
      <c r="N358" s="93">
        <f t="shared" si="236"/>
        <v>3503</v>
      </c>
      <c r="O358" s="93">
        <f t="shared" si="236"/>
        <v>2768</v>
      </c>
      <c r="P358" s="93">
        <f t="shared" si="236"/>
        <v>2789</v>
      </c>
      <c r="Q358" s="93">
        <f t="shared" si="236"/>
        <v>3265.1257859999969</v>
      </c>
      <c r="R358" s="94">
        <f t="shared" si="236"/>
        <v>3265.1257859999969</v>
      </c>
      <c r="S358" s="93">
        <f t="shared" si="236"/>
        <v>2369.1257859999969</v>
      </c>
      <c r="T358" s="93">
        <f t="shared" si="236"/>
        <v>2123.1257859999969</v>
      </c>
      <c r="U358" s="93">
        <f t="shared" si="236"/>
        <v>2872.1257859999969</v>
      </c>
      <c r="V358" s="93">
        <f t="shared" si="236"/>
        <v>4094.6371391554071</v>
      </c>
      <c r="W358" s="94">
        <f t="shared" si="236"/>
        <v>4094.6371391554071</v>
      </c>
      <c r="X358" s="93">
        <f t="shared" si="236"/>
        <v>3926.9249015426171</v>
      </c>
      <c r="Y358" s="93">
        <f t="shared" si="236"/>
        <v>4197.219537115212</v>
      </c>
      <c r="Z358" s="93">
        <f t="shared" si="236"/>
        <v>4367.9201561816899</v>
      </c>
      <c r="AA358" s="93">
        <f t="shared" si="236"/>
        <v>6323.2092278755717</v>
      </c>
      <c r="AB358" s="94">
        <f t="shared" si="236"/>
        <v>6323.2092278755717</v>
      </c>
      <c r="AC358" s="93">
        <f t="shared" si="236"/>
        <v>6137.0416815812241</v>
      </c>
      <c r="AD358" s="93">
        <f t="shared" si="236"/>
        <v>7003.7436183700847</v>
      </c>
      <c r="AE358" s="93">
        <f t="shared" si="236"/>
        <v>6760.8495637308642</v>
      </c>
      <c r="AF358" s="93">
        <f t="shared" si="236"/>
        <v>9112.6435824954569</v>
      </c>
      <c r="AG358" s="94">
        <f t="shared" si="236"/>
        <v>9112.6435824954569</v>
      </c>
      <c r="AH358" s="93">
        <f t="shared" si="236"/>
        <v>8475.0803572688474</v>
      </c>
      <c r="AI358" s="93">
        <f t="shared" si="236"/>
        <v>9498.3852251633234</v>
      </c>
      <c r="AJ358" s="93">
        <f t="shared" si="236"/>
        <v>8754.7169679495637</v>
      </c>
      <c r="AK358" s="93">
        <f t="shared" si="236"/>
        <v>11399.647619918229</v>
      </c>
      <c r="AL358" s="94">
        <f t="shared" si="236"/>
        <v>11399.647619918229</v>
      </c>
      <c r="AM358" s="93">
        <f t="shared" si="236"/>
        <v>10409.969888274538</v>
      </c>
      <c r="AN358" s="93">
        <f t="shared" si="236"/>
        <v>11866.365494945159</v>
      </c>
      <c r="AO358" s="93">
        <f t="shared" si="236"/>
        <v>10732.814208932075</v>
      </c>
      <c r="AP358" s="93">
        <f t="shared" si="236"/>
        <v>13865.766960121175</v>
      </c>
      <c r="AQ358" s="94">
        <f t="shared" si="236"/>
        <v>13865.766960121175</v>
      </c>
    </row>
    <row r="359" spans="2:44" outlineLevel="1" x14ac:dyDescent="0.25">
      <c r="B359" s="284" t="s">
        <v>343</v>
      </c>
      <c r="C359" s="285"/>
      <c r="D359" s="93">
        <f t="shared" ref="D359:AQ359" si="237">-D271-D272-D277</f>
        <v>-7258</v>
      </c>
      <c r="E359" s="93">
        <f t="shared" si="237"/>
        <v>-8495</v>
      </c>
      <c r="F359" s="93">
        <f t="shared" si="237"/>
        <v>-8488</v>
      </c>
      <c r="G359" s="93">
        <f t="shared" si="237"/>
        <v>-13762</v>
      </c>
      <c r="H359" s="94">
        <f t="shared" si="237"/>
        <v>-13762</v>
      </c>
      <c r="I359" s="93">
        <f t="shared" si="237"/>
        <v>-13782</v>
      </c>
      <c r="J359" s="93">
        <f t="shared" si="237"/>
        <v>-13596</v>
      </c>
      <c r="K359" s="93">
        <f t="shared" si="237"/>
        <v>-14758</v>
      </c>
      <c r="L359" s="93">
        <f t="shared" si="237"/>
        <v>-14931</v>
      </c>
      <c r="M359" s="94">
        <f t="shared" si="237"/>
        <v>-14931</v>
      </c>
      <c r="N359" s="93">
        <f t="shared" si="237"/>
        <v>-15156</v>
      </c>
      <c r="O359" s="93">
        <f t="shared" si="237"/>
        <v>-15441</v>
      </c>
      <c r="P359" s="93">
        <f t="shared" si="237"/>
        <v>-17580</v>
      </c>
      <c r="Q359" s="93">
        <f t="shared" si="237"/>
        <v>-16585</v>
      </c>
      <c r="R359" s="94">
        <f t="shared" si="237"/>
        <v>-16585</v>
      </c>
      <c r="S359" s="93">
        <f t="shared" si="237"/>
        <v>-16944</v>
      </c>
      <c r="T359" s="93">
        <f t="shared" si="237"/>
        <v>-17291</v>
      </c>
      <c r="U359" s="93">
        <f t="shared" si="237"/>
        <v>-18416</v>
      </c>
      <c r="V359" s="93">
        <f t="shared" si="237"/>
        <v>-19267.80002015426</v>
      </c>
      <c r="W359" s="94">
        <f t="shared" si="237"/>
        <v>-19267.80002015426</v>
      </c>
      <c r="X359" s="93">
        <f t="shared" si="237"/>
        <v>-19563.699869321466</v>
      </c>
      <c r="Y359" s="93">
        <f t="shared" si="237"/>
        <v>-19952.381024718277</v>
      </c>
      <c r="Z359" s="93">
        <f t="shared" si="237"/>
        <v>-20223.203025942548</v>
      </c>
      <c r="AA359" s="93">
        <f t="shared" si="237"/>
        <v>-20958.120671871809</v>
      </c>
      <c r="AB359" s="94">
        <f t="shared" si="237"/>
        <v>-20958.120671871809</v>
      </c>
      <c r="AC359" s="93">
        <f t="shared" si="237"/>
        <v>-21430.476894756197</v>
      </c>
      <c r="AD359" s="93">
        <f t="shared" si="237"/>
        <v>-21918.107776988789</v>
      </c>
      <c r="AE359" s="93">
        <f t="shared" si="237"/>
        <v>-22178.121796283089</v>
      </c>
      <c r="AF359" s="93">
        <f t="shared" si="237"/>
        <v>-22894.868276884401</v>
      </c>
      <c r="AG359" s="94">
        <f t="shared" si="237"/>
        <v>-22894.868276884401</v>
      </c>
      <c r="AH359" s="93">
        <f t="shared" si="237"/>
        <v>-23203.40248275701</v>
      </c>
      <c r="AI359" s="93">
        <f t="shared" si="237"/>
        <v>-23494.939696843423</v>
      </c>
      <c r="AJ359" s="93">
        <f t="shared" si="237"/>
        <v>-23572.222585262407</v>
      </c>
      <c r="AK359" s="93">
        <f t="shared" si="237"/>
        <v>-24129.884705645316</v>
      </c>
      <c r="AL359" s="94">
        <f t="shared" si="237"/>
        <v>-24129.884705645316</v>
      </c>
      <c r="AM359" s="93">
        <f t="shared" si="237"/>
        <v>-24415.35260805058</v>
      </c>
      <c r="AN359" s="93">
        <f t="shared" si="237"/>
        <v>-24659.670421585168</v>
      </c>
      <c r="AO359" s="93">
        <f t="shared" si="237"/>
        <v>-24702.772222223226</v>
      </c>
      <c r="AP359" s="93">
        <f t="shared" si="237"/>
        <v>-25218.083750892874</v>
      </c>
      <c r="AQ359" s="94">
        <f t="shared" si="237"/>
        <v>-25218.083750892874</v>
      </c>
    </row>
    <row r="360" spans="2:44" outlineLevel="1" x14ac:dyDescent="0.25">
      <c r="B360" s="727" t="s">
        <v>345</v>
      </c>
      <c r="C360" s="728"/>
      <c r="D360" s="277">
        <f t="shared" ref="D360:AQ360" si="238">(D358+D359)/D42</f>
        <v>-12.98951048951049</v>
      </c>
      <c r="E360" s="277">
        <f t="shared" si="238"/>
        <v>-17.130742049469966</v>
      </c>
      <c r="F360" s="277">
        <f t="shared" si="238"/>
        <v>-20.534545454545455</v>
      </c>
      <c r="G360" s="277">
        <f t="shared" si="238"/>
        <v>-38.022304832713758</v>
      </c>
      <c r="H360" s="278">
        <f t="shared" si="238"/>
        <v>-36.584177015744814</v>
      </c>
      <c r="I360" s="277">
        <f t="shared" si="238"/>
        <v>-40.063103192279144</v>
      </c>
      <c r="J360" s="277">
        <f t="shared" si="238"/>
        <v>-39.025925925925925</v>
      </c>
      <c r="K360" s="277">
        <f t="shared" si="238"/>
        <v>-42.749077490774908</v>
      </c>
      <c r="L360" s="277">
        <f t="shared" si="238"/>
        <v>-40.34596981965403</v>
      </c>
      <c r="M360" s="278">
        <f t="shared" si="238"/>
        <v>-40.489474677232423</v>
      </c>
      <c r="N360" s="277">
        <f t="shared" si="238"/>
        <v>-42.841911764705884</v>
      </c>
      <c r="O360" s="277">
        <f t="shared" si="238"/>
        <v>-46.43939878690918</v>
      </c>
      <c r="P360" s="277">
        <f t="shared" si="238"/>
        <v>-54.179487179487182</v>
      </c>
      <c r="Q360" s="277">
        <f t="shared" si="238"/>
        <v>-49.078386934414162</v>
      </c>
      <c r="R360" s="278">
        <f t="shared" si="238"/>
        <v>-48.916174124127807</v>
      </c>
      <c r="S360" s="277">
        <f t="shared" si="238"/>
        <v>-54.141434673105515</v>
      </c>
      <c r="T360" s="277">
        <f t="shared" si="238"/>
        <v>-56.936464767267282</v>
      </c>
      <c r="U360" s="277">
        <f t="shared" si="238"/>
        <v>-58.996751865487539</v>
      </c>
      <c r="V360" s="277">
        <f t="shared" si="238"/>
        <v>-58.004703275334251</v>
      </c>
      <c r="W360" s="278">
        <f t="shared" si="238"/>
        <v>-57.254529754643244</v>
      </c>
      <c r="X360" s="277">
        <f t="shared" si="238"/>
        <v>-60.463237143951353</v>
      </c>
      <c r="Y360" s="277">
        <f t="shared" si="238"/>
        <v>-61.604454618237611</v>
      </c>
      <c r="Z360" s="277">
        <f t="shared" si="238"/>
        <v>-62.636861430265341</v>
      </c>
      <c r="AA360" s="277">
        <f t="shared" si="238"/>
        <v>-58.403650906694807</v>
      </c>
      <c r="AB360" s="278">
        <f t="shared" si="238"/>
        <v>-57.562746609440254</v>
      </c>
      <c r="AC360" s="277">
        <f t="shared" si="238"/>
        <v>-61.701270915283018</v>
      </c>
      <c r="AD360" s="277">
        <f t="shared" si="238"/>
        <v>-60.822821945149855</v>
      </c>
      <c r="AE360" s="277">
        <f t="shared" si="238"/>
        <v>-63.546767093214754</v>
      </c>
      <c r="AF360" s="277">
        <f t="shared" si="238"/>
        <v>-57.421470198518804</v>
      </c>
      <c r="AG360" s="278">
        <f t="shared" si="238"/>
        <v>-56.534532733321811</v>
      </c>
      <c r="AH360" s="277">
        <f t="shared" si="238"/>
        <v>-61.920781542169614</v>
      </c>
      <c r="AI360" s="277">
        <f t="shared" si="238"/>
        <v>-59.349106895819197</v>
      </c>
      <c r="AJ360" s="277">
        <f t="shared" si="238"/>
        <v>-63.331913813087418</v>
      </c>
      <c r="AK360" s="277">
        <f t="shared" si="238"/>
        <v>-54.806350045012081</v>
      </c>
      <c r="AL360" s="278">
        <f t="shared" si="238"/>
        <v>-54.194663460305229</v>
      </c>
      <c r="AM360" s="277">
        <f t="shared" si="238"/>
        <v>-60.678929385421505</v>
      </c>
      <c r="AN360" s="277">
        <f t="shared" si="238"/>
        <v>-55.74000721048278</v>
      </c>
      <c r="AO360" s="277">
        <f t="shared" si="238"/>
        <v>-61.194901994602667</v>
      </c>
      <c r="AP360" s="277">
        <f t="shared" si="238"/>
        <v>-49.996389417386972</v>
      </c>
      <c r="AQ360" s="278">
        <f t="shared" si="238"/>
        <v>-49.60343832256428</v>
      </c>
    </row>
    <row r="361" spans="2:44" x14ac:dyDescent="0.25">
      <c r="B361" s="775"/>
      <c r="C361" s="775"/>
      <c r="D361" s="82"/>
      <c r="E361" s="81"/>
      <c r="F361" s="81"/>
      <c r="G361" s="82"/>
      <c r="H361" s="81"/>
      <c r="I361" s="81"/>
      <c r="J361" s="81"/>
      <c r="K361" s="81"/>
      <c r="L361" s="81"/>
      <c r="M361" s="81"/>
      <c r="N361" s="81"/>
      <c r="O361" s="81"/>
      <c r="P361" s="81"/>
      <c r="Q361" s="81"/>
      <c r="R361" s="81"/>
      <c r="S361" s="81"/>
      <c r="T361" s="81"/>
      <c r="U361" s="81"/>
      <c r="V361" s="81"/>
      <c r="W361" s="81"/>
      <c r="X361" s="81"/>
      <c r="Y361" s="81"/>
      <c r="Z361" s="81"/>
      <c r="AA361" s="81"/>
      <c r="AB361" s="81"/>
      <c r="AC361" s="81"/>
      <c r="AD361" s="81"/>
      <c r="AE361" s="81"/>
      <c r="AF361" s="81"/>
      <c r="AG361" s="81"/>
      <c r="AH361" s="81"/>
      <c r="AI361" s="81"/>
      <c r="AJ361" s="81"/>
      <c r="AK361" s="81"/>
      <c r="AL361" s="81"/>
      <c r="AM361" s="81"/>
      <c r="AN361" s="81"/>
      <c r="AO361" s="81"/>
      <c r="AP361" s="81"/>
      <c r="AQ361" s="81"/>
    </row>
    <row r="362" spans="2:44" ht="15.75" x14ac:dyDescent="0.25">
      <c r="B362" s="713" t="s">
        <v>27</v>
      </c>
      <c r="C362" s="714"/>
      <c r="D362" s="90" t="s">
        <v>120</v>
      </c>
      <c r="E362" s="90" t="s">
        <v>121</v>
      </c>
      <c r="F362" s="90" t="s">
        <v>122</v>
      </c>
      <c r="G362" s="90" t="s">
        <v>123</v>
      </c>
      <c r="H362" s="400" t="s">
        <v>123</v>
      </c>
      <c r="I362" s="90" t="s">
        <v>124</v>
      </c>
      <c r="J362" s="90" t="s">
        <v>125</v>
      </c>
      <c r="K362" s="90" t="s">
        <v>126</v>
      </c>
      <c r="L362" s="90" t="s">
        <v>127</v>
      </c>
      <c r="M362" s="400" t="s">
        <v>127</v>
      </c>
      <c r="N362" s="90" t="s">
        <v>128</v>
      </c>
      <c r="O362" s="90" t="s">
        <v>129</v>
      </c>
      <c r="P362" s="90" t="s">
        <v>130</v>
      </c>
      <c r="Q362" s="90" t="s">
        <v>131</v>
      </c>
      <c r="R362" s="400" t="s">
        <v>131</v>
      </c>
      <c r="S362" s="90" t="s">
        <v>132</v>
      </c>
      <c r="T362" s="90" t="s">
        <v>133</v>
      </c>
      <c r="U362" s="90" t="s">
        <v>134</v>
      </c>
      <c r="V362" s="92" t="s">
        <v>135</v>
      </c>
      <c r="W362" s="404" t="s">
        <v>135</v>
      </c>
      <c r="X362" s="92" t="s">
        <v>136</v>
      </c>
      <c r="Y362" s="92" t="s">
        <v>137</v>
      </c>
      <c r="Z362" s="92" t="s">
        <v>138</v>
      </c>
      <c r="AA362" s="92" t="s">
        <v>139</v>
      </c>
      <c r="AB362" s="404" t="s">
        <v>139</v>
      </c>
      <c r="AC362" s="92" t="s">
        <v>140</v>
      </c>
      <c r="AD362" s="92" t="s">
        <v>141</v>
      </c>
      <c r="AE362" s="92" t="s">
        <v>142</v>
      </c>
      <c r="AF362" s="92" t="s">
        <v>143</v>
      </c>
      <c r="AG362" s="404" t="s">
        <v>143</v>
      </c>
      <c r="AH362" s="92" t="s">
        <v>144</v>
      </c>
      <c r="AI362" s="92" t="s">
        <v>145</v>
      </c>
      <c r="AJ362" s="92" t="s">
        <v>146</v>
      </c>
      <c r="AK362" s="92" t="s">
        <v>147</v>
      </c>
      <c r="AL362" s="404" t="s">
        <v>147</v>
      </c>
      <c r="AM362" s="92" t="s">
        <v>148</v>
      </c>
      <c r="AN362" s="92" t="s">
        <v>149</v>
      </c>
      <c r="AO362" s="92" t="s">
        <v>150</v>
      </c>
      <c r="AP362" s="92" t="s">
        <v>151</v>
      </c>
      <c r="AQ362" s="404" t="s">
        <v>151</v>
      </c>
    </row>
    <row r="363" spans="2:44" ht="17.25" x14ac:dyDescent="0.4">
      <c r="B363" s="731"/>
      <c r="C363" s="732"/>
      <c r="D363" s="91" t="s">
        <v>71</v>
      </c>
      <c r="E363" s="91" t="s">
        <v>74</v>
      </c>
      <c r="F363" s="91" t="s">
        <v>75</v>
      </c>
      <c r="G363" s="91" t="s">
        <v>78</v>
      </c>
      <c r="H363" s="401" t="s">
        <v>79</v>
      </c>
      <c r="I363" s="91" t="s">
        <v>80</v>
      </c>
      <c r="J363" s="91" t="s">
        <v>91</v>
      </c>
      <c r="K363" s="91" t="s">
        <v>109</v>
      </c>
      <c r="L363" s="91" t="s">
        <v>113</v>
      </c>
      <c r="M363" s="401" t="s">
        <v>114</v>
      </c>
      <c r="N363" s="91" t="s">
        <v>115</v>
      </c>
      <c r="O363" s="91" t="s">
        <v>116</v>
      </c>
      <c r="P363" s="91" t="s">
        <v>117</v>
      </c>
      <c r="Q363" s="91" t="s">
        <v>118</v>
      </c>
      <c r="R363" s="401" t="s">
        <v>119</v>
      </c>
      <c r="S363" s="91" t="s">
        <v>507</v>
      </c>
      <c r="T363" s="91" t="s">
        <v>749</v>
      </c>
      <c r="U363" s="91" t="s">
        <v>769</v>
      </c>
      <c r="V363" s="89" t="s">
        <v>378</v>
      </c>
      <c r="W363" s="405" t="s">
        <v>379</v>
      </c>
      <c r="X363" s="89" t="s">
        <v>380</v>
      </c>
      <c r="Y363" s="89" t="s">
        <v>381</v>
      </c>
      <c r="Z363" s="89" t="s">
        <v>382</v>
      </c>
      <c r="AA363" s="89" t="s">
        <v>383</v>
      </c>
      <c r="AB363" s="405" t="s">
        <v>384</v>
      </c>
      <c r="AC363" s="89" t="s">
        <v>385</v>
      </c>
      <c r="AD363" s="89" t="s">
        <v>386</v>
      </c>
      <c r="AE363" s="89" t="s">
        <v>387</v>
      </c>
      <c r="AF363" s="89" t="s">
        <v>388</v>
      </c>
      <c r="AG363" s="405" t="s">
        <v>389</v>
      </c>
      <c r="AH363" s="89" t="s">
        <v>390</v>
      </c>
      <c r="AI363" s="89" t="s">
        <v>391</v>
      </c>
      <c r="AJ363" s="89" t="s">
        <v>392</v>
      </c>
      <c r="AK363" s="89" t="s">
        <v>393</v>
      </c>
      <c r="AL363" s="405" t="s">
        <v>394</v>
      </c>
      <c r="AM363" s="89" t="s">
        <v>395</v>
      </c>
      <c r="AN363" s="89" t="s">
        <v>396</v>
      </c>
      <c r="AO363" s="89" t="s">
        <v>397</v>
      </c>
      <c r="AP363" s="89" t="s">
        <v>398</v>
      </c>
      <c r="AQ363" s="405" t="s">
        <v>399</v>
      </c>
    </row>
    <row r="364" spans="2:44" ht="17.25" outlineLevel="1" x14ac:dyDescent="0.4">
      <c r="B364" s="729" t="s">
        <v>401</v>
      </c>
      <c r="C364" s="730"/>
      <c r="D364" s="47"/>
      <c r="E364" s="46"/>
      <c r="F364" s="46"/>
      <c r="G364" s="46"/>
      <c r="H364" s="48"/>
      <c r="I364" s="46"/>
      <c r="J364" s="46"/>
      <c r="K364" s="46"/>
      <c r="L364" s="46"/>
      <c r="M364" s="48"/>
      <c r="N364" s="46"/>
      <c r="O364" s="46"/>
      <c r="P364" s="46"/>
      <c r="Q364" s="46"/>
      <c r="R364" s="48"/>
      <c r="S364" s="46"/>
      <c r="T364" s="46"/>
      <c r="U364" s="46"/>
      <c r="V364" s="46"/>
      <c r="W364" s="48"/>
      <c r="X364" s="46"/>
      <c r="Y364" s="46"/>
      <c r="Z364" s="46"/>
      <c r="AA364" s="46"/>
      <c r="AB364" s="48"/>
      <c r="AC364" s="46"/>
      <c r="AD364" s="46"/>
      <c r="AE364" s="46"/>
      <c r="AF364" s="46"/>
      <c r="AG364" s="48"/>
      <c r="AH364" s="46"/>
      <c r="AI364" s="46"/>
      <c r="AJ364" s="46"/>
      <c r="AK364" s="46"/>
      <c r="AL364" s="48"/>
      <c r="AM364" s="46"/>
      <c r="AN364" s="46"/>
      <c r="AO364" s="46"/>
      <c r="AP364" s="46"/>
      <c r="AQ364" s="48"/>
    </row>
    <row r="365" spans="2:44" outlineLevel="1" x14ac:dyDescent="0.25">
      <c r="B365" s="289" t="s">
        <v>400</v>
      </c>
      <c r="C365" s="283"/>
      <c r="D365" s="166">
        <f>D322/(D259+D322)</f>
        <v>4.9601417183348095E-3</v>
      </c>
      <c r="E365" s="166">
        <f>E322/(E259+E322)</f>
        <v>4.9202578893790296E-3</v>
      </c>
      <c r="F365" s="166">
        <f>F322/(F259+F322)</f>
        <v>5.8231868713605082E-3</v>
      </c>
      <c r="G365" s="166">
        <f>G322/(G259+G322)</f>
        <v>4.2564877111080602E-3</v>
      </c>
      <c r="H365" s="305"/>
      <c r="I365" s="166">
        <f>I322/(I259+I322)</f>
        <v>5.3630363036303629E-3</v>
      </c>
      <c r="J365" s="166">
        <f>J322/(J259+J322)</f>
        <v>4.8607461902259591E-3</v>
      </c>
      <c r="K365" s="166">
        <f>K322/(K259+K322)</f>
        <v>5.229985248759555E-3</v>
      </c>
      <c r="L365" s="166">
        <f>L322/(L259+L322)</f>
        <v>2.7559055118110236E-3</v>
      </c>
      <c r="M365" s="305"/>
      <c r="N365" s="166">
        <f>N322/(N259+N322)</f>
        <v>7.4386312918423014E-3</v>
      </c>
      <c r="O365" s="166">
        <f>O322/(O259+O322)</f>
        <v>6.4286534267018712E-3</v>
      </c>
      <c r="P365" s="166">
        <f>P322/(P259+P322)</f>
        <v>6.9857993586807145E-3</v>
      </c>
      <c r="Q365" s="166">
        <f>Q322/(Q259+Q322)</f>
        <v>8.0316610406239095E-3</v>
      </c>
      <c r="R365" s="305"/>
      <c r="S365" s="166">
        <f>S322/(S259+S322)</f>
        <v>9.3203000681973177E-3</v>
      </c>
      <c r="T365" s="166">
        <f>T322/(T259+T322)</f>
        <v>8.0820640348150449E-3</v>
      </c>
      <c r="U365" s="166">
        <f>U322/(U259+U322)</f>
        <v>6.7047702791822377E-3</v>
      </c>
      <c r="V365" s="244">
        <f>AVERAGE(U365,T365,S365,Q365)</f>
        <v>8.0346988557046268E-3</v>
      </c>
      <c r="W365" s="76"/>
      <c r="X365" s="244">
        <f>AVERAGE(V365,U365,T365,S365)</f>
        <v>8.0354583094748074E-3</v>
      </c>
      <c r="Y365" s="244">
        <f>AVERAGE(X365,V365,U365,T365)</f>
        <v>7.7142478697941799E-3</v>
      </c>
      <c r="Z365" s="244">
        <f>AVERAGE(Y365,X365,V365,U365)</f>
        <v>7.6222938285389636E-3</v>
      </c>
      <c r="AA365" s="244">
        <f>AVERAGE(Z365,Y365,X365,V365)</f>
        <v>7.8516747158781444E-3</v>
      </c>
      <c r="AB365" s="76"/>
      <c r="AC365" s="244">
        <f>AVERAGE(AA365,Z365,Y365,X365)</f>
        <v>7.8059186809215243E-3</v>
      </c>
      <c r="AD365" s="244">
        <f>AVERAGE(AC365,AA365,Z365,Y365)</f>
        <v>7.7485337737832026E-3</v>
      </c>
      <c r="AE365" s="244">
        <f>AVERAGE(AD365,AC365,AA365,Z365)</f>
        <v>7.7571052497804587E-3</v>
      </c>
      <c r="AF365" s="244">
        <f>AVERAGE(AE365,AD365,AC365,AA365)</f>
        <v>7.7908081050908325E-3</v>
      </c>
      <c r="AG365" s="76"/>
      <c r="AH365" s="244">
        <f>AVERAGE(AF365,AE365,AD365,AC365)</f>
        <v>7.7755914523940043E-3</v>
      </c>
      <c r="AI365" s="244">
        <f>AVERAGE(AH365,AF365,AE365,AD365)</f>
        <v>7.7680096452621252E-3</v>
      </c>
      <c r="AJ365" s="244">
        <f>AVERAGE(AI365,AH365,AF365,AE365)</f>
        <v>7.7728786131318547E-3</v>
      </c>
      <c r="AK365" s="244">
        <f>AVERAGE(AJ365,AI365,AH365,AF365)</f>
        <v>7.7768219539697042E-3</v>
      </c>
      <c r="AL365" s="76"/>
      <c r="AM365" s="244">
        <f>AVERAGE(AK365,AJ365,AI365,AH365)</f>
        <v>7.7733254161894225E-3</v>
      </c>
      <c r="AN365" s="244">
        <f>AVERAGE(AM365,AK365,AJ365,AI365)</f>
        <v>7.7727589071382762E-3</v>
      </c>
      <c r="AO365" s="244">
        <f>AVERAGE(AN365,AM365,AK365,AJ365)</f>
        <v>7.7739462226073149E-3</v>
      </c>
      <c r="AP365" s="244">
        <f>AVERAGE(AO365,AN365,AM365,AK365)</f>
        <v>7.774213124976179E-3</v>
      </c>
      <c r="AQ365" s="76"/>
    </row>
    <row r="366" spans="2:44" s="111" customFormat="1" outlineLevel="1" x14ac:dyDescent="0.25">
      <c r="B366" s="284" t="s">
        <v>500</v>
      </c>
      <c r="C366" s="285"/>
      <c r="D366" s="166">
        <f>D323/D13</f>
        <v>4.3163124032901705E-3</v>
      </c>
      <c r="E366" s="166">
        <f>E323/E13</f>
        <v>2.6499638641291254E-3</v>
      </c>
      <c r="F366" s="166">
        <f>F323/F13</f>
        <v>2.2917654496601866E-3</v>
      </c>
      <c r="G366" s="166">
        <f>G323/G13</f>
        <v>2.2343786116033591E-3</v>
      </c>
      <c r="H366" s="305"/>
      <c r="I366" s="166">
        <f>I323/I13</f>
        <v>3.8873354702311943E-3</v>
      </c>
      <c r="J366" s="166">
        <f>J323/J13</f>
        <v>2.4110910186859553E-3</v>
      </c>
      <c r="K366" s="166">
        <f>K323/K13</f>
        <v>2.0004000800160032E-3</v>
      </c>
      <c r="L366" s="166">
        <f>L323/L13</f>
        <v>1.9710071210579856E-3</v>
      </c>
      <c r="M366" s="305"/>
      <c r="N366" s="166">
        <f>N323/N13</f>
        <v>4.0530823037196835E-3</v>
      </c>
      <c r="O366" s="166">
        <f>O323/O13</f>
        <v>2.5133329246613129E-3</v>
      </c>
      <c r="P366" s="166">
        <f>P323/P13</f>
        <v>1.9363427326636814E-3</v>
      </c>
      <c r="Q366" s="166">
        <f>Q323/Q13</f>
        <v>1.848201889920127E-3</v>
      </c>
      <c r="R366" s="305"/>
      <c r="S366" s="166">
        <f>S323/S13</f>
        <v>3.9878020173586678E-3</v>
      </c>
      <c r="T366" s="166">
        <f>T323/T13</f>
        <v>2.244165170556553E-3</v>
      </c>
      <c r="U366" s="166">
        <f>U323/U13</f>
        <v>1.9400352733686067E-3</v>
      </c>
      <c r="V366" s="244">
        <f>AVERAGE(U366,T366,S366,Q366)</f>
        <v>2.505051087800989E-3</v>
      </c>
      <c r="W366" s="305"/>
      <c r="X366" s="244">
        <f>AVERAGE(V366,U366,T366,S366)</f>
        <v>2.6692633872712045E-3</v>
      </c>
      <c r="Y366" s="244">
        <f>AVERAGE(X366,V366,U366,T366)</f>
        <v>2.3396287297493385E-3</v>
      </c>
      <c r="Z366" s="244">
        <f>AVERAGE(Y366,X366,V366,U366)</f>
        <v>2.3634946195475346E-3</v>
      </c>
      <c r="AA366" s="244">
        <f>AVERAGE(Z366,Y366,X366,V366)</f>
        <v>2.4693594560922663E-3</v>
      </c>
      <c r="AB366" s="305"/>
      <c r="AC366" s="244">
        <f>AVERAGE(AA366,Z366,Y366,X366)</f>
        <v>2.4604365481650861E-3</v>
      </c>
      <c r="AD366" s="244">
        <f>AVERAGE(AC366,AA366,Z366,Y366)</f>
        <v>2.4082298383885565E-3</v>
      </c>
      <c r="AE366" s="244">
        <f>AVERAGE(AD366,AC366,AA366,Z366)</f>
        <v>2.4253801155483608E-3</v>
      </c>
      <c r="AF366" s="244">
        <f>AVERAGE(AE366,AD366,AC366,AA366)</f>
        <v>2.4408514895485674E-3</v>
      </c>
      <c r="AG366" s="305"/>
      <c r="AH366" s="244">
        <f>AVERAGE(AF366,AE366,AD366,AC366)</f>
        <v>2.4337244979126425E-3</v>
      </c>
      <c r="AI366" s="244">
        <f>AVERAGE(AH366,AF366,AE366,AD366)</f>
        <v>2.4270464853495318E-3</v>
      </c>
      <c r="AJ366" s="244">
        <f>AVERAGE(AI366,AH366,AF366,AE366)</f>
        <v>2.4317506470897757E-3</v>
      </c>
      <c r="AK366" s="244">
        <f>AVERAGE(AJ366,AI366,AH366,AF366)</f>
        <v>2.4333432799751292E-3</v>
      </c>
      <c r="AL366" s="305"/>
      <c r="AM366" s="244">
        <f>AVERAGE(AK366,AJ366,AI366,AH366)</f>
        <v>2.4314662275817696E-3</v>
      </c>
      <c r="AN366" s="244">
        <f>AVERAGE(AM366,AK366,AJ366,AI366)</f>
        <v>2.4309016599990516E-3</v>
      </c>
      <c r="AO366" s="244">
        <f>AVERAGE(AN366,AM366,AK366,AJ366)</f>
        <v>2.4318654536614314E-3</v>
      </c>
      <c r="AP366" s="244">
        <f>AVERAGE(AO366,AN366,AM366,AK366)</f>
        <v>2.4318941553043453E-3</v>
      </c>
      <c r="AQ366" s="305"/>
    </row>
    <row r="367" spans="2:44" s="229" customFormat="1" outlineLevel="1" x14ac:dyDescent="0.25">
      <c r="B367" s="709" t="s">
        <v>90</v>
      </c>
      <c r="C367" s="710"/>
      <c r="D367" s="186"/>
      <c r="E367" s="186"/>
      <c r="F367" s="186"/>
      <c r="G367" s="186"/>
      <c r="H367" s="241"/>
      <c r="I367" s="186">
        <f t="shared" ref="I367:AQ367" si="239">I334/D334-1</f>
        <v>-0.217566478646253</v>
      </c>
      <c r="J367" s="186">
        <f t="shared" si="239"/>
        <v>0.37180544105523494</v>
      </c>
      <c r="K367" s="186">
        <f t="shared" si="239"/>
        <v>-0.99254843517138602</v>
      </c>
      <c r="L367" s="186">
        <f t="shared" si="239"/>
        <v>0.19508368200836812</v>
      </c>
      <c r="M367" s="241">
        <f t="shared" si="239"/>
        <v>-0.13629992992291518</v>
      </c>
      <c r="N367" s="186">
        <f t="shared" si="239"/>
        <v>-0.39237899073120497</v>
      </c>
      <c r="O367" s="186">
        <f t="shared" si="239"/>
        <v>-0.45432692307692313</v>
      </c>
      <c r="P367" s="186">
        <f t="shared" si="239"/>
        <v>-34.6</v>
      </c>
      <c r="Q367" s="186">
        <f t="shared" si="239"/>
        <v>0.53703535492341214</v>
      </c>
      <c r="R367" s="241">
        <f t="shared" si="239"/>
        <v>-5.1901463286004645E-2</v>
      </c>
      <c r="S367" s="186">
        <f t="shared" si="239"/>
        <v>0.18813559322033901</v>
      </c>
      <c r="T367" s="186">
        <f t="shared" si="239"/>
        <v>0.62775330396475781</v>
      </c>
      <c r="U367" s="186">
        <f>U334/P334-1</f>
        <v>-4.4047619047619051</v>
      </c>
      <c r="V367" s="186">
        <f t="shared" si="239"/>
        <v>-0.41622029868933152</v>
      </c>
      <c r="W367" s="241">
        <f t="shared" si="239"/>
        <v>0.14958560987185421</v>
      </c>
      <c r="X367" s="186">
        <f t="shared" si="239"/>
        <v>1.0309635311518455</v>
      </c>
      <c r="Y367" s="186">
        <f t="shared" si="239"/>
        <v>0.20419075076560822</v>
      </c>
      <c r="Z367" s="186">
        <f t="shared" si="239"/>
        <v>0.42294704197330835</v>
      </c>
      <c r="AA367" s="186">
        <f t="shared" si="239"/>
        <v>0.50574861113179637</v>
      </c>
      <c r="AB367" s="241">
        <f t="shared" si="239"/>
        <v>0.47369166184375677</v>
      </c>
      <c r="AC367" s="186">
        <f t="shared" si="239"/>
        <v>-0.14066727048816174</v>
      </c>
      <c r="AD367" s="186">
        <f t="shared" si="239"/>
        <v>0.29017188797166438</v>
      </c>
      <c r="AE367" s="186">
        <f t="shared" si="239"/>
        <v>-0.17102835634646973</v>
      </c>
      <c r="AF367" s="186">
        <f t="shared" si="239"/>
        <v>0.15890812043227953</v>
      </c>
      <c r="AG367" s="241">
        <f t="shared" si="239"/>
        <v>6.6723602243228264E-2</v>
      </c>
      <c r="AH367" s="186">
        <f t="shared" si="239"/>
        <v>-0.25492884682796946</v>
      </c>
      <c r="AI367" s="186">
        <f t="shared" si="239"/>
        <v>0.14039109951381801</v>
      </c>
      <c r="AJ367" s="186">
        <f t="shared" si="239"/>
        <v>-0.26571108956280176</v>
      </c>
      <c r="AK367" s="186">
        <f t="shared" si="239"/>
        <v>0.10366749099526662</v>
      </c>
      <c r="AL367" s="241">
        <f t="shared" si="239"/>
        <v>2.7022580739264335E-3</v>
      </c>
      <c r="AM367" s="186">
        <f t="shared" si="239"/>
        <v>-0.41585506851453602</v>
      </c>
      <c r="AN367" s="186">
        <f t="shared" si="239"/>
        <v>0.16164196128008856</v>
      </c>
      <c r="AO367" s="186">
        <f t="shared" si="239"/>
        <v>-0.42047549444382193</v>
      </c>
      <c r="AP367" s="186">
        <f t="shared" si="239"/>
        <v>0.11777678953753745</v>
      </c>
      <c r="AQ367" s="241">
        <f t="shared" si="239"/>
        <v>1.0937121363585822E-2</v>
      </c>
    </row>
    <row r="368" spans="2:44" s="53" customFormat="1" outlineLevel="1" x14ac:dyDescent="0.25">
      <c r="B368" s="303" t="s">
        <v>403</v>
      </c>
      <c r="C368" s="403"/>
      <c r="D368" s="166">
        <f t="shared" ref="D368:T368" si="240">-D336/D13</f>
        <v>9.8460786709015397E-2</v>
      </c>
      <c r="E368" s="166">
        <f t="shared" si="240"/>
        <v>0.10864851842929414</v>
      </c>
      <c r="F368" s="166">
        <f t="shared" si="240"/>
        <v>7.9026394815868498E-2</v>
      </c>
      <c r="G368" s="166">
        <f t="shared" si="240"/>
        <v>9.6771708143924801E-2</v>
      </c>
      <c r="H368" s="485">
        <f t="shared" si="240"/>
        <v>9.5661669810384195E-2</v>
      </c>
      <c r="I368" s="166">
        <f t="shared" si="240"/>
        <v>8.2861624497033354E-2</v>
      </c>
      <c r="J368" s="166">
        <f t="shared" si="240"/>
        <v>9.8184984260933625E-2</v>
      </c>
      <c r="K368" s="166">
        <f t="shared" si="240"/>
        <v>7.3948122957924925E-2</v>
      </c>
      <c r="L368" s="166">
        <f t="shared" si="240"/>
        <v>8.4308240081383518E-2</v>
      </c>
      <c r="M368" s="485">
        <f t="shared" si="240"/>
        <v>8.481572970374178E-2</v>
      </c>
      <c r="N368" s="166">
        <f t="shared" si="240"/>
        <v>6.8248676211021764E-2</v>
      </c>
      <c r="O368" s="166">
        <f t="shared" si="240"/>
        <v>9.6671366394899774E-2</v>
      </c>
      <c r="P368" s="166">
        <f t="shared" si="240"/>
        <v>8.3081205373351077E-2</v>
      </c>
      <c r="Q368" s="166">
        <f t="shared" si="240"/>
        <v>9.6395279821146623E-2</v>
      </c>
      <c r="R368" s="485">
        <f t="shared" si="240"/>
        <v>8.6523897883956924E-2</v>
      </c>
      <c r="S368" s="166">
        <f t="shared" si="240"/>
        <v>6.9141449683321601E-2</v>
      </c>
      <c r="T368" s="166">
        <f t="shared" si="240"/>
        <v>8.1631508078994608E-2</v>
      </c>
      <c r="U368" s="166">
        <f t="shared" ref="U368" si="241">-U336/U13</f>
        <v>6.6019988242210462E-2</v>
      </c>
      <c r="V368" s="177">
        <v>8.1982137029686014E-2</v>
      </c>
      <c r="W368" s="402">
        <f>-W336/W13</f>
        <v>7.4875106477003059E-2</v>
      </c>
      <c r="X368" s="177">
        <f>AVERAGE(S368,T368,U368,V368)</f>
        <v>7.4693770758553157E-2</v>
      </c>
      <c r="Y368" s="177">
        <f>AVERAGE(T368,U368,V368,X368)</f>
        <v>7.6081851027361064E-2</v>
      </c>
      <c r="Z368" s="177">
        <f>AVERAGE(U368,V368,X368,Y368)</f>
        <v>7.4694436764452671E-2</v>
      </c>
      <c r="AA368" s="177">
        <f>AVERAGE(V368,X368,Y368,Z368)</f>
        <v>7.686304889501322E-2</v>
      </c>
      <c r="AB368" s="402">
        <f>-AB336/AB13</f>
        <v>7.5608167868488063E-2</v>
      </c>
      <c r="AC368" s="177">
        <f>AVERAGE(X368,Y368,Z368,AA368)</f>
        <v>7.5583276861345028E-2</v>
      </c>
      <c r="AD368" s="177">
        <f>AVERAGE(Y368,Z368,AA368,AC368)</f>
        <v>7.5805653387042995E-2</v>
      </c>
      <c r="AE368" s="177">
        <f>AVERAGE(Z368,AA368,AC368,AD368)</f>
        <v>7.5736603976963482E-2</v>
      </c>
      <c r="AF368" s="177">
        <f>AVERAGE(AA368,AC368,AD368,AE368)</f>
        <v>7.5997145780091174E-2</v>
      </c>
      <c r="AG368" s="402">
        <f>-AG336/AG13</f>
        <v>7.5784206577340515E-2</v>
      </c>
      <c r="AH368" s="177">
        <f>AVERAGE(AC368,AD368,AE368,AF368)</f>
        <v>7.5780670001360656E-2</v>
      </c>
      <c r="AI368" s="177">
        <f>AVERAGE(AD368,AE368,AF368,AH368)</f>
        <v>7.583001828636457E-2</v>
      </c>
      <c r="AJ368" s="177">
        <f>AVERAGE(AE368,AF368,AH368,AI368)</f>
        <v>7.5836109511194974E-2</v>
      </c>
      <c r="AK368" s="177">
        <f>AVERAGE(AF368,AH368,AI368,AJ368)</f>
        <v>7.5860985894752847E-2</v>
      </c>
      <c r="AL368" s="485">
        <f>-AL336/AL13</f>
        <v>7.5827474737978059E-2</v>
      </c>
      <c r="AM368" s="177">
        <f>AVERAGE(AH368,AI368,AJ368,AK368)</f>
        <v>7.5826945923418265E-2</v>
      </c>
      <c r="AN368" s="177">
        <f>AVERAGE(AI368,AJ368,AK368,AM368)</f>
        <v>7.5838514903932674E-2</v>
      </c>
      <c r="AO368" s="177">
        <f>AVERAGE(AJ368,AK368,AM368,AN368)</f>
        <v>7.5840639058324694E-2</v>
      </c>
      <c r="AP368" s="177">
        <f>AVERAGE(AK368,AM368,AN368,AO368)</f>
        <v>7.584177144510712E-2</v>
      </c>
      <c r="AQ368" s="485">
        <f>-AQ336/AQ13</f>
        <v>7.5837047116180306E-2</v>
      </c>
    </row>
    <row r="369" spans="2:43" ht="17.25" x14ac:dyDescent="0.4">
      <c r="B369" s="83"/>
      <c r="C369" s="83"/>
      <c r="D369" s="86"/>
      <c r="E369" s="86"/>
      <c r="F369" s="86"/>
      <c r="G369" s="86"/>
      <c r="H369" s="85"/>
      <c r="I369" s="86"/>
      <c r="J369" s="86"/>
      <c r="K369" s="86"/>
      <c r="L369" s="86"/>
      <c r="M369" s="85"/>
      <c r="N369" s="86"/>
      <c r="O369" s="86"/>
      <c r="P369" s="86"/>
      <c r="Q369" s="86"/>
      <c r="R369" s="85"/>
      <c r="S369" s="86"/>
      <c r="T369" s="86"/>
      <c r="U369" s="86"/>
      <c r="V369" s="86"/>
      <c r="W369" s="85"/>
      <c r="X369" s="86"/>
      <c r="Y369" s="86"/>
      <c r="Z369" s="86"/>
      <c r="AA369" s="86"/>
      <c r="AB369" s="85"/>
      <c r="AC369" s="86"/>
      <c r="AD369" s="86"/>
      <c r="AE369" s="86"/>
      <c r="AF369" s="86"/>
      <c r="AG369" s="85"/>
      <c r="AH369" s="86"/>
      <c r="AI369" s="86"/>
      <c r="AJ369" s="86"/>
      <c r="AK369" s="86"/>
      <c r="AL369" s="85"/>
      <c r="AM369" s="86"/>
      <c r="AN369" s="86"/>
      <c r="AO369" s="86"/>
      <c r="AP369" s="86"/>
      <c r="AQ369" s="85"/>
    </row>
    <row r="370" spans="2:43" ht="15.75" x14ac:dyDescent="0.25">
      <c r="B370" s="713" t="s">
        <v>23</v>
      </c>
      <c r="C370" s="778"/>
      <c r="D370" s="706"/>
      <c r="E370" s="707"/>
      <c r="F370" s="65"/>
      <c r="G370" s="65"/>
      <c r="H370" s="65"/>
      <c r="I370" s="65"/>
      <c r="J370" s="65"/>
      <c r="K370" s="65"/>
      <c r="L370" s="65"/>
      <c r="M370" s="65"/>
      <c r="N370" s="65"/>
      <c r="O370" s="65"/>
      <c r="P370" s="65"/>
      <c r="Q370" s="65"/>
      <c r="R370" s="65"/>
      <c r="S370" s="65"/>
      <c r="T370" s="65"/>
      <c r="U370" s="65"/>
      <c r="V370" s="65"/>
      <c r="W370" s="65"/>
      <c r="X370" s="65"/>
      <c r="Y370" s="65"/>
      <c r="Z370" s="65"/>
      <c r="AA370" s="65"/>
      <c r="AB370" s="65"/>
      <c r="AC370" s="65"/>
      <c r="AD370" s="65"/>
      <c r="AE370" s="65"/>
      <c r="AF370" s="65"/>
      <c r="AG370" s="65"/>
      <c r="AH370" s="65"/>
      <c r="AI370" s="65"/>
      <c r="AJ370" s="65"/>
      <c r="AK370" s="65"/>
      <c r="AL370" s="65"/>
      <c r="AM370" s="65"/>
      <c r="AN370" s="65"/>
      <c r="AO370" s="65"/>
      <c r="AP370" s="65"/>
      <c r="AQ370" s="65"/>
    </row>
    <row r="371" spans="2:43" outlineLevel="1" x14ac:dyDescent="0.25">
      <c r="B371" s="274" t="s">
        <v>63</v>
      </c>
      <c r="C371" s="652">
        <v>13.8</v>
      </c>
      <c r="D371" s="706"/>
      <c r="E371" s="707"/>
      <c r="F371" s="60"/>
      <c r="G371" s="60"/>
      <c r="H371" s="60"/>
      <c r="I371" s="60"/>
      <c r="J371" s="60"/>
      <c r="K371" s="60"/>
      <c r="L371" s="60"/>
      <c r="M371" s="696"/>
      <c r="N371" s="60"/>
      <c r="O371" s="60"/>
      <c r="P371" s="60"/>
      <c r="Q371" s="60"/>
      <c r="R371" s="60"/>
      <c r="S371" s="60"/>
      <c r="T371" s="60"/>
      <c r="U371" s="60"/>
      <c r="V371" s="60"/>
      <c r="W371" s="60"/>
      <c r="X371" s="60"/>
      <c r="Y371" s="60"/>
      <c r="Z371" s="60"/>
      <c r="AA371" s="60"/>
      <c r="AB371" s="60"/>
      <c r="AC371" s="60"/>
      <c r="AD371" s="60"/>
      <c r="AE371" s="60"/>
      <c r="AF371" s="60"/>
      <c r="AG371" s="60"/>
      <c r="AH371" s="60"/>
      <c r="AI371" s="60"/>
      <c r="AJ371" s="60"/>
      <c r="AK371" s="60"/>
      <c r="AL371" s="60"/>
      <c r="AM371" s="60"/>
      <c r="AN371" s="60"/>
      <c r="AO371" s="60"/>
      <c r="AP371" s="60"/>
      <c r="AQ371" s="60"/>
    </row>
    <row r="372" spans="2:43" outlineLevel="1" x14ac:dyDescent="0.25">
      <c r="B372" s="274" t="s">
        <v>59</v>
      </c>
      <c r="C372" s="505">
        <v>14.7</v>
      </c>
      <c r="D372" s="706"/>
      <c r="E372" s="707"/>
      <c r="F372" s="67"/>
      <c r="G372" s="67"/>
      <c r="H372" s="67"/>
      <c r="I372" s="66"/>
      <c r="J372" s="66"/>
      <c r="K372" s="67"/>
      <c r="L372" s="67"/>
      <c r="M372" s="83"/>
      <c r="N372" s="66"/>
      <c r="O372" s="66"/>
      <c r="P372" s="67"/>
      <c r="Q372" s="67"/>
      <c r="R372" s="67"/>
      <c r="S372" s="66"/>
      <c r="T372" s="66"/>
    </row>
    <row r="373" spans="2:43" outlineLevel="1" x14ac:dyDescent="0.25">
      <c r="B373" s="274" t="s">
        <v>60</v>
      </c>
      <c r="C373" s="505">
        <v>12.5</v>
      </c>
      <c r="D373" s="706"/>
      <c r="E373" s="707"/>
      <c r="F373" s="67"/>
      <c r="G373" s="67"/>
      <c r="H373" s="67"/>
      <c r="I373" s="66"/>
      <c r="J373" s="66"/>
      <c r="K373" s="67"/>
      <c r="L373" s="67"/>
      <c r="M373" s="83"/>
      <c r="N373" s="66"/>
      <c r="O373" s="66"/>
      <c r="P373" s="67"/>
      <c r="Q373" s="67"/>
      <c r="R373" s="67"/>
      <c r="S373" s="66"/>
      <c r="T373" s="66"/>
    </row>
    <row r="374" spans="2:43" outlineLevel="1" x14ac:dyDescent="0.25">
      <c r="B374" s="274" t="s">
        <v>40</v>
      </c>
      <c r="C374" s="505">
        <v>13.8</v>
      </c>
      <c r="D374" s="706"/>
      <c r="E374" s="707"/>
      <c r="F374" s="67"/>
      <c r="G374" s="67"/>
      <c r="H374" s="67"/>
      <c r="I374" s="66"/>
      <c r="J374" s="66"/>
      <c r="K374" s="67"/>
      <c r="L374" s="67"/>
      <c r="M374" s="83"/>
      <c r="N374" s="66"/>
      <c r="O374" s="66"/>
      <c r="P374" s="67"/>
      <c r="Q374" s="67"/>
      <c r="R374" s="67"/>
      <c r="S374" s="66"/>
      <c r="T374" s="66"/>
    </row>
    <row r="375" spans="2:43" outlineLevel="1" x14ac:dyDescent="0.25">
      <c r="B375" s="279" t="s">
        <v>504</v>
      </c>
      <c r="C375" s="507">
        <v>0</v>
      </c>
      <c r="D375" s="706"/>
      <c r="E375" s="707"/>
      <c r="F375" s="68"/>
      <c r="G375" s="68"/>
      <c r="H375" s="69"/>
      <c r="I375" s="68"/>
      <c r="J375" s="68"/>
      <c r="K375" s="68"/>
      <c r="L375" s="68"/>
      <c r="M375" s="69"/>
      <c r="N375" s="68"/>
      <c r="O375" s="68"/>
      <c r="P375" s="68"/>
      <c r="Q375" s="68"/>
      <c r="R375" s="69"/>
      <c r="S375" s="68"/>
      <c r="T375" s="68"/>
      <c r="U375" s="68"/>
      <c r="V375" s="68"/>
      <c r="W375" s="69"/>
      <c r="X375" s="68"/>
      <c r="Y375" s="68"/>
      <c r="Z375" s="68"/>
      <c r="AA375" s="68"/>
      <c r="AB375" s="69"/>
      <c r="AC375" s="68"/>
      <c r="AD375" s="68"/>
      <c r="AE375" s="68"/>
      <c r="AF375" s="68"/>
      <c r="AG375" s="69"/>
      <c r="AH375" s="68"/>
      <c r="AI375" s="68"/>
      <c r="AJ375" s="68"/>
      <c r="AK375" s="68"/>
      <c r="AL375" s="69"/>
      <c r="AM375" s="68"/>
      <c r="AN375" s="68"/>
      <c r="AO375" s="68"/>
      <c r="AP375" s="68"/>
      <c r="AQ375" s="69"/>
    </row>
    <row r="376" spans="2:43" outlineLevel="1" x14ac:dyDescent="0.25">
      <c r="B376" s="279" t="s">
        <v>505</v>
      </c>
      <c r="C376" s="507">
        <v>0</v>
      </c>
      <c r="D376" s="706"/>
      <c r="E376" s="707"/>
      <c r="F376" s="68"/>
      <c r="G376" s="68"/>
      <c r="H376" s="69"/>
      <c r="I376" s="68"/>
      <c r="J376" s="68"/>
      <c r="K376" s="68"/>
      <c r="L376" s="68"/>
      <c r="M376" s="69"/>
      <c r="N376" s="68"/>
      <c r="O376" s="68"/>
      <c r="P376" s="68"/>
      <c r="Q376" s="68"/>
      <c r="R376" s="69"/>
      <c r="S376" s="68"/>
      <c r="T376" s="68"/>
      <c r="U376" s="68"/>
      <c r="V376" s="68"/>
      <c r="W376" s="69"/>
      <c r="X376" s="68"/>
      <c r="Y376" s="68"/>
      <c r="Z376" s="68"/>
      <c r="AA376" s="68"/>
      <c r="AB376" s="69"/>
      <c r="AC376" s="68"/>
      <c r="AD376" s="68"/>
      <c r="AE376" s="68"/>
      <c r="AF376" s="68"/>
      <c r="AG376" s="69"/>
      <c r="AH376" s="68"/>
      <c r="AI376" s="68"/>
      <c r="AJ376" s="68"/>
      <c r="AK376" s="68"/>
      <c r="AL376" s="69"/>
      <c r="AM376" s="68"/>
      <c r="AN376" s="68"/>
      <c r="AO376" s="68"/>
      <c r="AP376" s="68"/>
      <c r="AQ376" s="69"/>
    </row>
    <row r="377" spans="2:43" ht="17.25" outlineLevel="1" x14ac:dyDescent="0.4">
      <c r="B377" s="279" t="s">
        <v>346</v>
      </c>
      <c r="C377" s="280">
        <f>+U360</f>
        <v>-58.996751865487539</v>
      </c>
      <c r="D377" s="706"/>
      <c r="E377" s="707"/>
      <c r="F377" s="68"/>
      <c r="G377" s="68"/>
      <c r="H377" s="69"/>
      <c r="I377" s="68"/>
      <c r="J377" s="68"/>
      <c r="K377" s="68"/>
      <c r="L377" s="68"/>
      <c r="M377" s="69"/>
      <c r="N377" s="68"/>
      <c r="O377" s="68"/>
      <c r="P377" s="68"/>
      <c r="Q377" s="68"/>
      <c r="R377" s="69"/>
      <c r="S377" s="68"/>
      <c r="T377" s="68"/>
      <c r="U377" s="68"/>
      <c r="V377" s="68"/>
      <c r="W377" s="69"/>
      <c r="X377" s="68"/>
      <c r="Y377" s="68"/>
      <c r="Z377" s="68"/>
      <c r="AA377" s="68"/>
      <c r="AB377" s="69"/>
      <c r="AC377" s="68"/>
      <c r="AD377" s="68"/>
      <c r="AE377" s="68"/>
      <c r="AF377" s="68"/>
      <c r="AG377" s="69"/>
      <c r="AH377" s="68"/>
      <c r="AI377" s="68"/>
      <c r="AJ377" s="68"/>
      <c r="AK377" s="68"/>
      <c r="AL377" s="69"/>
      <c r="AM377" s="68"/>
      <c r="AN377" s="68"/>
      <c r="AO377" s="68"/>
      <c r="AP377" s="68"/>
      <c r="AQ377" s="69"/>
    </row>
    <row r="378" spans="2:43" outlineLevel="1" x14ac:dyDescent="0.25">
      <c r="B378" s="506" t="s">
        <v>65</v>
      </c>
      <c r="C378" s="508">
        <f>(C374*(X45+Y45+V45+Z45))+C377</f>
        <v>159.97952898361615</v>
      </c>
      <c r="D378" s="706"/>
      <c r="E378" s="707"/>
      <c r="F378" s="67"/>
      <c r="G378" s="67"/>
      <c r="H378" s="67"/>
      <c r="I378" s="66"/>
      <c r="J378" s="66"/>
      <c r="K378" s="67"/>
      <c r="L378" s="67"/>
      <c r="M378" s="67"/>
      <c r="N378" s="66"/>
      <c r="O378" s="66"/>
      <c r="P378" s="67"/>
      <c r="Q378" s="67"/>
      <c r="R378" s="67"/>
      <c r="S378" s="66"/>
      <c r="T378" s="66"/>
    </row>
    <row r="379" spans="2:43" ht="122.25" customHeight="1" outlineLevel="1" x14ac:dyDescent="0.25">
      <c r="B379" s="779" t="s">
        <v>784</v>
      </c>
      <c r="C379" s="780"/>
      <c r="D379" s="708"/>
      <c r="E379" s="648"/>
      <c r="F379" s="67"/>
      <c r="G379" s="67"/>
      <c r="H379" s="67"/>
      <c r="I379" s="70"/>
      <c r="J379" s="66"/>
      <c r="K379" s="67"/>
      <c r="L379" s="67"/>
      <c r="M379" s="67"/>
      <c r="N379" s="66"/>
      <c r="O379" s="66"/>
      <c r="P379" s="67"/>
      <c r="Q379" s="67"/>
      <c r="R379" s="67"/>
      <c r="S379" s="66"/>
      <c r="T379" s="66"/>
    </row>
    <row r="380" spans="2:43" ht="64.900000000000006" customHeight="1" outlineLevel="1" x14ac:dyDescent="0.25">
      <c r="B380" s="785" t="s">
        <v>506</v>
      </c>
      <c r="C380" s="786"/>
      <c r="D380" s="648"/>
      <c r="E380" s="648"/>
      <c r="F380" s="67"/>
      <c r="G380" s="67"/>
      <c r="H380" s="67"/>
      <c r="I380" s="70"/>
      <c r="J380" s="66"/>
      <c r="K380" s="67"/>
      <c r="L380" s="67"/>
      <c r="M380" s="67"/>
      <c r="N380" s="66"/>
      <c r="O380" s="66"/>
      <c r="P380" s="67"/>
      <c r="Q380" s="67"/>
      <c r="R380" s="67"/>
      <c r="S380" s="66"/>
      <c r="T380" s="66"/>
    </row>
    <row r="381" spans="2:43" ht="15" customHeight="1" x14ac:dyDescent="0.25">
      <c r="B381" s="651" t="s">
        <v>747</v>
      </c>
      <c r="C381" s="653">
        <f>ROUND((C384-C407),0)</f>
        <v>0</v>
      </c>
      <c r="D381" s="80"/>
      <c r="E381" s="64"/>
    </row>
    <row r="382" spans="2:43" ht="15.75" x14ac:dyDescent="0.25">
      <c r="B382" s="713" t="s">
        <v>32</v>
      </c>
      <c r="C382" s="778"/>
      <c r="D382" s="80"/>
      <c r="E382" s="64"/>
    </row>
    <row r="383" spans="2:43" outlineLevel="1" x14ac:dyDescent="0.25">
      <c r="B383" s="466" t="s">
        <v>494</v>
      </c>
      <c r="C383" s="87"/>
      <c r="D383" s="80"/>
      <c r="E383" s="64"/>
    </row>
    <row r="384" spans="2:43" outlineLevel="1" x14ac:dyDescent="0.25">
      <c r="B384" s="467" t="s">
        <v>746</v>
      </c>
      <c r="C384" s="468">
        <v>147.41484126984125</v>
      </c>
      <c r="D384" s="80"/>
      <c r="E384" s="64"/>
      <c r="F384" s="685"/>
      <c r="G384" s="685"/>
      <c r="H384" s="685"/>
    </row>
    <row r="385" spans="2:5" ht="17.25" outlineLevel="1" x14ac:dyDescent="0.4">
      <c r="B385" s="467" t="s">
        <v>33</v>
      </c>
      <c r="C385" s="484">
        <f>U42</f>
        <v>263.47000000000003</v>
      </c>
      <c r="D385" s="80"/>
      <c r="E385" s="64"/>
    </row>
    <row r="386" spans="2:5" outlineLevel="1" x14ac:dyDescent="0.25">
      <c r="B386" s="477" t="s">
        <v>34</v>
      </c>
      <c r="C386" s="469">
        <f>C385*C384</f>
        <v>38839.388229365075</v>
      </c>
      <c r="D386" s="80"/>
      <c r="E386" s="64"/>
    </row>
    <row r="387" spans="2:5" outlineLevel="1" x14ac:dyDescent="0.25">
      <c r="B387" s="470" t="s">
        <v>52</v>
      </c>
      <c r="C387" s="645">
        <v>1.59</v>
      </c>
      <c r="D387" s="80"/>
      <c r="E387" s="64"/>
    </row>
    <row r="388" spans="2:5" outlineLevel="1" x14ac:dyDescent="0.25">
      <c r="B388" s="470" t="s">
        <v>496</v>
      </c>
      <c r="C388" s="471">
        <v>0.32300000000000001</v>
      </c>
      <c r="D388" s="80"/>
      <c r="E388" s="64"/>
    </row>
    <row r="389" spans="2:5" outlineLevel="1" x14ac:dyDescent="0.25">
      <c r="B389" s="470" t="s">
        <v>497</v>
      </c>
      <c r="C389" s="472">
        <v>0.187</v>
      </c>
      <c r="D389" s="80"/>
      <c r="E389" s="64"/>
    </row>
    <row r="390" spans="2:5" outlineLevel="1" x14ac:dyDescent="0.25">
      <c r="B390" s="478" t="s">
        <v>35</v>
      </c>
      <c r="C390" s="473">
        <f>C388*C389</f>
        <v>6.0401000000000003E-2</v>
      </c>
      <c r="D390" s="80"/>
      <c r="E390" s="64"/>
    </row>
    <row r="391" spans="2:5" outlineLevel="1" x14ac:dyDescent="0.25">
      <c r="B391" s="470" t="s">
        <v>767</v>
      </c>
      <c r="C391" s="474">
        <v>3.3599999999999998E-2</v>
      </c>
    </row>
    <row r="392" spans="2:5" outlineLevel="1" x14ac:dyDescent="0.25">
      <c r="B392" s="477" t="s">
        <v>36</v>
      </c>
      <c r="C392" s="480">
        <f>C391+(C387*C390)</f>
        <v>0.12963759</v>
      </c>
    </row>
    <row r="393" spans="2:5" outlineLevel="1" x14ac:dyDescent="0.25">
      <c r="B393" s="274" t="s">
        <v>37</v>
      </c>
      <c r="C393" s="475">
        <f>C386/(C386+U272+U277+U271)</f>
        <v>0.67835341669109805</v>
      </c>
    </row>
    <row r="394" spans="2:5" outlineLevel="1" x14ac:dyDescent="0.25">
      <c r="B394" s="274" t="s">
        <v>38</v>
      </c>
      <c r="C394" s="475">
        <f>-R231</f>
        <v>3.5410585099631936E-2</v>
      </c>
    </row>
    <row r="395" spans="2:5" outlineLevel="1" x14ac:dyDescent="0.25">
      <c r="B395" s="274" t="s">
        <v>2</v>
      </c>
      <c r="C395" s="275">
        <v>0.25</v>
      </c>
    </row>
    <row r="396" spans="2:5" outlineLevel="1" x14ac:dyDescent="0.25">
      <c r="B396" s="274" t="s">
        <v>39</v>
      </c>
      <c r="C396" s="475">
        <f>C394*(1-C395)</f>
        <v>2.6557938824723952E-2</v>
      </c>
    </row>
    <row r="397" spans="2:5" outlineLevel="1" x14ac:dyDescent="0.25">
      <c r="B397" s="479" t="s">
        <v>495</v>
      </c>
      <c r="C397" s="476">
        <f>(C393*C392)+((1-C393)*C396)</f>
        <v>9.6482372390799029E-2</v>
      </c>
    </row>
    <row r="398" spans="2:5" outlineLevel="1" x14ac:dyDescent="0.25">
      <c r="B398" s="482" t="s">
        <v>498</v>
      </c>
      <c r="C398" s="483"/>
    </row>
    <row r="399" spans="2:5" outlineLevel="1" x14ac:dyDescent="0.25">
      <c r="B399" s="279" t="s">
        <v>53</v>
      </c>
      <c r="C399" s="481">
        <v>0.06</v>
      </c>
    </row>
    <row r="400" spans="2:5" outlineLevel="1" x14ac:dyDescent="0.25">
      <c r="B400" s="279" t="s">
        <v>54</v>
      </c>
      <c r="C400" s="481">
        <v>0.06</v>
      </c>
    </row>
    <row r="401" spans="2:3" outlineLevel="1" x14ac:dyDescent="0.25">
      <c r="B401" s="279" t="s">
        <v>493</v>
      </c>
      <c r="C401" s="481">
        <v>0.08</v>
      </c>
    </row>
    <row r="402" spans="2:3" outlineLevel="1" x14ac:dyDescent="0.25">
      <c r="B402" s="279" t="s">
        <v>108</v>
      </c>
      <c r="C402" s="481">
        <f>(C393*(0.063+(1.33*(0.325*0.1859))))+((1-C393)*C396)</f>
        <v>0.10578781087964126</v>
      </c>
    </row>
    <row r="403" spans="2:3" outlineLevel="1" x14ac:dyDescent="0.25">
      <c r="B403" s="482" t="s">
        <v>55</v>
      </c>
      <c r="C403" s="87"/>
    </row>
    <row r="404" spans="2:3" outlineLevel="1" x14ac:dyDescent="0.25">
      <c r="B404" s="279" t="s">
        <v>503</v>
      </c>
      <c r="C404" s="493">
        <f>((((AQ334*(1+C400))-(C401*AQ13*(1+C399))+(C396*(AQ277+AQ271+AQ272))))/(C402-C399))/(1+$C$402)^5</f>
        <v>44180.308840686608</v>
      </c>
    </row>
    <row r="405" spans="2:3" outlineLevel="1" x14ac:dyDescent="0.25">
      <c r="B405" s="279" t="s">
        <v>502</v>
      </c>
      <c r="C405" s="494">
        <f>W356+AB356+AG356+AL356+AQ356</f>
        <v>10212.782810140503</v>
      </c>
    </row>
    <row r="406" spans="2:3" ht="17.25" outlineLevel="1" x14ac:dyDescent="0.4">
      <c r="B406" s="279" t="s">
        <v>62</v>
      </c>
      <c r="C406" s="495">
        <f>C377</f>
        <v>-58.996751865487539</v>
      </c>
    </row>
    <row r="407" spans="2:3" outlineLevel="1" x14ac:dyDescent="0.25">
      <c r="B407" s="496" t="s">
        <v>66</v>
      </c>
      <c r="C407" s="497">
        <f>(C404+C405)/C385+C406</f>
        <v>147.4521480124003</v>
      </c>
    </row>
    <row r="408" spans="2:3" ht="173.25" customHeight="1" outlineLevel="1" x14ac:dyDescent="0.25">
      <c r="B408" s="783" t="s">
        <v>785</v>
      </c>
      <c r="C408" s="784"/>
    </row>
    <row r="409" spans="2:3" ht="88.9" customHeight="1" outlineLevel="1" x14ac:dyDescent="0.25">
      <c r="B409" s="771" t="s">
        <v>492</v>
      </c>
      <c r="C409" s="772"/>
    </row>
    <row r="410" spans="2:3" ht="106.5" customHeight="1" outlineLevel="1" x14ac:dyDescent="0.25">
      <c r="B410" s="773" t="s">
        <v>768</v>
      </c>
      <c r="C410" s="774"/>
    </row>
    <row r="411" spans="2:3" ht="81.75" customHeight="1" outlineLevel="1" x14ac:dyDescent="0.25">
      <c r="B411" s="773" t="s">
        <v>64</v>
      </c>
      <c r="C411" s="774"/>
    </row>
    <row r="412" spans="2:3" ht="96" customHeight="1" outlineLevel="1" x14ac:dyDescent="0.25">
      <c r="B412" s="781" t="s">
        <v>499</v>
      </c>
      <c r="C412" s="782"/>
    </row>
    <row r="413" spans="2:3" ht="13.5" customHeight="1" x14ac:dyDescent="0.25">
      <c r="C413" s="88"/>
    </row>
    <row r="414" spans="2:3" ht="15.75" x14ac:dyDescent="0.25">
      <c r="B414" s="713" t="s">
        <v>106</v>
      </c>
      <c r="C414" s="778"/>
    </row>
    <row r="415" spans="2:3" outlineLevel="1" x14ac:dyDescent="0.25">
      <c r="B415" s="513" t="s">
        <v>100</v>
      </c>
      <c r="C415" s="517">
        <f>ABS('Std Dev &amp; Mean Return'!I17)</f>
        <v>1.6441340788881254E-2</v>
      </c>
    </row>
    <row r="416" spans="2:3" outlineLevel="1" x14ac:dyDescent="0.25">
      <c r="B416" s="279" t="s">
        <v>101</v>
      </c>
      <c r="C416" s="518">
        <f>'Std Dev &amp; Mean Return'!K20</f>
        <v>0.10004273195404793</v>
      </c>
    </row>
    <row r="417" spans="2:3" outlineLevel="1" x14ac:dyDescent="0.25">
      <c r="B417" s="279" t="s">
        <v>104</v>
      </c>
      <c r="C417" s="514">
        <f>C8</f>
        <v>153.71583849800822</v>
      </c>
    </row>
    <row r="418" spans="2:3" outlineLevel="1" x14ac:dyDescent="0.25">
      <c r="B418" s="274" t="s">
        <v>102</v>
      </c>
      <c r="C418" s="514">
        <f>C417*(1+(C415+(2*C416)))</f>
        <v>186.99943783929851</v>
      </c>
    </row>
    <row r="419" spans="2:3" outlineLevel="1" x14ac:dyDescent="0.25">
      <c r="B419" s="515" t="s">
        <v>103</v>
      </c>
      <c r="C419" s="516">
        <f>C417*(1+(C415-(2*C416)))</f>
        <v>125.48682812750668</v>
      </c>
    </row>
    <row r="420" spans="2:3" outlineLevel="1" x14ac:dyDescent="0.25">
      <c r="B420" s="779" t="s">
        <v>786</v>
      </c>
      <c r="C420" s="780"/>
    </row>
    <row r="421" spans="2:3" outlineLevel="1" x14ac:dyDescent="0.25">
      <c r="B421" s="773"/>
      <c r="C421" s="774"/>
    </row>
    <row r="422" spans="2:3" outlineLevel="1" x14ac:dyDescent="0.25">
      <c r="B422" s="773"/>
      <c r="C422" s="774"/>
    </row>
    <row r="423" spans="2:3" outlineLevel="1" x14ac:dyDescent="0.25">
      <c r="B423" s="773"/>
      <c r="C423" s="774"/>
    </row>
    <row r="424" spans="2:3" outlineLevel="1" x14ac:dyDescent="0.25">
      <c r="B424" s="773"/>
      <c r="C424" s="774"/>
    </row>
    <row r="425" spans="2:3" outlineLevel="1" x14ac:dyDescent="0.25">
      <c r="B425" s="773"/>
      <c r="C425" s="774"/>
    </row>
    <row r="426" spans="2:3" outlineLevel="1" x14ac:dyDescent="0.25">
      <c r="B426" s="773"/>
      <c r="C426" s="774"/>
    </row>
    <row r="427" spans="2:3" outlineLevel="1" x14ac:dyDescent="0.25">
      <c r="B427" s="773"/>
      <c r="C427" s="774"/>
    </row>
    <row r="428" spans="2:3" outlineLevel="1" x14ac:dyDescent="0.25">
      <c r="B428" s="773"/>
      <c r="C428" s="774"/>
    </row>
    <row r="429" spans="2:3" outlineLevel="1" x14ac:dyDescent="0.25">
      <c r="B429" s="773"/>
      <c r="C429" s="774"/>
    </row>
    <row r="430" spans="2:3" outlineLevel="1" x14ac:dyDescent="0.25">
      <c r="B430" s="773"/>
      <c r="C430" s="774"/>
    </row>
    <row r="431" spans="2:3" outlineLevel="1" x14ac:dyDescent="0.25">
      <c r="B431" s="773"/>
      <c r="C431" s="774"/>
    </row>
    <row r="432" spans="2:3" outlineLevel="1" x14ac:dyDescent="0.25">
      <c r="B432" s="773"/>
      <c r="C432" s="774"/>
    </row>
    <row r="433" spans="2:3" ht="37.5" customHeight="1" outlineLevel="1" x14ac:dyDescent="0.25">
      <c r="B433" s="781"/>
      <c r="C433" s="782"/>
    </row>
    <row r="434" spans="2:3" ht="14.45" customHeight="1" x14ac:dyDescent="0.25"/>
  </sheetData>
  <dataConsolidate/>
  <mergeCells count="143">
    <mergeCell ref="B336:C336"/>
    <mergeCell ref="B337:C337"/>
    <mergeCell ref="B382:C382"/>
    <mergeCell ref="B335:C335"/>
    <mergeCell ref="B269:C269"/>
    <mergeCell ref="B338:C338"/>
    <mergeCell ref="A11:A12"/>
    <mergeCell ref="B51:C51"/>
    <mergeCell ref="B139:C139"/>
    <mergeCell ref="B340:C340"/>
    <mergeCell ref="B339:C339"/>
    <mergeCell ref="B319:C319"/>
    <mergeCell ref="B320:C320"/>
    <mergeCell ref="B321:C321"/>
    <mergeCell ref="B323:C323"/>
    <mergeCell ref="B324:C324"/>
    <mergeCell ref="B276:C276"/>
    <mergeCell ref="B272:C272"/>
    <mergeCell ref="B301:C301"/>
    <mergeCell ref="B298:C298"/>
    <mergeCell ref="B234:C234"/>
    <mergeCell ref="B233:C233"/>
    <mergeCell ref="B229:C229"/>
    <mergeCell ref="B300:C300"/>
    <mergeCell ref="B414:C414"/>
    <mergeCell ref="B420:C433"/>
    <mergeCell ref="B408:C408"/>
    <mergeCell ref="B379:C379"/>
    <mergeCell ref="B380:C380"/>
    <mergeCell ref="B341:C341"/>
    <mergeCell ref="B343:C343"/>
    <mergeCell ref="B346:C346"/>
    <mergeCell ref="B345:C345"/>
    <mergeCell ref="B344:C344"/>
    <mergeCell ref="B412:C412"/>
    <mergeCell ref="B2:C2"/>
    <mergeCell ref="B409:C409"/>
    <mergeCell ref="B410:C410"/>
    <mergeCell ref="B411:C411"/>
    <mergeCell ref="B351:C351"/>
    <mergeCell ref="B349:C349"/>
    <mergeCell ref="B348:C348"/>
    <mergeCell ref="B367:C367"/>
    <mergeCell ref="B311:C311"/>
    <mergeCell ref="B364:C364"/>
    <mergeCell ref="B363:C363"/>
    <mergeCell ref="B362:C362"/>
    <mergeCell ref="B361:C361"/>
    <mergeCell ref="B356:C356"/>
    <mergeCell ref="B354:C354"/>
    <mergeCell ref="B84:C84"/>
    <mergeCell ref="B360:C360"/>
    <mergeCell ref="B353:C353"/>
    <mergeCell ref="B352:C352"/>
    <mergeCell ref="B370:C370"/>
    <mergeCell ref="B237:C237"/>
    <mergeCell ref="B236:C236"/>
    <mergeCell ref="B235:C235"/>
    <mergeCell ref="B223:C223"/>
    <mergeCell ref="B287:C287"/>
    <mergeCell ref="B230:C230"/>
    <mergeCell ref="B232:C232"/>
    <mergeCell ref="B262:C262"/>
    <mergeCell ref="B261:C261"/>
    <mergeCell ref="B259:C259"/>
    <mergeCell ref="B267:C267"/>
    <mergeCell ref="B268:C268"/>
    <mergeCell ref="B270:C270"/>
    <mergeCell ref="B286:C286"/>
    <mergeCell ref="B285:C285"/>
    <mergeCell ref="B284:C284"/>
    <mergeCell ref="B238:C238"/>
    <mergeCell ref="B239:C239"/>
    <mergeCell ref="B240:C240"/>
    <mergeCell ref="B253:C253"/>
    <mergeCell ref="B275:C275"/>
    <mergeCell ref="B274:C274"/>
    <mergeCell ref="B216:C216"/>
    <mergeCell ref="B3:C3"/>
    <mergeCell ref="B4:C4"/>
    <mergeCell ref="B5:C5"/>
    <mergeCell ref="B11:C11"/>
    <mergeCell ref="B12:C12"/>
    <mergeCell ref="B46:C46"/>
    <mergeCell ref="B44:C44"/>
    <mergeCell ref="B43:C43"/>
    <mergeCell ref="B42:C42"/>
    <mergeCell ref="B41:C41"/>
    <mergeCell ref="B38:C38"/>
    <mergeCell ref="B13:C13"/>
    <mergeCell ref="B29:C29"/>
    <mergeCell ref="B37:C37"/>
    <mergeCell ref="B35:C35"/>
    <mergeCell ref="B33:C33"/>
    <mergeCell ref="B32:C32"/>
    <mergeCell ref="B220:C220"/>
    <mergeCell ref="B78:C78"/>
    <mergeCell ref="B222:C222"/>
    <mergeCell ref="B221:C221"/>
    <mergeCell ref="B50:C50"/>
    <mergeCell ref="B49:C49"/>
    <mergeCell ref="B102:C102"/>
    <mergeCell ref="B90:C90"/>
    <mergeCell ref="B77:C77"/>
    <mergeCell ref="B190:C190"/>
    <mergeCell ref="B156:C156"/>
    <mergeCell ref="B173:C173"/>
    <mergeCell ref="B141:C141"/>
    <mergeCell ref="B96:C96"/>
    <mergeCell ref="B108:C108"/>
    <mergeCell ref="B114:C114"/>
    <mergeCell ref="B120:C120"/>
    <mergeCell ref="B126:C126"/>
    <mergeCell ref="B132:C132"/>
    <mergeCell ref="B183:C183"/>
    <mergeCell ref="B137:C137"/>
    <mergeCell ref="B197:C197"/>
    <mergeCell ref="B179:C179"/>
    <mergeCell ref="B195:C195"/>
    <mergeCell ref="B224:C224"/>
    <mergeCell ref="B315:C315"/>
    <mergeCell ref="B258:C258"/>
    <mergeCell ref="B257:C257"/>
    <mergeCell ref="B255:C255"/>
    <mergeCell ref="B327:C327"/>
    <mergeCell ref="B334:C334"/>
    <mergeCell ref="B333:C333"/>
    <mergeCell ref="B332:C332"/>
    <mergeCell ref="B330:C330"/>
    <mergeCell ref="B329:C329"/>
    <mergeCell ref="B328:C328"/>
    <mergeCell ref="B317:C317"/>
    <mergeCell ref="B312:C312"/>
    <mergeCell ref="B308:C308"/>
    <mergeCell ref="B307:C307"/>
    <mergeCell ref="B304:C304"/>
    <mergeCell ref="B303:C303"/>
    <mergeCell ref="B283:C283"/>
    <mergeCell ref="B277:C277"/>
    <mergeCell ref="B297:C297"/>
    <mergeCell ref="B295:C295"/>
    <mergeCell ref="B290:C290"/>
    <mergeCell ref="B288:C288"/>
  </mergeCells>
  <conditionalFormatting sqref="AM189:AP189">
    <cfRule type="cellIs" dxfId="59" priority="57" operator="lessThan">
      <formula>-2</formula>
    </cfRule>
    <cfRule type="cellIs" dxfId="58" priority="58" operator="greaterThan">
      <formula>2</formula>
    </cfRule>
  </conditionalFormatting>
  <conditionalFormatting sqref="S186:V187">
    <cfRule type="cellIs" dxfId="57" priority="79" operator="lessThan">
      <formula>-2</formula>
    </cfRule>
    <cfRule type="cellIs" dxfId="56" priority="80" operator="greaterThan">
      <formula>2</formula>
    </cfRule>
  </conditionalFormatting>
  <conditionalFormatting sqref="S189:V189">
    <cfRule type="cellIs" dxfId="55" priority="81" operator="lessThan">
      <formula>-2</formula>
    </cfRule>
    <cfRule type="cellIs" dxfId="54" priority="82" operator="greaterThan">
      <formula>2</formula>
    </cfRule>
  </conditionalFormatting>
  <conditionalFormatting sqref="N189:Q189">
    <cfRule type="cellIs" dxfId="53" priority="77" operator="lessThan">
      <formula>-2</formula>
    </cfRule>
    <cfRule type="cellIs" dxfId="52" priority="78" operator="greaterThan">
      <formula>2</formula>
    </cfRule>
  </conditionalFormatting>
  <conditionalFormatting sqref="N186:Q187">
    <cfRule type="cellIs" dxfId="51" priority="75" operator="lessThan">
      <formula>-2</formula>
    </cfRule>
    <cfRule type="cellIs" dxfId="50" priority="76" operator="greaterThan">
      <formula>2</formula>
    </cfRule>
  </conditionalFormatting>
  <conditionalFormatting sqref="I186:L188">
    <cfRule type="cellIs" dxfId="49" priority="71" operator="lessThan">
      <formula>-2</formula>
    </cfRule>
    <cfRule type="cellIs" dxfId="48" priority="72" operator="greaterThan">
      <formula>2</formula>
    </cfRule>
  </conditionalFormatting>
  <conditionalFormatting sqref="D185:G187">
    <cfRule type="cellIs" dxfId="47" priority="67" operator="lessThan">
      <formula>-2</formula>
    </cfRule>
    <cfRule type="cellIs" dxfId="46" priority="68" operator="greaterThan">
      <formula>2</formula>
    </cfRule>
  </conditionalFormatting>
  <conditionalFormatting sqref="AC189:AF189">
    <cfRule type="cellIs" dxfId="45" priority="65" operator="lessThan">
      <formula>-2</formula>
    </cfRule>
    <cfRule type="cellIs" dxfId="44" priority="66" operator="greaterThan">
      <formula>2</formula>
    </cfRule>
  </conditionalFormatting>
  <conditionalFormatting sqref="AC186:AF187">
    <cfRule type="cellIs" dxfId="43" priority="63" operator="lessThan">
      <formula>-2</formula>
    </cfRule>
    <cfRule type="cellIs" dxfId="42" priority="64" operator="greaterThan">
      <formula>2</formula>
    </cfRule>
  </conditionalFormatting>
  <conditionalFormatting sqref="AH189:AK189">
    <cfRule type="cellIs" dxfId="41" priority="61" operator="lessThan">
      <formula>-2</formula>
    </cfRule>
    <cfRule type="cellIs" dxfId="40" priority="62" operator="greaterThan">
      <formula>2</formula>
    </cfRule>
  </conditionalFormatting>
  <conditionalFormatting sqref="AH186:AK187">
    <cfRule type="cellIs" dxfId="39" priority="59" operator="lessThan">
      <formula>-2</formula>
    </cfRule>
    <cfRule type="cellIs" dxfId="38" priority="60" operator="greaterThan">
      <formula>2</formula>
    </cfRule>
  </conditionalFormatting>
  <conditionalFormatting sqref="AM186:AP187">
    <cfRule type="cellIs" dxfId="37" priority="55" operator="lessThan">
      <formula>-2</formula>
    </cfRule>
    <cfRule type="cellIs" dxfId="36" priority="56" operator="greaterThan">
      <formula>2</formula>
    </cfRule>
  </conditionalFormatting>
  <conditionalFormatting sqref="X189:AA189">
    <cfRule type="cellIs" dxfId="35" priority="53" operator="lessThan">
      <formula>-2</formula>
    </cfRule>
    <cfRule type="cellIs" dxfId="34" priority="54" operator="greaterThan">
      <formula>2</formula>
    </cfRule>
  </conditionalFormatting>
  <conditionalFormatting sqref="X186:AA187">
    <cfRule type="cellIs" dxfId="33" priority="51" operator="lessThan">
      <formula>-2</formula>
    </cfRule>
    <cfRule type="cellIs" dxfId="32" priority="52" operator="greaterThan">
      <formula>2</formula>
    </cfRule>
  </conditionalFormatting>
  <conditionalFormatting sqref="AM188:AP188">
    <cfRule type="cellIs" dxfId="31" priority="35" operator="lessThan">
      <formula>-2</formula>
    </cfRule>
    <cfRule type="cellIs" dxfId="30" priority="36" operator="greaterThan">
      <formula>2</formula>
    </cfRule>
  </conditionalFormatting>
  <conditionalFormatting sqref="D188:G188">
    <cfRule type="cellIs" dxfId="29" priority="47" operator="lessThan">
      <formula>-2</formula>
    </cfRule>
    <cfRule type="cellIs" dxfId="28" priority="48" operator="greaterThan">
      <formula>2</formula>
    </cfRule>
  </conditionalFormatting>
  <conditionalFormatting sqref="AC188:AF188">
    <cfRule type="cellIs" dxfId="27" priority="39" operator="lessThan">
      <formula>-2</formula>
    </cfRule>
    <cfRule type="cellIs" dxfId="26" priority="40" operator="greaterThan">
      <formula>2</formula>
    </cfRule>
  </conditionalFormatting>
  <conditionalFormatting sqref="S188:V188">
    <cfRule type="cellIs" dxfId="25" priority="43" operator="lessThan">
      <formula>-2</formula>
    </cfRule>
    <cfRule type="cellIs" dxfId="24" priority="44" operator="greaterThan">
      <formula>2</formula>
    </cfRule>
  </conditionalFormatting>
  <conditionalFormatting sqref="X188:AA188">
    <cfRule type="cellIs" dxfId="23" priority="41" operator="lessThan">
      <formula>-2</formula>
    </cfRule>
    <cfRule type="cellIs" dxfId="22" priority="42" operator="greaterThan">
      <formula>2</formula>
    </cfRule>
  </conditionalFormatting>
  <conditionalFormatting sqref="AH188:AK188">
    <cfRule type="cellIs" dxfId="21" priority="37" operator="lessThan">
      <formula>-2</formula>
    </cfRule>
    <cfRule type="cellIs" dxfId="20" priority="38" operator="greaterThan">
      <formula>2</formula>
    </cfRule>
  </conditionalFormatting>
  <conditionalFormatting sqref="N188:Q188">
    <cfRule type="cellIs" dxfId="19" priority="33" operator="lessThan">
      <formula>-2</formula>
    </cfRule>
    <cfRule type="cellIs" dxfId="18" priority="34" operator="greaterThan">
      <formula>2</formula>
    </cfRule>
  </conditionalFormatting>
  <conditionalFormatting sqref="I189:L189">
    <cfRule type="cellIs" dxfId="17" priority="31" operator="lessThan">
      <formula>-2</formula>
    </cfRule>
    <cfRule type="cellIs" dxfId="16" priority="32" operator="greaterThan">
      <formula>2</formula>
    </cfRule>
  </conditionalFormatting>
  <conditionalFormatting sqref="D189:G189">
    <cfRule type="cellIs" dxfId="15" priority="29" operator="lessThan">
      <formula>-2</formula>
    </cfRule>
    <cfRule type="cellIs" dxfId="14" priority="30" operator="greaterThan">
      <formula>2</formula>
    </cfRule>
  </conditionalFormatting>
  <conditionalFormatting sqref="I185:L185">
    <cfRule type="cellIs" dxfId="13" priority="13" operator="lessThan">
      <formula>-2</formula>
    </cfRule>
    <cfRule type="cellIs" dxfId="12" priority="14" operator="greaterThan">
      <formula>2</formula>
    </cfRule>
  </conditionalFormatting>
  <conditionalFormatting sqref="N185:Q185">
    <cfRule type="cellIs" dxfId="11" priority="11" operator="lessThan">
      <formula>-2</formula>
    </cfRule>
    <cfRule type="cellIs" dxfId="10" priority="12" operator="greaterThan">
      <formula>2</formula>
    </cfRule>
  </conditionalFormatting>
  <conditionalFormatting sqref="S185:V185">
    <cfRule type="cellIs" dxfId="9" priority="9" operator="lessThan">
      <formula>-2</formula>
    </cfRule>
    <cfRule type="cellIs" dxfId="8" priority="10" operator="greaterThan">
      <formula>2</formula>
    </cfRule>
  </conditionalFormatting>
  <conditionalFormatting sqref="X185:AA185">
    <cfRule type="cellIs" dxfId="7" priority="7" operator="lessThan">
      <formula>-2</formula>
    </cfRule>
    <cfRule type="cellIs" dxfId="6" priority="8" operator="greaterThan">
      <formula>2</formula>
    </cfRule>
  </conditionalFormatting>
  <conditionalFormatting sqref="AC185:AF185">
    <cfRule type="cellIs" dxfId="5" priority="5" operator="lessThan">
      <formula>-2</formula>
    </cfRule>
    <cfRule type="cellIs" dxfId="4" priority="6" operator="greaterThan">
      <formula>2</formula>
    </cfRule>
  </conditionalFormatting>
  <conditionalFormatting sqref="AH185:AK185">
    <cfRule type="cellIs" dxfId="3" priority="3" operator="lessThan">
      <formula>-2</formula>
    </cfRule>
    <cfRule type="cellIs" dxfId="2" priority="4" operator="greaterThan">
      <formula>2</formula>
    </cfRule>
  </conditionalFormatting>
  <conditionalFormatting sqref="AM185:AP185">
    <cfRule type="cellIs" dxfId="1" priority="1" operator="lessThan">
      <formula>-2</formula>
    </cfRule>
    <cfRule type="cellIs" dxfId="0" priority="2" operator="greaterThan">
      <formula>2</formula>
    </cfRule>
  </conditionalFormatting>
  <pageMargins left="0.7" right="0.7" top="0.75" bottom="0.75" header="0.3" footer="0.3"/>
  <pageSetup scale="43" orientation="landscape" r:id="rId1"/>
  <headerFooter>
    <oddFooter>&amp;CGutenberg Research LLC prohibits the redistribution of this document in whole or part without the written permission. 
© Gutenberg Research LLC 2018.</oddFooter>
  </headerFooter>
  <rowBreaks count="1" manualBreakCount="1">
    <brk id="253" max="16383" man="1"/>
  </rowBreaks>
  <ignoredErrors>
    <ignoredError sqref="G326" formula="1"/>
  </ignoredError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2995-7B9E-4033-B251-A9F6C619E9A9}">
  <sheetPr>
    <tabColor theme="4" tint="0.39997558519241921"/>
  </sheetPr>
  <dimension ref="B1:T55"/>
  <sheetViews>
    <sheetView showGridLines="0" zoomScaleNormal="100" workbookViewId="0">
      <selection activeCell="O14" activeCellId="3" sqref="D14 I14 L14 O14"/>
    </sheetView>
  </sheetViews>
  <sheetFormatPr defaultColWidth="9.140625" defaultRowHeight="15" x14ac:dyDescent="0.25"/>
  <cols>
    <col min="1" max="1" width="1.140625" style="6" customWidth="1"/>
    <col min="2" max="2" width="26.7109375" style="6" customWidth="1"/>
    <col min="3" max="3" width="8.7109375" style="6" customWidth="1"/>
    <col min="4" max="4" width="12.28515625" style="6" customWidth="1"/>
    <col min="5" max="6" width="11.140625" style="6" customWidth="1"/>
    <col min="7" max="7" width="13.28515625" style="6" customWidth="1"/>
    <col min="8" max="8" width="8.7109375" style="6" customWidth="1"/>
    <col min="9" max="10" width="11.140625" style="6" customWidth="1"/>
    <col min="11" max="11" width="8.7109375" style="6" customWidth="1"/>
    <col min="12" max="13" width="11.140625" style="6" customWidth="1"/>
    <col min="14" max="14" width="8.7109375" style="6" customWidth="1"/>
    <col min="15" max="16" width="11.140625" style="6" customWidth="1"/>
    <col min="17" max="17" width="8.7109375" style="6" customWidth="1"/>
    <col min="18" max="19" width="11.140625" style="6" customWidth="1"/>
    <col min="20" max="20" width="1.140625" style="6" customWidth="1"/>
    <col min="21" max="16384" width="9.140625" style="6"/>
  </cols>
  <sheetData>
    <row r="1" spans="2:20" x14ac:dyDescent="0.25">
      <c r="B1" s="6" t="s">
        <v>509</v>
      </c>
    </row>
    <row r="2" spans="2:20" x14ac:dyDescent="0.25">
      <c r="B2" s="6" t="s">
        <v>466</v>
      </c>
    </row>
    <row r="3" spans="2:20" x14ac:dyDescent="0.25">
      <c r="B3" s="6" t="s">
        <v>489</v>
      </c>
    </row>
    <row r="4" spans="2:20" ht="5.45" customHeight="1" x14ac:dyDescent="0.25">
      <c r="D4" s="1"/>
      <c r="E4" s="1"/>
      <c r="F4" s="1"/>
      <c r="G4" s="1"/>
      <c r="H4" s="2"/>
      <c r="I4" s="2"/>
      <c r="J4" s="1"/>
      <c r="K4" s="9"/>
      <c r="M4" s="1"/>
      <c r="P4" s="1"/>
      <c r="S4" s="1"/>
    </row>
    <row r="5" spans="2:20" ht="16.899999999999999" customHeight="1" x14ac:dyDescent="0.25">
      <c r="B5" s="818" t="s">
        <v>482</v>
      </c>
      <c r="C5" s="819"/>
      <c r="D5" s="819"/>
      <c r="E5" s="819"/>
      <c r="F5" s="819"/>
      <c r="G5" s="819"/>
      <c r="H5" s="819"/>
      <c r="I5" s="819"/>
      <c r="J5" s="819"/>
      <c r="K5" s="819"/>
      <c r="L5" s="819"/>
      <c r="M5" s="819"/>
      <c r="N5" s="819"/>
      <c r="O5" s="819"/>
      <c r="P5" s="819"/>
      <c r="Q5" s="819"/>
      <c r="R5" s="819"/>
      <c r="S5" s="820"/>
    </row>
    <row r="6" spans="2:20" ht="16.899999999999999" customHeight="1" x14ac:dyDescent="0.25">
      <c r="B6" s="452"/>
      <c r="C6" s="462"/>
      <c r="D6" s="463"/>
      <c r="E6" s="453" t="s">
        <v>467</v>
      </c>
      <c r="F6" s="463"/>
      <c r="G6" s="463"/>
      <c r="H6" s="462"/>
      <c r="I6" s="453" t="s">
        <v>468</v>
      </c>
      <c r="J6" s="463"/>
      <c r="K6" s="462"/>
      <c r="L6" s="453" t="s">
        <v>469</v>
      </c>
      <c r="M6" s="464"/>
      <c r="N6" s="463"/>
      <c r="O6" s="453" t="s">
        <v>470</v>
      </c>
      <c r="P6" s="464"/>
      <c r="Q6" s="463"/>
      <c r="R6" s="453" t="s">
        <v>484</v>
      </c>
      <c r="S6" s="465"/>
    </row>
    <row r="7" spans="2:20" ht="27.6" customHeight="1" x14ac:dyDescent="0.25">
      <c r="B7" s="421"/>
      <c r="C7" s="25" t="s">
        <v>95</v>
      </c>
      <c r="D7" s="447" t="s">
        <v>70</v>
      </c>
      <c r="E7" s="447" t="s">
        <v>485</v>
      </c>
      <c r="F7" s="447" t="s">
        <v>486</v>
      </c>
      <c r="G7" s="26" t="s">
        <v>487</v>
      </c>
      <c r="H7" s="21" t="s">
        <v>95</v>
      </c>
      <c r="I7" s="23" t="s">
        <v>70</v>
      </c>
      <c r="J7" s="447" t="s">
        <v>485</v>
      </c>
      <c r="K7" s="25" t="s">
        <v>95</v>
      </c>
      <c r="L7" s="447" t="s">
        <v>70</v>
      </c>
      <c r="M7" s="447" t="s">
        <v>485</v>
      </c>
      <c r="N7" s="25" t="s">
        <v>95</v>
      </c>
      <c r="O7" s="447" t="s">
        <v>70</v>
      </c>
      <c r="P7" s="447" t="s">
        <v>485</v>
      </c>
      <c r="Q7" s="25" t="s">
        <v>95</v>
      </c>
      <c r="R7" s="447" t="s">
        <v>70</v>
      </c>
      <c r="S7" s="447" t="s">
        <v>485</v>
      </c>
      <c r="T7" s="10"/>
    </row>
    <row r="8" spans="2:20" x14ac:dyDescent="0.25">
      <c r="B8" s="17" t="s">
        <v>473</v>
      </c>
      <c r="C8" s="19">
        <v>18</v>
      </c>
      <c r="D8" s="448">
        <v>16871.400000000001</v>
      </c>
      <c r="E8" s="448">
        <v>16856.352795851482</v>
      </c>
      <c r="F8" s="521">
        <v>17052</v>
      </c>
      <c r="G8" s="454">
        <v>195.64720414851763</v>
      </c>
      <c r="H8" s="19">
        <v>18</v>
      </c>
      <c r="I8" s="448">
        <v>17782.3</v>
      </c>
      <c r="J8" s="448">
        <v>18044.557902588942</v>
      </c>
      <c r="K8" s="19">
        <v>18</v>
      </c>
      <c r="L8" s="448">
        <v>17880.400000000001</v>
      </c>
      <c r="M8" s="448">
        <v>17874.463721077576</v>
      </c>
      <c r="N8" s="19">
        <v>18</v>
      </c>
      <c r="O8" s="448">
        <v>18674.400000000001</v>
      </c>
      <c r="P8" s="448">
        <v>18669.58214467749</v>
      </c>
      <c r="Q8" s="19"/>
      <c r="R8" s="448"/>
      <c r="S8" s="443">
        <v>17710.844728893226</v>
      </c>
      <c r="T8" s="11"/>
    </row>
    <row r="9" spans="2:20" x14ac:dyDescent="0.25">
      <c r="B9" s="17" t="s">
        <v>488</v>
      </c>
      <c r="C9" s="19">
        <v>10</v>
      </c>
      <c r="D9" s="448">
        <v>1437.3</v>
      </c>
      <c r="E9" s="448">
        <v>1405.3010846220386</v>
      </c>
      <c r="F9" s="521">
        <v>1192</v>
      </c>
      <c r="G9" s="454">
        <v>-213.30108462203862</v>
      </c>
      <c r="H9" s="19">
        <v>12</v>
      </c>
      <c r="I9" s="448">
        <v>1454.2</v>
      </c>
      <c r="J9" s="448">
        <v>1550.7069786094653</v>
      </c>
      <c r="K9" s="19">
        <v>10</v>
      </c>
      <c r="L9" s="448">
        <v>1398.1</v>
      </c>
      <c r="M9" s="448">
        <v>1450.9662163808389</v>
      </c>
      <c r="N9" s="19">
        <v>10</v>
      </c>
      <c r="O9" s="448">
        <v>2165.6999999999998</v>
      </c>
      <c r="P9" s="448">
        <v>2313.3234359334742</v>
      </c>
      <c r="Q9" s="19"/>
      <c r="R9" s="448"/>
      <c r="S9" s="443">
        <v>1657.9367642813413</v>
      </c>
      <c r="T9" s="11"/>
    </row>
    <row r="10" spans="2:20" x14ac:dyDescent="0.25">
      <c r="B10" s="17" t="s">
        <v>481</v>
      </c>
      <c r="C10" s="19"/>
      <c r="D10" s="449">
        <v>8.5191507521604593E-2</v>
      </c>
      <c r="E10" s="449">
        <v>8.336922593171503E-2</v>
      </c>
      <c r="F10" s="522">
        <v>6.9903823598404885E-2</v>
      </c>
      <c r="G10" s="455">
        <v>-1.3465402333310145E-2</v>
      </c>
      <c r="H10" s="19"/>
      <c r="I10" s="449">
        <v>8.1777947734545026E-2</v>
      </c>
      <c r="J10" s="449">
        <v>8.5937654276748876E-2</v>
      </c>
      <c r="K10" s="19"/>
      <c r="L10" s="449">
        <v>7.819176304780652E-2</v>
      </c>
      <c r="M10" s="449">
        <v>8.1175370574606887E-2</v>
      </c>
      <c r="N10" s="19"/>
      <c r="O10" s="449">
        <v>0.11597159748104355</v>
      </c>
      <c r="P10" s="449">
        <v>0.12390868836842069</v>
      </c>
      <c r="Q10" s="19"/>
      <c r="R10" s="449"/>
      <c r="S10" s="444">
        <v>9.3611388370234333E-2</v>
      </c>
      <c r="T10" s="11"/>
    </row>
    <row r="11" spans="2:20" x14ac:dyDescent="0.25">
      <c r="B11" s="17" t="s">
        <v>474</v>
      </c>
      <c r="C11" s="19">
        <v>16</v>
      </c>
      <c r="D11" s="448">
        <v>2206.8000000000002</v>
      </c>
      <c r="E11" s="448">
        <v>1880.2300570510238</v>
      </c>
      <c r="F11" s="521">
        <v>1909</v>
      </c>
      <c r="G11" s="454">
        <v>28.769942948976222</v>
      </c>
      <c r="H11" s="19">
        <v>16</v>
      </c>
      <c r="I11" s="448">
        <v>2239.6</v>
      </c>
      <c r="J11" s="448">
        <v>2045.6622104972739</v>
      </c>
      <c r="K11" s="19">
        <v>16</v>
      </c>
      <c r="L11" s="448">
        <v>2174.8000000000002</v>
      </c>
      <c r="M11" s="448">
        <v>1950.8268922613763</v>
      </c>
      <c r="N11" s="19">
        <v>16</v>
      </c>
      <c r="O11" s="448">
        <v>2978.1</v>
      </c>
      <c r="P11" s="448">
        <v>3057.6332620036719</v>
      </c>
      <c r="Q11" s="19"/>
      <c r="R11" s="448"/>
      <c r="S11" s="443">
        <v>2243.6956534924711</v>
      </c>
      <c r="T11" s="11"/>
    </row>
    <row r="12" spans="2:20" x14ac:dyDescent="0.25">
      <c r="B12" s="17" t="s">
        <v>475</v>
      </c>
      <c r="C12" s="19">
        <v>13</v>
      </c>
      <c r="D12" s="448">
        <v>1371.2</v>
      </c>
      <c r="E12" s="448">
        <v>1153.0623564787106</v>
      </c>
      <c r="F12" s="521">
        <v>1101</v>
      </c>
      <c r="G12" s="454">
        <v>-52.062356478710626</v>
      </c>
      <c r="H12" s="19">
        <v>13</v>
      </c>
      <c r="I12" s="448">
        <v>1438.8</v>
      </c>
      <c r="J12" s="448">
        <v>1300.5249772455334</v>
      </c>
      <c r="K12" s="19">
        <v>13</v>
      </c>
      <c r="L12" s="448">
        <v>1345.5</v>
      </c>
      <c r="M12" s="448">
        <v>1196.4865822550371</v>
      </c>
      <c r="N12" s="19">
        <v>13</v>
      </c>
      <c r="O12" s="448">
        <v>2155</v>
      </c>
      <c r="P12" s="448">
        <v>2284.6819857361779</v>
      </c>
      <c r="Q12" s="19"/>
      <c r="R12" s="448"/>
      <c r="S12" s="443">
        <v>1443.1714406608933</v>
      </c>
      <c r="T12" s="11"/>
    </row>
    <row r="13" spans="2:20" x14ac:dyDescent="0.25">
      <c r="B13" s="17" t="s">
        <v>476</v>
      </c>
      <c r="C13" s="19">
        <v>14</v>
      </c>
      <c r="D13" s="448">
        <v>1026.9000000000001</v>
      </c>
      <c r="E13" s="448">
        <v>957.53426735903292</v>
      </c>
      <c r="F13" s="521">
        <v>932.6</v>
      </c>
      <c r="G13" s="454">
        <v>-24.934267359032901</v>
      </c>
      <c r="H13" s="19">
        <v>14</v>
      </c>
      <c r="I13" s="448">
        <v>1071.7</v>
      </c>
      <c r="J13" s="448">
        <v>1068.1312329341499</v>
      </c>
      <c r="K13" s="19">
        <v>14</v>
      </c>
      <c r="L13" s="448">
        <v>1025.5</v>
      </c>
      <c r="M13" s="448">
        <v>990.10243669127772</v>
      </c>
      <c r="N13" s="19">
        <v>14</v>
      </c>
      <c r="O13" s="448">
        <v>1610.1</v>
      </c>
      <c r="P13" s="448">
        <v>1635.826109338898</v>
      </c>
      <c r="Q13" s="19"/>
      <c r="R13" s="448"/>
      <c r="S13" s="443">
        <v>1133.9410804956699</v>
      </c>
      <c r="T13" s="11"/>
    </row>
    <row r="14" spans="2:20" x14ac:dyDescent="0.25">
      <c r="B14" s="17" t="s">
        <v>478</v>
      </c>
      <c r="C14" s="19">
        <v>23</v>
      </c>
      <c r="D14" s="450">
        <v>3.8</v>
      </c>
      <c r="E14" s="450">
        <v>3.5327830175235717</v>
      </c>
      <c r="F14" s="523">
        <v>3.4643387815750373</v>
      </c>
      <c r="G14" s="456">
        <v>-6.8444235948534438E-2</v>
      </c>
      <c r="H14" s="19">
        <v>23</v>
      </c>
      <c r="I14" s="450">
        <v>4.0199999999999996</v>
      </c>
      <c r="J14" s="450">
        <v>3.9449679014064687</v>
      </c>
      <c r="K14" s="19">
        <v>23</v>
      </c>
      <c r="L14" s="450">
        <v>3.84</v>
      </c>
      <c r="M14" s="450">
        <v>3.662733110844949</v>
      </c>
      <c r="N14" s="19">
        <v>23</v>
      </c>
      <c r="O14" s="450">
        <v>6.03</v>
      </c>
      <c r="P14" s="450">
        <v>6.0620790147461978</v>
      </c>
      <c r="Q14" s="19"/>
      <c r="R14" s="450"/>
      <c r="S14" s="445">
        <v>4.2083009032443623</v>
      </c>
      <c r="T14" s="11"/>
    </row>
    <row r="15" spans="2:20" x14ac:dyDescent="0.25">
      <c r="B15" s="17" t="s">
        <v>479</v>
      </c>
      <c r="C15" s="19">
        <v>3</v>
      </c>
      <c r="D15" s="448">
        <v>220.3</v>
      </c>
      <c r="E15" s="448"/>
      <c r="F15" s="521"/>
      <c r="G15" s="454">
        <v>0</v>
      </c>
      <c r="H15" s="19">
        <v>3</v>
      </c>
      <c r="I15" s="448">
        <v>533.70000000000005</v>
      </c>
      <c r="J15" s="448"/>
      <c r="K15" s="19">
        <v>3</v>
      </c>
      <c r="L15" s="448">
        <v>576.70000000000005</v>
      </c>
      <c r="M15" s="448"/>
      <c r="N15" s="19">
        <v>3</v>
      </c>
      <c r="O15" s="448">
        <v>970.3</v>
      </c>
      <c r="P15" s="448"/>
      <c r="Q15" s="19"/>
      <c r="R15" s="448"/>
      <c r="S15" s="443"/>
      <c r="T15" s="11"/>
    </row>
    <row r="16" spans="2:20" x14ac:dyDescent="0.25">
      <c r="B16" s="18" t="s">
        <v>480</v>
      </c>
      <c r="C16" s="20">
        <v>3</v>
      </c>
      <c r="D16" s="451">
        <v>1382.7</v>
      </c>
      <c r="E16" s="451">
        <v>1331.6518708722672</v>
      </c>
      <c r="F16" s="524">
        <v>1179</v>
      </c>
      <c r="G16" s="457">
        <v>-152.65187087226718</v>
      </c>
      <c r="H16" s="20">
        <v>2</v>
      </c>
      <c r="I16" s="451">
        <v>1437</v>
      </c>
      <c r="J16" s="451">
        <v>1425.5200743045264</v>
      </c>
      <c r="K16" s="20">
        <v>3</v>
      </c>
      <c r="L16" s="451">
        <v>1492.5</v>
      </c>
      <c r="M16" s="451">
        <v>1412.0826339651285</v>
      </c>
      <c r="N16" s="20">
        <v>3</v>
      </c>
      <c r="O16" s="451">
        <v>1492.5</v>
      </c>
      <c r="P16" s="451">
        <v>1430.0708285481967</v>
      </c>
      <c r="Q16" s="20"/>
      <c r="R16" s="451"/>
      <c r="S16" s="446">
        <v>1388.5256818400935</v>
      </c>
      <c r="T16" s="11"/>
    </row>
    <row r="17" spans="2:20" ht="6" customHeight="1" x14ac:dyDescent="0.25"/>
    <row r="18" spans="2:20" ht="16.899999999999999" customHeight="1" x14ac:dyDescent="0.25">
      <c r="B18" s="841" t="s">
        <v>483</v>
      </c>
      <c r="C18" s="842"/>
      <c r="D18" s="842"/>
      <c r="E18" s="842"/>
      <c r="F18" s="842"/>
      <c r="G18" s="842"/>
      <c r="H18" s="842"/>
      <c r="I18" s="842"/>
      <c r="J18" s="842"/>
      <c r="K18" s="842"/>
      <c r="L18" s="842"/>
      <c r="M18" s="842"/>
      <c r="N18" s="842"/>
      <c r="O18" s="842"/>
      <c r="P18" s="842"/>
      <c r="Q18" s="842"/>
      <c r="R18" s="842"/>
      <c r="S18" s="843"/>
    </row>
    <row r="19" spans="2:20" ht="16.899999999999999" customHeight="1" x14ac:dyDescent="0.25">
      <c r="B19" s="452"/>
      <c r="C19" s="462"/>
      <c r="D19" s="463"/>
      <c r="E19" s="453" t="s">
        <v>490</v>
      </c>
      <c r="F19" s="463"/>
      <c r="G19" s="463"/>
      <c r="H19" s="824" t="s">
        <v>468</v>
      </c>
      <c r="I19" s="825"/>
      <c r="J19" s="825"/>
      <c r="K19" s="824" t="s">
        <v>469</v>
      </c>
      <c r="L19" s="825"/>
      <c r="M19" s="825"/>
      <c r="N19" s="825" t="s">
        <v>470</v>
      </c>
      <c r="O19" s="825"/>
      <c r="P19" s="826"/>
      <c r="Q19" s="825" t="s">
        <v>484</v>
      </c>
      <c r="R19" s="825"/>
      <c r="S19" s="827"/>
    </row>
    <row r="20" spans="2:20" ht="33.6" customHeight="1" x14ac:dyDescent="0.25">
      <c r="B20" s="420" t="s">
        <v>94</v>
      </c>
      <c r="C20" s="25" t="s">
        <v>95</v>
      </c>
      <c r="D20" s="447" t="s">
        <v>70</v>
      </c>
      <c r="E20" s="447" t="s">
        <v>485</v>
      </c>
      <c r="F20" s="447"/>
      <c r="G20" s="26"/>
      <c r="H20" s="21" t="s">
        <v>95</v>
      </c>
      <c r="I20" s="23" t="s">
        <v>70</v>
      </c>
      <c r="J20" s="23" t="s">
        <v>485</v>
      </c>
      <c r="K20" s="21" t="s">
        <v>95</v>
      </c>
      <c r="L20" s="23" t="s">
        <v>70</v>
      </c>
      <c r="M20" s="23" t="s">
        <v>485</v>
      </c>
      <c r="N20" s="21" t="s">
        <v>95</v>
      </c>
      <c r="O20" s="23" t="s">
        <v>70</v>
      </c>
      <c r="P20" s="23" t="s">
        <v>485</v>
      </c>
      <c r="Q20" s="21" t="s">
        <v>95</v>
      </c>
      <c r="R20" s="23" t="s">
        <v>70</v>
      </c>
      <c r="S20" s="23" t="s">
        <v>485</v>
      </c>
      <c r="T20" s="10"/>
    </row>
    <row r="21" spans="2:20" x14ac:dyDescent="0.25">
      <c r="B21" s="17" t="s">
        <v>473</v>
      </c>
      <c r="C21" s="537"/>
      <c r="D21" s="538"/>
      <c r="E21" s="448">
        <v>17052</v>
      </c>
      <c r="F21" s="458"/>
      <c r="G21" s="459"/>
      <c r="H21" s="19">
        <v>17</v>
      </c>
      <c r="I21" s="448">
        <v>17773</v>
      </c>
      <c r="J21" s="448">
        <v>17772.5</v>
      </c>
      <c r="K21" s="19">
        <v>17</v>
      </c>
      <c r="L21" s="448">
        <v>17889</v>
      </c>
      <c r="M21" s="448">
        <v>17888.8</v>
      </c>
      <c r="N21" s="19">
        <v>17</v>
      </c>
      <c r="O21" s="448">
        <v>18692</v>
      </c>
      <c r="P21" s="448">
        <v>18692.299999999996</v>
      </c>
      <c r="Q21" s="19"/>
      <c r="R21" s="448"/>
      <c r="S21" s="443">
        <v>18024.890000000003</v>
      </c>
      <c r="T21" s="11"/>
    </row>
    <row r="22" spans="2:20" x14ac:dyDescent="0.25">
      <c r="B22" s="17" t="s">
        <v>477</v>
      </c>
      <c r="C22" s="537"/>
      <c r="D22" s="538"/>
      <c r="E22" s="448">
        <v>1192</v>
      </c>
      <c r="F22" s="448"/>
      <c r="G22" s="459"/>
      <c r="H22" s="19">
        <v>12</v>
      </c>
      <c r="I22" s="448">
        <v>1433</v>
      </c>
      <c r="J22" s="448">
        <v>1421.540888468963</v>
      </c>
      <c r="K22" s="19">
        <v>12</v>
      </c>
      <c r="L22" s="448">
        <v>1383</v>
      </c>
      <c r="M22" s="448">
        <v>1373.7647260697183</v>
      </c>
      <c r="N22" s="19">
        <v>10</v>
      </c>
      <c r="O22" s="448">
        <v>2167</v>
      </c>
      <c r="P22" s="448">
        <v>2167.7568618330993</v>
      </c>
      <c r="Q22" s="19"/>
      <c r="R22" s="448"/>
      <c r="S22" s="443">
        <v>1592.8491900763365</v>
      </c>
      <c r="T22" s="11"/>
    </row>
    <row r="23" spans="2:20" x14ac:dyDescent="0.25">
      <c r="B23" s="17" t="s">
        <v>481</v>
      </c>
      <c r="C23" s="537"/>
      <c r="D23" s="449"/>
      <c r="E23" s="449">
        <v>6.9903823598404885E-2</v>
      </c>
      <c r="F23" s="449"/>
      <c r="G23" s="441"/>
      <c r="H23" s="19"/>
      <c r="I23" s="449">
        <v>8.0606609230592527E-2</v>
      </c>
      <c r="J23" s="449">
        <v>7.9985420648134076E-2</v>
      </c>
      <c r="K23" s="19"/>
      <c r="L23" s="449">
        <v>7.7306183069722617E-2</v>
      </c>
      <c r="M23" s="449">
        <v>7.679468304580063E-2</v>
      </c>
      <c r="N23" s="19"/>
      <c r="O23" s="449">
        <v>0.11591675084731336</v>
      </c>
      <c r="P23" s="449">
        <v>0.11597057942752362</v>
      </c>
      <c r="Q23" s="19"/>
      <c r="R23" s="449"/>
      <c r="S23" s="444">
        <v>8.8369426391857936E-2</v>
      </c>
      <c r="T23" s="11"/>
    </row>
    <row r="24" spans="2:20" x14ac:dyDescent="0.25">
      <c r="B24" s="17" t="s">
        <v>474</v>
      </c>
      <c r="C24" s="537"/>
      <c r="D24" s="538"/>
      <c r="E24" s="448">
        <v>1909</v>
      </c>
      <c r="F24" s="448"/>
      <c r="G24" s="459"/>
      <c r="H24" s="19">
        <v>15</v>
      </c>
      <c r="I24" s="448">
        <v>2226</v>
      </c>
      <c r="J24" s="448">
        <v>2063.3918225166017</v>
      </c>
      <c r="K24" s="19">
        <v>15</v>
      </c>
      <c r="L24" s="448">
        <v>2226</v>
      </c>
      <c r="M24" s="448">
        <v>2020.0910031674503</v>
      </c>
      <c r="N24" s="19">
        <v>15</v>
      </c>
      <c r="O24" s="448">
        <v>2983</v>
      </c>
      <c r="P24" s="448">
        <v>3062.8038771698366</v>
      </c>
      <c r="Q24" s="19"/>
      <c r="R24" s="448"/>
      <c r="S24" s="443">
        <v>2331.2068761014762</v>
      </c>
      <c r="T24" s="11"/>
    </row>
    <row r="25" spans="2:20" x14ac:dyDescent="0.25">
      <c r="B25" s="17" t="s">
        <v>475</v>
      </c>
      <c r="C25" s="537"/>
      <c r="D25" s="538"/>
      <c r="E25" s="448">
        <v>1101</v>
      </c>
      <c r="F25" s="448"/>
      <c r="G25" s="459"/>
      <c r="H25" s="19">
        <v>11</v>
      </c>
      <c r="I25" s="448">
        <v>1427</v>
      </c>
      <c r="J25" s="448">
        <v>1319.8138806067961</v>
      </c>
      <c r="K25" s="19">
        <v>11</v>
      </c>
      <c r="L25" s="448">
        <v>1361</v>
      </c>
      <c r="M25" s="448">
        <v>1267.0694269868825</v>
      </c>
      <c r="N25" s="19">
        <v>11</v>
      </c>
      <c r="O25" s="448">
        <v>2173</v>
      </c>
      <c r="P25" s="448">
        <v>2290.4126056761716</v>
      </c>
      <c r="Q25" s="19"/>
      <c r="R25" s="448"/>
      <c r="S25" s="443">
        <v>1530.1884631508756</v>
      </c>
      <c r="T25" s="11"/>
    </row>
    <row r="26" spans="2:20" x14ac:dyDescent="0.25">
      <c r="B26" s="17" t="s">
        <v>476</v>
      </c>
      <c r="C26" s="537"/>
      <c r="D26" s="538"/>
      <c r="E26" s="448">
        <v>932.6</v>
      </c>
      <c r="F26" s="448"/>
      <c r="G26" s="459"/>
      <c r="H26" s="19">
        <v>15</v>
      </c>
      <c r="I26" s="448">
        <v>1069</v>
      </c>
      <c r="J26" s="448">
        <v>1080.3604104550971</v>
      </c>
      <c r="K26" s="19">
        <v>15</v>
      </c>
      <c r="L26" s="448">
        <v>1027</v>
      </c>
      <c r="M26" s="448">
        <v>1040.8020702401618</v>
      </c>
      <c r="N26" s="19">
        <v>15</v>
      </c>
      <c r="O26" s="448">
        <v>1618</v>
      </c>
      <c r="P26" s="448">
        <v>1637.8865742938935</v>
      </c>
      <c r="Q26" s="19"/>
      <c r="R26" s="448"/>
      <c r="S26" s="443">
        <v>1199.2038473631567</v>
      </c>
      <c r="T26" s="11"/>
    </row>
    <row r="27" spans="2:20" x14ac:dyDescent="0.25">
      <c r="B27" s="17" t="s">
        <v>478</v>
      </c>
      <c r="C27" s="537"/>
      <c r="D27" s="539"/>
      <c r="E27" s="450">
        <v>3.4643387815750373</v>
      </c>
      <c r="F27" s="450"/>
      <c r="G27" s="460"/>
      <c r="H27" s="19">
        <v>22</v>
      </c>
      <c r="I27" s="450">
        <v>4</v>
      </c>
      <c r="J27" s="450">
        <v>4.003615981233426</v>
      </c>
      <c r="K27" s="19">
        <v>22</v>
      </c>
      <c r="L27" s="450">
        <v>3.85</v>
      </c>
      <c r="M27" s="450">
        <v>3.8526711793717623</v>
      </c>
      <c r="N27" s="19">
        <v>21</v>
      </c>
      <c r="O27" s="450">
        <v>6.05</v>
      </c>
      <c r="P27" s="450">
        <v>6.0474885872906556</v>
      </c>
      <c r="Q27" s="19"/>
      <c r="R27" s="450"/>
      <c r="S27" s="445">
        <v>4.4300000000000015</v>
      </c>
      <c r="T27" s="11"/>
    </row>
    <row r="28" spans="2:20" x14ac:dyDescent="0.25">
      <c r="B28" s="17" t="s">
        <v>479</v>
      </c>
      <c r="C28" s="537"/>
      <c r="D28" s="538"/>
      <c r="E28" s="448"/>
      <c r="F28" s="448"/>
      <c r="G28" s="459"/>
      <c r="H28" s="19">
        <v>3</v>
      </c>
      <c r="I28" s="448">
        <v>534</v>
      </c>
      <c r="J28" s="448"/>
      <c r="K28" s="19">
        <v>3</v>
      </c>
      <c r="L28" s="448">
        <v>577</v>
      </c>
      <c r="M28" s="448"/>
      <c r="N28" s="19">
        <v>3</v>
      </c>
      <c r="O28" s="448">
        <v>970</v>
      </c>
      <c r="P28" s="448"/>
      <c r="Q28" s="19"/>
      <c r="R28" s="448"/>
      <c r="S28" s="443"/>
      <c r="T28" s="11"/>
    </row>
    <row r="29" spans="2:20" x14ac:dyDescent="0.25">
      <c r="B29" s="18" t="s">
        <v>480</v>
      </c>
      <c r="C29" s="540"/>
      <c r="D29" s="541"/>
      <c r="E29" s="451">
        <v>1179</v>
      </c>
      <c r="F29" s="451"/>
      <c r="G29" s="461"/>
      <c r="H29" s="20">
        <v>2</v>
      </c>
      <c r="I29" s="451">
        <v>1437</v>
      </c>
      <c r="J29" s="451">
        <v>1439.5725</v>
      </c>
      <c r="K29" s="20">
        <v>2</v>
      </c>
      <c r="L29" s="451">
        <v>1493</v>
      </c>
      <c r="M29" s="451">
        <v>1448.9928</v>
      </c>
      <c r="N29" s="20">
        <v>2</v>
      </c>
      <c r="O29" s="451">
        <v>1493</v>
      </c>
      <c r="P29" s="451">
        <v>1532.4346999999996</v>
      </c>
      <c r="Q29" s="20"/>
      <c r="R29" s="451"/>
      <c r="S29" s="446">
        <v>1411.0045517268563</v>
      </c>
      <c r="T29" s="11"/>
    </row>
    <row r="30" spans="2:20" ht="8.4499999999999993" customHeight="1" x14ac:dyDescent="0.25">
      <c r="C30" s="8"/>
      <c r="D30" s="8"/>
      <c r="E30" s="8"/>
      <c r="F30" s="8"/>
      <c r="G30" s="8"/>
      <c r="H30" s="8"/>
      <c r="I30" s="8"/>
      <c r="J30" s="8"/>
      <c r="M30" s="8"/>
      <c r="N30" s="7"/>
      <c r="P30" s="8"/>
      <c r="Q30" s="7"/>
      <c r="S30" s="8"/>
    </row>
    <row r="31" spans="2:20" ht="16.899999999999999" customHeight="1" x14ac:dyDescent="0.25">
      <c r="B31" s="850" t="s">
        <v>491</v>
      </c>
      <c r="C31" s="851"/>
      <c r="D31" s="851"/>
      <c r="E31" s="851"/>
      <c r="F31" s="851"/>
      <c r="G31" s="851"/>
      <c r="H31" s="851"/>
      <c r="I31" s="851"/>
      <c r="J31" s="851"/>
      <c r="K31" s="851"/>
      <c r="L31" s="851"/>
      <c r="M31" s="851"/>
      <c r="N31" s="851"/>
      <c r="O31" s="851"/>
      <c r="P31" s="851"/>
      <c r="Q31" s="851"/>
      <c r="R31" s="851"/>
      <c r="S31" s="852"/>
    </row>
    <row r="32" spans="2:20" ht="16.899999999999999" customHeight="1" x14ac:dyDescent="0.25">
      <c r="B32" s="452"/>
      <c r="C32" s="462"/>
      <c r="D32" s="463"/>
      <c r="E32" s="575" t="s">
        <v>490</v>
      </c>
      <c r="F32" s="463"/>
      <c r="G32" s="463"/>
      <c r="H32" s="824" t="s">
        <v>468</v>
      </c>
      <c r="I32" s="825"/>
      <c r="J32" s="825"/>
      <c r="K32" s="824" t="s">
        <v>469</v>
      </c>
      <c r="L32" s="825"/>
      <c r="M32" s="825"/>
      <c r="N32" s="825" t="s">
        <v>470</v>
      </c>
      <c r="O32" s="825"/>
      <c r="P32" s="826"/>
      <c r="Q32" s="825" t="s">
        <v>484</v>
      </c>
      <c r="R32" s="825"/>
      <c r="S32" s="827"/>
    </row>
    <row r="33" spans="2:20" ht="33.6" customHeight="1" x14ac:dyDescent="0.25">
      <c r="B33" s="573" t="s">
        <v>94</v>
      </c>
      <c r="C33" s="25"/>
      <c r="D33" s="447" t="s">
        <v>70</v>
      </c>
      <c r="E33" s="447" t="s">
        <v>485</v>
      </c>
      <c r="F33" s="23"/>
      <c r="G33" s="22"/>
      <c r="H33" s="21"/>
      <c r="I33" s="23" t="s">
        <v>70</v>
      </c>
      <c r="J33" s="23" t="s">
        <v>485</v>
      </c>
      <c r="K33" s="21"/>
      <c r="L33" s="23" t="s">
        <v>70</v>
      </c>
      <c r="M33" s="23" t="s">
        <v>485</v>
      </c>
      <c r="N33" s="21"/>
      <c r="O33" s="23" t="s">
        <v>70</v>
      </c>
      <c r="P33" s="23" t="s">
        <v>485</v>
      </c>
      <c r="Q33" s="21"/>
      <c r="R33" s="23"/>
      <c r="S33" s="24" t="s">
        <v>485</v>
      </c>
      <c r="T33" s="10"/>
    </row>
    <row r="34" spans="2:20" x14ac:dyDescent="0.25">
      <c r="B34" s="17" t="s">
        <v>473</v>
      </c>
      <c r="C34" s="19"/>
      <c r="D34" s="448">
        <v>180.59999999999854</v>
      </c>
      <c r="E34" s="448">
        <v>195.64720414851763</v>
      </c>
      <c r="F34" s="458"/>
      <c r="G34" s="459"/>
      <c r="H34" s="19"/>
      <c r="I34" s="448">
        <f>+I21-I8</f>
        <v>-9.2999999999992724</v>
      </c>
      <c r="J34" s="448">
        <v>-272.05790258894194</v>
      </c>
      <c r="K34" s="19"/>
      <c r="L34" s="448">
        <f>+L21-L8</f>
        <v>8.5999999999985448</v>
      </c>
      <c r="M34" s="448">
        <v>14.336278922422935</v>
      </c>
      <c r="N34" s="19"/>
      <c r="O34" s="448">
        <f>+O21-O8</f>
        <v>17.599999999998545</v>
      </c>
      <c r="P34" s="448">
        <v>22.717855322505784</v>
      </c>
      <c r="Q34" s="19"/>
      <c r="R34" s="448"/>
      <c r="S34" s="443">
        <v>314.04527110677736</v>
      </c>
      <c r="T34" s="11"/>
    </row>
    <row r="35" spans="2:20" x14ac:dyDescent="0.25">
      <c r="B35" s="17" t="s">
        <v>477</v>
      </c>
      <c r="C35" s="19"/>
      <c r="D35" s="448">
        <v>-245.29999999999995</v>
      </c>
      <c r="E35" s="448">
        <v>-213.30108462203862</v>
      </c>
      <c r="F35" s="448"/>
      <c r="G35" s="459"/>
      <c r="H35" s="19"/>
      <c r="I35" s="448">
        <f t="shared" ref="I35:I42" si="0">+I22-I9</f>
        <v>-21.200000000000045</v>
      </c>
      <c r="J35" s="448">
        <v>-129.16609014050232</v>
      </c>
      <c r="K35" s="19"/>
      <c r="L35" s="448">
        <f t="shared" ref="L35:L42" si="1">+L22-L9</f>
        <v>-15.099999999999909</v>
      </c>
      <c r="M35" s="448">
        <v>-77.201490311120551</v>
      </c>
      <c r="N35" s="19"/>
      <c r="O35" s="448">
        <f t="shared" ref="O35:O42" si="2">+O22-O9</f>
        <v>1.3000000000001819</v>
      </c>
      <c r="P35" s="448">
        <v>-145.56657410037496</v>
      </c>
      <c r="Q35" s="19"/>
      <c r="R35" s="448"/>
      <c r="S35" s="443">
        <v>-65.087574205004785</v>
      </c>
      <c r="T35" s="11"/>
    </row>
    <row r="36" spans="2:20" x14ac:dyDescent="0.25">
      <c r="B36" s="17" t="s">
        <v>481</v>
      </c>
      <c r="C36" s="19"/>
      <c r="D36" s="448">
        <v>-1.5287683923199707E-2</v>
      </c>
      <c r="E36" s="449">
        <v>-1.3465402333310145E-2</v>
      </c>
      <c r="F36" s="449"/>
      <c r="G36" s="441"/>
      <c r="H36" s="19"/>
      <c r="I36" s="448">
        <f t="shared" si="0"/>
        <v>-1.1713385039524987E-3</v>
      </c>
      <c r="J36" s="449">
        <v>-5.9522336286148003E-3</v>
      </c>
      <c r="K36" s="19"/>
      <c r="L36" s="448">
        <f t="shared" si="1"/>
        <v>-8.8557997808390299E-4</v>
      </c>
      <c r="M36" s="449">
        <v>-4.3806875288062569E-3</v>
      </c>
      <c r="N36" s="19"/>
      <c r="O36" s="448">
        <f t="shared" si="2"/>
        <v>-5.4846633730190608E-5</v>
      </c>
      <c r="P36" s="449">
        <v>-7.9381089408970679E-3</v>
      </c>
      <c r="Q36" s="19"/>
      <c r="R36" s="448"/>
      <c r="S36" s="444">
        <v>-5.2419619783763971E-3</v>
      </c>
      <c r="T36" s="11"/>
    </row>
    <row r="37" spans="2:20" x14ac:dyDescent="0.25">
      <c r="B37" s="17" t="s">
        <v>474</v>
      </c>
      <c r="C37" s="19"/>
      <c r="D37" s="448">
        <v>-297.80000000000018</v>
      </c>
      <c r="E37" s="448">
        <v>28.769942948976222</v>
      </c>
      <c r="F37" s="448"/>
      <c r="G37" s="459"/>
      <c r="H37" s="19"/>
      <c r="I37" s="448">
        <f t="shared" si="0"/>
        <v>-13.599999999999909</v>
      </c>
      <c r="J37" s="448">
        <v>17.72961201932776</v>
      </c>
      <c r="K37" s="19"/>
      <c r="L37" s="448">
        <f t="shared" si="1"/>
        <v>51.199999999999818</v>
      </c>
      <c r="M37" s="448">
        <v>69.264110906073938</v>
      </c>
      <c r="N37" s="19"/>
      <c r="O37" s="448">
        <f>+O24-O11</f>
        <v>4.9000000000000909</v>
      </c>
      <c r="P37" s="448">
        <v>5.17061516616468</v>
      </c>
      <c r="Q37" s="19"/>
      <c r="R37" s="448"/>
      <c r="S37" s="443">
        <v>87.511222609005017</v>
      </c>
      <c r="T37" s="11"/>
    </row>
    <row r="38" spans="2:20" x14ac:dyDescent="0.25">
      <c r="B38" s="17" t="s">
        <v>475</v>
      </c>
      <c r="C38" s="19"/>
      <c r="D38" s="448">
        <v>-270.20000000000005</v>
      </c>
      <c r="E38" s="448">
        <v>-52.062356478710626</v>
      </c>
      <c r="F38" s="448"/>
      <c r="G38" s="459"/>
      <c r="H38" s="19"/>
      <c r="I38" s="448">
        <f t="shared" si="0"/>
        <v>-11.799999999999955</v>
      </c>
      <c r="J38" s="448">
        <v>19.288903361262783</v>
      </c>
      <c r="K38" s="19"/>
      <c r="L38" s="448">
        <f t="shared" si="1"/>
        <v>15.5</v>
      </c>
      <c r="M38" s="448">
        <v>70.582844731845398</v>
      </c>
      <c r="N38" s="19"/>
      <c r="O38" s="448">
        <f t="shared" si="2"/>
        <v>18</v>
      </c>
      <c r="P38" s="448">
        <v>5.7306199399936304</v>
      </c>
      <c r="Q38" s="19"/>
      <c r="R38" s="448"/>
      <c r="S38" s="443">
        <v>87.01702248998231</v>
      </c>
      <c r="T38" s="11"/>
    </row>
    <row r="39" spans="2:20" x14ac:dyDescent="0.25">
      <c r="B39" s="17" t="s">
        <v>476</v>
      </c>
      <c r="C39" s="19"/>
      <c r="D39" s="448">
        <v>-94.300000000000068</v>
      </c>
      <c r="E39" s="448">
        <v>-24.934267359032901</v>
      </c>
      <c r="F39" s="448"/>
      <c r="G39" s="459"/>
      <c r="H39" s="19"/>
      <c r="I39" s="448">
        <f t="shared" si="0"/>
        <v>-2.7000000000000455</v>
      </c>
      <c r="J39" s="448">
        <v>12.229177520947133</v>
      </c>
      <c r="K39" s="19"/>
      <c r="L39" s="448">
        <f t="shared" si="1"/>
        <v>1.5</v>
      </c>
      <c r="M39" s="448">
        <v>50.699633548884094</v>
      </c>
      <c r="N39" s="19"/>
      <c r="O39" s="448">
        <f t="shared" si="2"/>
        <v>7.9000000000000909</v>
      </c>
      <c r="P39" s="448">
        <v>2.0604649549954956</v>
      </c>
      <c r="Q39" s="19"/>
      <c r="R39" s="448"/>
      <c r="S39" s="443">
        <v>65.262766867486789</v>
      </c>
      <c r="T39" s="11"/>
    </row>
    <row r="40" spans="2:20" x14ac:dyDescent="0.25">
      <c r="B40" s="17" t="s">
        <v>478</v>
      </c>
      <c r="C40" s="19"/>
      <c r="D40" s="448">
        <v>-0.33566121842496255</v>
      </c>
      <c r="E40" s="450">
        <v>-6.8444235948534438E-2</v>
      </c>
      <c r="F40" s="450"/>
      <c r="G40" s="460"/>
      <c r="H40" s="19"/>
      <c r="I40" s="448">
        <f t="shared" si="0"/>
        <v>-1.9999999999999574E-2</v>
      </c>
      <c r="J40" s="450">
        <v>5.86480798269573E-2</v>
      </c>
      <c r="K40" s="19"/>
      <c r="L40" s="448">
        <f t="shared" si="1"/>
        <v>1.0000000000000231E-2</v>
      </c>
      <c r="M40" s="450">
        <v>0.18993806852681328</v>
      </c>
      <c r="N40" s="19"/>
      <c r="O40" s="448">
        <f t="shared" si="2"/>
        <v>1.9999999999999574E-2</v>
      </c>
      <c r="P40" s="450">
        <v>-1.4590427455542176E-2</v>
      </c>
      <c r="Q40" s="19"/>
      <c r="R40" s="448"/>
      <c r="S40" s="445">
        <v>0.22169909675563915</v>
      </c>
      <c r="T40" s="11"/>
    </row>
    <row r="41" spans="2:20" x14ac:dyDescent="0.25">
      <c r="B41" s="17" t="s">
        <v>479</v>
      </c>
      <c r="C41" s="19"/>
      <c r="D41" s="448">
        <v>-220.3</v>
      </c>
      <c r="E41" s="448">
        <v>0</v>
      </c>
      <c r="F41" s="448"/>
      <c r="G41" s="459"/>
      <c r="H41" s="19"/>
      <c r="I41" s="448">
        <f t="shared" si="0"/>
        <v>0.29999999999995453</v>
      </c>
      <c r="J41" s="448">
        <v>0</v>
      </c>
      <c r="K41" s="19"/>
      <c r="L41" s="448">
        <f t="shared" si="1"/>
        <v>0.29999999999995453</v>
      </c>
      <c r="M41" s="448">
        <v>0</v>
      </c>
      <c r="N41" s="19"/>
      <c r="O41" s="448">
        <f t="shared" si="2"/>
        <v>-0.29999999999995453</v>
      </c>
      <c r="P41" s="448">
        <v>0</v>
      </c>
      <c r="Q41" s="19"/>
      <c r="R41" s="448"/>
      <c r="S41" s="443">
        <v>0</v>
      </c>
      <c r="T41" s="11"/>
    </row>
    <row r="42" spans="2:20" x14ac:dyDescent="0.25">
      <c r="B42" s="18" t="s">
        <v>480</v>
      </c>
      <c r="C42" s="20"/>
      <c r="D42" s="451">
        <v>-203.70000000000005</v>
      </c>
      <c r="E42" s="451">
        <v>-152.65187087226718</v>
      </c>
      <c r="F42" s="451"/>
      <c r="G42" s="461"/>
      <c r="H42" s="20"/>
      <c r="I42" s="451">
        <f t="shared" si="0"/>
        <v>0</v>
      </c>
      <c r="J42" s="451">
        <v>14.05242569547363</v>
      </c>
      <c r="K42" s="20"/>
      <c r="L42" s="451">
        <f t="shared" si="1"/>
        <v>0.5</v>
      </c>
      <c r="M42" s="451">
        <v>36.910166034871509</v>
      </c>
      <c r="N42" s="20"/>
      <c r="O42" s="451">
        <f t="shared" si="2"/>
        <v>0.5</v>
      </c>
      <c r="P42" s="451">
        <v>102.36387145180288</v>
      </c>
      <c r="Q42" s="20"/>
      <c r="R42" s="451"/>
      <c r="S42" s="446">
        <v>22.478869886762823</v>
      </c>
      <c r="T42" s="11"/>
    </row>
    <row r="43" spans="2:20" ht="12.6" customHeight="1" x14ac:dyDescent="0.25">
      <c r="B43" s="7"/>
      <c r="C43" s="8"/>
      <c r="D43" s="8"/>
      <c r="E43" s="8"/>
      <c r="F43" s="8"/>
      <c r="G43" s="8"/>
      <c r="H43" s="8"/>
      <c r="I43" s="8"/>
      <c r="J43" s="8"/>
      <c r="M43" s="8"/>
      <c r="P43" s="8"/>
      <c r="S43" s="8"/>
    </row>
    <row r="44" spans="2:20" ht="21" customHeight="1" x14ac:dyDescent="0.25">
      <c r="C44" s="13"/>
      <c r="D44" s="14"/>
      <c r="E44" s="14"/>
      <c r="F44" s="14"/>
      <c r="G44" s="14"/>
      <c r="H44" s="14"/>
      <c r="I44" s="14"/>
      <c r="J44" s="14"/>
      <c r="L44" s="7"/>
      <c r="M44" s="14"/>
      <c r="P44" s="14"/>
      <c r="S44" s="14"/>
    </row>
    <row r="45" spans="2:20" s="5" customFormat="1" ht="21" customHeight="1" x14ac:dyDescent="0.25">
      <c r="C45" s="14"/>
      <c r="D45" s="14"/>
      <c r="E45" s="14"/>
      <c r="F45" s="14"/>
      <c r="G45" s="14"/>
      <c r="H45" s="14"/>
      <c r="I45" s="14"/>
      <c r="J45" s="14"/>
      <c r="L45" s="817"/>
      <c r="M45" s="817"/>
      <c r="N45" s="817"/>
      <c r="O45" s="817"/>
      <c r="P45" s="817"/>
      <c r="Q45" s="817"/>
      <c r="R45" s="817"/>
      <c r="S45" s="817"/>
      <c r="T45" s="817"/>
    </row>
    <row r="46" spans="2:20" ht="21" customHeight="1" x14ac:dyDescent="0.25">
      <c r="C46" s="8"/>
      <c r="D46" s="12"/>
      <c r="E46" s="12"/>
      <c r="F46" s="12"/>
      <c r="G46" s="12"/>
      <c r="H46" s="12"/>
      <c r="I46" s="12"/>
      <c r="J46" s="12"/>
      <c r="K46" s="9"/>
      <c r="M46" s="12"/>
      <c r="P46" s="12"/>
      <c r="S46" s="12"/>
    </row>
    <row r="47" spans="2:20" ht="21" customHeight="1" x14ac:dyDescent="0.25">
      <c r="C47" s="8"/>
      <c r="D47" s="12"/>
      <c r="E47" s="12"/>
      <c r="F47" s="12"/>
      <c r="G47" s="12"/>
      <c r="H47" s="12"/>
      <c r="I47" s="12"/>
      <c r="J47" s="12"/>
      <c r="K47" s="9"/>
      <c r="M47" s="12"/>
      <c r="P47" s="12"/>
      <c r="S47" s="12"/>
    </row>
    <row r="48" spans="2:20" ht="21" customHeight="1" x14ac:dyDescent="0.25">
      <c r="C48" s="8"/>
      <c r="D48" s="12"/>
      <c r="E48" s="12"/>
      <c r="F48" s="12"/>
      <c r="G48" s="12"/>
      <c r="H48" s="12"/>
      <c r="I48" s="12"/>
      <c r="J48" s="12"/>
      <c r="K48" s="9"/>
      <c r="M48" s="12"/>
      <c r="P48" s="12"/>
      <c r="S48" s="12"/>
    </row>
    <row r="49" spans="3:19" ht="21" customHeight="1" x14ac:dyDescent="0.25">
      <c r="C49" s="8"/>
      <c r="D49" s="12"/>
      <c r="E49" s="12"/>
      <c r="F49" s="12"/>
      <c r="G49" s="12"/>
      <c r="H49" s="12"/>
      <c r="I49" s="12"/>
      <c r="J49" s="12"/>
      <c r="K49" s="9"/>
      <c r="M49" s="12"/>
      <c r="P49" s="12"/>
      <c r="S49" s="12"/>
    </row>
    <row r="50" spans="3:19" ht="21" customHeight="1" x14ac:dyDescent="0.25">
      <c r="C50" s="8"/>
      <c r="D50" s="12"/>
      <c r="E50" s="12"/>
      <c r="F50" s="12"/>
      <c r="G50" s="12"/>
      <c r="H50" s="12"/>
      <c r="I50" s="15"/>
      <c r="J50" s="12"/>
      <c r="K50" s="9"/>
      <c r="M50" s="12"/>
      <c r="P50" s="12"/>
      <c r="S50" s="12"/>
    </row>
    <row r="51" spans="3:19" ht="21" customHeight="1" x14ac:dyDescent="0.25">
      <c r="C51" s="8"/>
      <c r="D51" s="12"/>
      <c r="E51" s="12"/>
      <c r="F51" s="12"/>
      <c r="G51" s="12"/>
      <c r="H51" s="16"/>
      <c r="I51" s="16"/>
      <c r="J51" s="12"/>
      <c r="K51" s="9"/>
      <c r="M51" s="12"/>
      <c r="P51" s="12"/>
      <c r="S51" s="12"/>
    </row>
    <row r="52" spans="3:19" ht="21" customHeight="1" x14ac:dyDescent="0.25">
      <c r="C52" s="8"/>
      <c r="D52" s="12"/>
      <c r="E52" s="12"/>
      <c r="F52" s="12"/>
      <c r="G52" s="12"/>
      <c r="H52" s="16"/>
      <c r="I52" s="16"/>
      <c r="J52" s="12"/>
      <c r="K52" s="9"/>
      <c r="M52" s="12"/>
      <c r="P52" s="12"/>
      <c r="S52" s="12"/>
    </row>
    <row r="53" spans="3:19" ht="21" customHeight="1" x14ac:dyDescent="0.25">
      <c r="C53" s="8"/>
      <c r="D53" s="12"/>
      <c r="E53" s="12"/>
      <c r="F53" s="12"/>
      <c r="G53" s="12"/>
      <c r="H53" s="16"/>
      <c r="I53" s="16"/>
      <c r="J53" s="12"/>
      <c r="K53" s="9"/>
      <c r="M53" s="12"/>
      <c r="P53" s="12"/>
      <c r="S53" s="12"/>
    </row>
    <row r="54" spans="3:19" ht="21" customHeight="1" x14ac:dyDescent="0.25">
      <c r="D54" s="1"/>
      <c r="E54" s="1"/>
      <c r="F54" s="1"/>
      <c r="G54" s="1"/>
      <c r="H54" s="2"/>
      <c r="I54" s="2"/>
      <c r="J54" s="1"/>
      <c r="K54" s="9"/>
      <c r="M54" s="1"/>
      <c r="P54" s="1"/>
      <c r="S54" s="1"/>
    </row>
    <row r="55" spans="3:19" ht="21" customHeight="1" x14ac:dyDescent="0.25">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41"/>
  <sheetViews>
    <sheetView showGridLines="0" zoomScaleNormal="100" workbookViewId="0">
      <selection activeCell="B72" sqref="B72"/>
    </sheetView>
  </sheetViews>
  <sheetFormatPr defaultColWidth="9.140625" defaultRowHeight="15" x14ac:dyDescent="0.25"/>
  <cols>
    <col min="1" max="1" width="1.140625" style="6" customWidth="1"/>
    <col min="2" max="2" width="22.7109375" style="6" customWidth="1"/>
    <col min="3" max="7" width="12.28515625" style="6" customWidth="1"/>
    <col min="8" max="10" width="12.28515625" style="579" customWidth="1"/>
    <col min="11" max="11" width="1.140625" style="579" customWidth="1"/>
    <col min="12" max="12" width="22.7109375" style="579" customWidth="1"/>
    <col min="13" max="17" width="12.28515625" style="579" customWidth="1"/>
    <col min="18" max="20" width="12.28515625" style="6" customWidth="1"/>
    <col min="21" max="16384" width="9.140625" style="6"/>
  </cols>
  <sheetData>
    <row r="1" spans="2:17" x14ac:dyDescent="0.25">
      <c r="B1" s="582" t="s">
        <v>789</v>
      </c>
    </row>
    <row r="2" spans="2:17" x14ac:dyDescent="0.25">
      <c r="B2" s="582"/>
    </row>
    <row r="3" spans="2:17" x14ac:dyDescent="0.25">
      <c r="B3" s="582" t="s">
        <v>532</v>
      </c>
    </row>
    <row r="4" spans="2:17" x14ac:dyDescent="0.25">
      <c r="B4" s="7"/>
      <c r="C4" s="8"/>
      <c r="D4" s="8"/>
      <c r="E4" s="8"/>
      <c r="F4" s="8"/>
      <c r="I4" s="580"/>
      <c r="L4" s="580"/>
    </row>
    <row r="5" spans="2:17" ht="12.6" customHeight="1" x14ac:dyDescent="0.25">
      <c r="B5" s="7"/>
      <c r="C5" s="8"/>
      <c r="D5" s="8"/>
      <c r="E5" s="8"/>
      <c r="F5" s="8"/>
    </row>
    <row r="6" spans="2:17" ht="21" customHeight="1" x14ac:dyDescent="0.25">
      <c r="C6" s="13"/>
      <c r="D6" s="14"/>
      <c r="E6" s="14"/>
      <c r="F6" s="14"/>
      <c r="H6" s="580"/>
    </row>
    <row r="7" spans="2:17" s="5" customFormat="1" ht="21" customHeight="1" x14ac:dyDescent="0.25">
      <c r="C7" s="14"/>
      <c r="D7" s="14"/>
      <c r="E7" s="14"/>
      <c r="F7" s="14"/>
      <c r="H7" s="795"/>
      <c r="I7" s="795"/>
      <c r="J7" s="795"/>
      <c r="K7" s="795"/>
      <c r="L7" s="795"/>
      <c r="M7" s="795"/>
      <c r="N7" s="795"/>
      <c r="O7" s="581"/>
      <c r="P7" s="581"/>
      <c r="Q7" s="581"/>
    </row>
    <row r="8" spans="2:17" ht="21" customHeight="1" x14ac:dyDescent="0.25">
      <c r="C8" s="8"/>
      <c r="D8" s="12"/>
      <c r="E8" s="12"/>
      <c r="F8" s="12"/>
      <c r="G8" s="9"/>
    </row>
    <row r="9" spans="2:17" ht="21" customHeight="1" x14ac:dyDescent="0.25">
      <c r="C9" s="8"/>
      <c r="D9" s="12"/>
      <c r="E9" s="12"/>
      <c r="F9" s="12"/>
      <c r="G9" s="9"/>
    </row>
    <row r="10" spans="2:17" ht="21" customHeight="1" x14ac:dyDescent="0.25">
      <c r="C10" s="8"/>
      <c r="D10" s="12"/>
      <c r="E10" s="12"/>
      <c r="F10" s="12"/>
      <c r="G10" s="9"/>
    </row>
    <row r="11" spans="2:17" ht="21" customHeight="1" x14ac:dyDescent="0.25">
      <c r="C11" s="8"/>
      <c r="D11" s="12"/>
      <c r="E11" s="12"/>
      <c r="F11" s="12"/>
      <c r="G11" s="9"/>
    </row>
    <row r="12" spans="2:17" ht="21" customHeight="1" x14ac:dyDescent="0.25">
      <c r="C12" s="8"/>
      <c r="D12" s="12"/>
      <c r="E12" s="12"/>
      <c r="F12" s="15"/>
      <c r="G12" s="9"/>
    </row>
    <row r="13" spans="2:17" ht="21" customHeight="1" x14ac:dyDescent="0.25">
      <c r="C13" s="8"/>
      <c r="D13" s="12"/>
      <c r="E13" s="16"/>
      <c r="F13" s="16"/>
      <c r="G13" s="9"/>
    </row>
    <row r="14" spans="2:17" ht="21" customHeight="1" x14ac:dyDescent="0.25">
      <c r="B14" s="582" t="s">
        <v>533</v>
      </c>
      <c r="C14" s="8"/>
      <c r="D14" s="12"/>
      <c r="E14" s="16"/>
      <c r="F14" s="16"/>
      <c r="G14" s="9"/>
    </row>
    <row r="15" spans="2:17" ht="21" customHeight="1" x14ac:dyDescent="0.25">
      <c r="C15" s="8"/>
      <c r="D15" s="12"/>
      <c r="E15" s="16"/>
      <c r="F15" s="16"/>
      <c r="G15" s="9"/>
    </row>
    <row r="16" spans="2:17" ht="21" customHeight="1" x14ac:dyDescent="0.25">
      <c r="D16" s="1"/>
      <c r="E16" s="2"/>
      <c r="F16" s="2"/>
      <c r="G16" s="9"/>
    </row>
    <row r="27" spans="2:2" x14ac:dyDescent="0.25">
      <c r="B27" s="582" t="s">
        <v>535</v>
      </c>
    </row>
    <row r="41" spans="2:2" x14ac:dyDescent="0.25">
      <c r="B41" s="582" t="s">
        <v>536</v>
      </c>
    </row>
  </sheetData>
  <mergeCells count="1">
    <mergeCell ref="H7:N7"/>
  </mergeCells>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3098-3AD1-443C-A973-F894C384AE3A}">
  <dimension ref="A1:Q30"/>
  <sheetViews>
    <sheetView showGridLines="0" zoomScaleNormal="100" workbookViewId="0">
      <pane xSplit="2" ySplit="6" topLeftCell="C25" activePane="bottomRight" state="frozen"/>
      <selection activeCell="G22" sqref="G22:K22"/>
      <selection pane="topRight" activeCell="G22" sqref="G22:K22"/>
      <selection pane="bottomLeft" activeCell="G22" sqref="G22:K22"/>
      <selection pane="bottomRight" activeCell="D32" sqref="D32"/>
    </sheetView>
  </sheetViews>
  <sheetFormatPr defaultRowHeight="15" x14ac:dyDescent="0.25"/>
  <cols>
    <col min="1" max="1" width="1.28515625" style="6" customWidth="1"/>
    <col min="2" max="2" width="12.7109375" customWidth="1"/>
    <col min="3" max="3" width="20.140625" customWidth="1"/>
    <col min="4" max="5" width="14.85546875" style="6" customWidth="1"/>
    <col min="6" max="8" width="19" style="6" customWidth="1"/>
    <col min="10" max="10" width="12.85546875" style="6" customWidth="1"/>
    <col min="11" max="12" width="16.28515625" customWidth="1"/>
    <col min="13" max="13" width="38.5703125" style="6" customWidth="1"/>
    <col min="14" max="14" width="11.7109375" customWidth="1"/>
    <col min="16" max="17" width="14.5703125" customWidth="1"/>
  </cols>
  <sheetData>
    <row r="1" spans="2:17" s="6" customFormat="1" x14ac:dyDescent="0.25">
      <c r="B1" s="6" t="s">
        <v>779</v>
      </c>
    </row>
    <row r="2" spans="2:17" s="6" customFormat="1" x14ac:dyDescent="0.25">
      <c r="B2" s="6" t="s">
        <v>450</v>
      </c>
    </row>
    <row r="3" spans="2:17" ht="8.4499999999999993" customHeight="1" thickBot="1" x14ac:dyDescent="0.3"/>
    <row r="4" spans="2:17" ht="15.75" thickBot="1" x14ac:dyDescent="0.3">
      <c r="B4" s="796" t="s">
        <v>407</v>
      </c>
      <c r="C4" s="797"/>
      <c r="D4" s="797"/>
      <c r="E4" s="797"/>
      <c r="F4" s="797"/>
      <c r="G4" s="797"/>
      <c r="H4" s="797"/>
      <c r="I4" s="797"/>
      <c r="J4" s="797"/>
      <c r="K4" s="797"/>
      <c r="L4" s="797"/>
      <c r="M4" s="798"/>
      <c r="N4" s="810" t="s">
        <v>408</v>
      </c>
      <c r="O4" s="811"/>
      <c r="P4" s="811"/>
      <c r="Q4" s="811"/>
    </row>
    <row r="5" spans="2:17" ht="21" customHeight="1" x14ac:dyDescent="0.25">
      <c r="B5" s="803" t="s">
        <v>409</v>
      </c>
      <c r="C5" s="803" t="s">
        <v>410</v>
      </c>
      <c r="D5" s="803" t="s">
        <v>92</v>
      </c>
      <c r="E5" s="803" t="s">
        <v>516</v>
      </c>
      <c r="F5" s="803" t="s">
        <v>518</v>
      </c>
      <c r="G5" s="803" t="s">
        <v>519</v>
      </c>
      <c r="H5" s="803" t="s">
        <v>521</v>
      </c>
      <c r="I5" s="803" t="s">
        <v>411</v>
      </c>
      <c r="J5" s="803" t="s">
        <v>517</v>
      </c>
      <c r="K5" s="427" t="s">
        <v>412</v>
      </c>
      <c r="L5" s="428" t="s">
        <v>412</v>
      </c>
      <c r="M5" s="808" t="s">
        <v>525</v>
      </c>
      <c r="N5" s="815" t="s">
        <v>410</v>
      </c>
      <c r="O5" s="803" t="s">
        <v>411</v>
      </c>
      <c r="P5" s="427" t="s">
        <v>412</v>
      </c>
      <c r="Q5" s="427" t="s">
        <v>412</v>
      </c>
    </row>
    <row r="6" spans="2:17" ht="21" customHeight="1" thickBot="1" x14ac:dyDescent="0.3">
      <c r="B6" s="804"/>
      <c r="C6" s="804"/>
      <c r="D6" s="804"/>
      <c r="E6" s="804"/>
      <c r="F6" s="804"/>
      <c r="G6" s="804"/>
      <c r="H6" s="804"/>
      <c r="I6" s="804"/>
      <c r="J6" s="804"/>
      <c r="K6" s="429" t="s">
        <v>413</v>
      </c>
      <c r="L6" s="430" t="s">
        <v>414</v>
      </c>
      <c r="M6" s="809"/>
      <c r="N6" s="816"/>
      <c r="O6" s="804"/>
      <c r="P6" s="429" t="s">
        <v>413</v>
      </c>
      <c r="Q6" s="429" t="s">
        <v>414</v>
      </c>
    </row>
    <row r="7" spans="2:17" ht="29.25" thickBot="1" x14ac:dyDescent="0.3">
      <c r="B7" s="431" t="s">
        <v>415</v>
      </c>
      <c r="C7" s="432" t="s">
        <v>449</v>
      </c>
      <c r="D7" s="433"/>
      <c r="E7" s="433"/>
      <c r="F7" s="433"/>
      <c r="G7" s="433"/>
      <c r="H7" s="433"/>
      <c r="I7" s="433" t="s">
        <v>416</v>
      </c>
      <c r="J7" s="433"/>
      <c r="K7" s="433" t="s">
        <v>417</v>
      </c>
      <c r="L7" s="434" t="s">
        <v>418</v>
      </c>
      <c r="M7" s="433"/>
      <c r="N7" s="812"/>
      <c r="O7" s="813"/>
      <c r="P7" s="813"/>
      <c r="Q7" s="814"/>
    </row>
    <row r="8" spans="2:17" ht="29.25" thickBot="1" x14ac:dyDescent="0.3">
      <c r="B8" s="431" t="s">
        <v>415</v>
      </c>
      <c r="C8" s="435" t="s">
        <v>451</v>
      </c>
      <c r="D8" s="435"/>
      <c r="E8" s="435"/>
      <c r="F8" s="435"/>
      <c r="G8" s="435"/>
      <c r="H8" s="435"/>
      <c r="I8" s="435" t="s">
        <v>416</v>
      </c>
      <c r="J8" s="435"/>
      <c r="K8" s="435" t="s">
        <v>417</v>
      </c>
      <c r="L8" s="434" t="s">
        <v>418</v>
      </c>
      <c r="M8" s="433"/>
      <c r="N8" s="812"/>
      <c r="O8" s="813"/>
      <c r="P8" s="813"/>
      <c r="Q8" s="814"/>
    </row>
    <row r="9" spans="2:17" ht="29.25" thickBot="1" x14ac:dyDescent="0.3">
      <c r="B9" s="431" t="s">
        <v>415</v>
      </c>
      <c r="C9" s="436" t="s">
        <v>452</v>
      </c>
      <c r="D9" s="437"/>
      <c r="E9" s="437"/>
      <c r="F9" s="437"/>
      <c r="G9" s="437"/>
      <c r="H9" s="437"/>
      <c r="I9" s="437" t="s">
        <v>416</v>
      </c>
      <c r="J9" s="437"/>
      <c r="K9" s="437" t="s">
        <v>417</v>
      </c>
      <c r="L9" s="435" t="s">
        <v>419</v>
      </c>
      <c r="M9" s="433"/>
      <c r="N9" s="812"/>
      <c r="O9" s="813"/>
      <c r="P9" s="813"/>
      <c r="Q9" s="814"/>
    </row>
    <row r="10" spans="2:17" ht="29.25" thickBot="1" x14ac:dyDescent="0.3">
      <c r="B10" s="438" t="s">
        <v>415</v>
      </c>
      <c r="C10" s="433" t="s">
        <v>453</v>
      </c>
      <c r="D10" s="433"/>
      <c r="E10" s="433"/>
      <c r="F10" s="433"/>
      <c r="G10" s="433"/>
      <c r="H10" s="433"/>
      <c r="I10" s="433" t="s">
        <v>416</v>
      </c>
      <c r="J10" s="433"/>
      <c r="K10" s="433" t="s">
        <v>417</v>
      </c>
      <c r="L10" s="433" t="s">
        <v>420</v>
      </c>
      <c r="M10" s="433"/>
      <c r="N10" s="433">
        <v>42172</v>
      </c>
      <c r="O10" s="433" t="s">
        <v>421</v>
      </c>
      <c r="P10" s="433" t="s">
        <v>417</v>
      </c>
      <c r="Q10" s="439">
        <v>8.9499999999999993</v>
      </c>
    </row>
    <row r="11" spans="2:17" ht="29.25" thickBot="1" x14ac:dyDescent="0.3">
      <c r="B11" s="431" t="s">
        <v>422</v>
      </c>
      <c r="C11" s="436" t="s">
        <v>454</v>
      </c>
      <c r="D11" s="437"/>
      <c r="E11" s="437"/>
      <c r="F11" s="437"/>
      <c r="G11" s="437"/>
      <c r="H11" s="437"/>
      <c r="I11" s="437" t="s">
        <v>423</v>
      </c>
      <c r="J11" s="437"/>
      <c r="K11" s="437" t="s">
        <v>417</v>
      </c>
      <c r="L11" s="434" t="s">
        <v>424</v>
      </c>
      <c r="M11" s="433"/>
      <c r="N11" s="812"/>
      <c r="O11" s="813"/>
      <c r="P11" s="813"/>
      <c r="Q11" s="814"/>
    </row>
    <row r="12" spans="2:17" ht="29.25" thickBot="1" x14ac:dyDescent="0.3">
      <c r="B12" s="431" t="s">
        <v>422</v>
      </c>
      <c r="C12" s="436" t="s">
        <v>455</v>
      </c>
      <c r="D12" s="437"/>
      <c r="E12" s="437"/>
      <c r="F12" s="437"/>
      <c r="G12" s="437"/>
      <c r="H12" s="437"/>
      <c r="I12" s="437" t="s">
        <v>423</v>
      </c>
      <c r="J12" s="437"/>
      <c r="K12" s="437" t="s">
        <v>417</v>
      </c>
      <c r="L12" s="434" t="s">
        <v>425</v>
      </c>
      <c r="M12" s="433"/>
      <c r="N12" s="812"/>
      <c r="O12" s="813"/>
      <c r="P12" s="813"/>
      <c r="Q12" s="814"/>
    </row>
    <row r="13" spans="2:17" ht="29.25" thickBot="1" x14ac:dyDescent="0.3">
      <c r="B13" s="431" t="s">
        <v>422</v>
      </c>
      <c r="C13" s="436" t="s">
        <v>456</v>
      </c>
      <c r="D13" s="437"/>
      <c r="E13" s="437"/>
      <c r="F13" s="437"/>
      <c r="G13" s="437"/>
      <c r="H13" s="437"/>
      <c r="I13" s="437" t="s">
        <v>423</v>
      </c>
      <c r="J13" s="437"/>
      <c r="K13" s="437" t="s">
        <v>417</v>
      </c>
      <c r="L13" s="435" t="s">
        <v>425</v>
      </c>
      <c r="M13" s="433"/>
      <c r="N13" s="812"/>
      <c r="O13" s="813"/>
      <c r="P13" s="813"/>
      <c r="Q13" s="814"/>
    </row>
    <row r="14" spans="2:17" ht="36" customHeight="1" thickBot="1" x14ac:dyDescent="0.3">
      <c r="B14" s="438" t="s">
        <v>422</v>
      </c>
      <c r="C14" s="433" t="s">
        <v>457</v>
      </c>
      <c r="D14" s="433"/>
      <c r="E14" s="433"/>
      <c r="F14" s="433"/>
      <c r="G14" s="433"/>
      <c r="H14" s="433"/>
      <c r="I14" s="433" t="s">
        <v>426</v>
      </c>
      <c r="J14" s="433"/>
      <c r="K14" s="433" t="s">
        <v>417</v>
      </c>
      <c r="L14" s="433" t="s">
        <v>427</v>
      </c>
      <c r="M14" s="433"/>
      <c r="N14" s="433">
        <v>42542</v>
      </c>
      <c r="O14" s="433" t="s">
        <v>426</v>
      </c>
      <c r="P14" s="433" t="s">
        <v>417</v>
      </c>
      <c r="Q14" s="439">
        <v>10.8</v>
      </c>
    </row>
    <row r="15" spans="2:17" ht="29.25" thickBot="1" x14ac:dyDescent="0.3">
      <c r="B15" s="431" t="s">
        <v>428</v>
      </c>
      <c r="C15" s="436" t="s">
        <v>458</v>
      </c>
      <c r="D15" s="437"/>
      <c r="E15" s="437"/>
      <c r="F15" s="437"/>
      <c r="G15" s="437"/>
      <c r="H15" s="437"/>
      <c r="I15" s="437" t="s">
        <v>429</v>
      </c>
      <c r="J15" s="437"/>
      <c r="K15" s="437" t="s">
        <v>417</v>
      </c>
      <c r="L15" s="434" t="s">
        <v>430</v>
      </c>
      <c r="M15" s="433"/>
      <c r="N15" s="812"/>
      <c r="O15" s="813"/>
      <c r="P15" s="813"/>
      <c r="Q15" s="814"/>
    </row>
    <row r="16" spans="2:17" ht="29.25" thickBot="1" x14ac:dyDescent="0.3">
      <c r="B16" s="431" t="s">
        <v>428</v>
      </c>
      <c r="C16" s="436" t="s">
        <v>459</v>
      </c>
      <c r="D16" s="437"/>
      <c r="E16" s="437"/>
      <c r="F16" s="437"/>
      <c r="G16" s="437"/>
      <c r="H16" s="437"/>
      <c r="I16" s="437" t="s">
        <v>431</v>
      </c>
      <c r="J16" s="437"/>
      <c r="K16" s="437" t="s">
        <v>432</v>
      </c>
      <c r="L16" s="434" t="s">
        <v>433</v>
      </c>
      <c r="M16" s="433"/>
      <c r="N16" s="812"/>
      <c r="O16" s="813"/>
      <c r="P16" s="813"/>
      <c r="Q16" s="814"/>
    </row>
    <row r="17" spans="2:17" ht="29.25" thickBot="1" x14ac:dyDescent="0.3">
      <c r="B17" s="431" t="s">
        <v>428</v>
      </c>
      <c r="C17" s="436" t="s">
        <v>460</v>
      </c>
      <c r="D17" s="437"/>
      <c r="E17" s="437"/>
      <c r="F17" s="437"/>
      <c r="G17" s="437"/>
      <c r="H17" s="437"/>
      <c r="I17" s="437" t="s">
        <v>431</v>
      </c>
      <c r="J17" s="437"/>
      <c r="K17" s="437" t="s">
        <v>434</v>
      </c>
      <c r="L17" s="434" t="s">
        <v>433</v>
      </c>
      <c r="M17" s="433"/>
      <c r="N17" s="812"/>
      <c r="O17" s="813"/>
      <c r="P17" s="813"/>
      <c r="Q17" s="814"/>
    </row>
    <row r="18" spans="2:17" ht="29.25" thickBot="1" x14ac:dyDescent="0.3">
      <c r="B18" s="438" t="s">
        <v>428</v>
      </c>
      <c r="C18" s="436" t="s">
        <v>461</v>
      </c>
      <c r="D18" s="437"/>
      <c r="E18" s="437"/>
      <c r="F18" s="437"/>
      <c r="G18" s="437"/>
      <c r="H18" s="437"/>
      <c r="I18" s="433" t="s">
        <v>435</v>
      </c>
      <c r="J18" s="433"/>
      <c r="K18" s="433" t="s">
        <v>436</v>
      </c>
      <c r="L18" s="433" t="s">
        <v>433</v>
      </c>
      <c r="M18" s="433"/>
      <c r="N18" s="433">
        <v>42906</v>
      </c>
      <c r="O18" s="433" t="s">
        <v>429</v>
      </c>
      <c r="P18" s="433">
        <v>11.18</v>
      </c>
      <c r="Q18" s="439">
        <v>12.3</v>
      </c>
    </row>
    <row r="19" spans="2:17" ht="29.25" thickBot="1" x14ac:dyDescent="0.3">
      <c r="B19" s="431" t="s">
        <v>437</v>
      </c>
      <c r="C19" s="436" t="s">
        <v>462</v>
      </c>
      <c r="D19" s="437"/>
      <c r="E19" s="437"/>
      <c r="F19" s="437"/>
      <c r="G19" s="437"/>
      <c r="H19" s="437"/>
      <c r="I19" s="437" t="s">
        <v>438</v>
      </c>
      <c r="J19" s="437"/>
      <c r="K19" s="437" t="s">
        <v>439</v>
      </c>
      <c r="L19" s="434" t="s">
        <v>440</v>
      </c>
      <c r="M19" s="433"/>
      <c r="N19" s="812"/>
      <c r="O19" s="813"/>
      <c r="P19" s="813"/>
      <c r="Q19" s="814"/>
    </row>
    <row r="20" spans="2:17" ht="29.25" thickBot="1" x14ac:dyDescent="0.3">
      <c r="B20" s="431" t="s">
        <v>437</v>
      </c>
      <c r="C20" s="436" t="s">
        <v>463</v>
      </c>
      <c r="D20" s="437"/>
      <c r="E20" s="437"/>
      <c r="F20" s="437"/>
      <c r="G20" s="437"/>
      <c r="H20" s="437"/>
      <c r="I20" s="437" t="s">
        <v>438</v>
      </c>
      <c r="J20" s="437"/>
      <c r="K20" s="437" t="s">
        <v>441</v>
      </c>
      <c r="L20" s="434" t="s">
        <v>442</v>
      </c>
      <c r="M20" s="433"/>
      <c r="N20" s="812"/>
      <c r="O20" s="813"/>
      <c r="P20" s="813"/>
      <c r="Q20" s="814"/>
    </row>
    <row r="21" spans="2:17" ht="29.25" thickBot="1" x14ac:dyDescent="0.3">
      <c r="B21" s="431" t="s">
        <v>437</v>
      </c>
      <c r="C21" s="436" t="s">
        <v>464</v>
      </c>
      <c r="D21" s="437"/>
      <c r="E21" s="437"/>
      <c r="F21" s="437"/>
      <c r="G21" s="437"/>
      <c r="H21" s="437"/>
      <c r="I21" s="437" t="s">
        <v>438</v>
      </c>
      <c r="J21" s="437"/>
      <c r="K21" s="437" t="s">
        <v>443</v>
      </c>
      <c r="L21" s="434" t="s">
        <v>444</v>
      </c>
      <c r="M21" s="433"/>
      <c r="N21" s="812"/>
      <c r="O21" s="813"/>
      <c r="P21" s="813"/>
      <c r="Q21" s="814"/>
    </row>
    <row r="22" spans="2:17" ht="29.25" thickBot="1" x14ac:dyDescent="0.3">
      <c r="B22" s="438" t="s">
        <v>437</v>
      </c>
      <c r="C22" s="432" t="s">
        <v>465</v>
      </c>
      <c r="D22" s="433"/>
      <c r="E22" s="433"/>
      <c r="F22" s="433"/>
      <c r="G22" s="433"/>
      <c r="H22" s="433"/>
      <c r="I22" s="433" t="s">
        <v>445</v>
      </c>
      <c r="J22" s="433"/>
      <c r="K22" s="433" t="s">
        <v>446</v>
      </c>
      <c r="L22" s="433" t="s">
        <v>447</v>
      </c>
      <c r="M22" s="433"/>
      <c r="N22" s="433">
        <v>43270</v>
      </c>
      <c r="O22" s="433" t="s">
        <v>448</v>
      </c>
      <c r="P22" s="433">
        <v>16.670000000000002</v>
      </c>
      <c r="Q22" s="439">
        <v>15.31</v>
      </c>
    </row>
    <row r="23" spans="2:17" s="6" customFormat="1" ht="29.25" thickBot="1" x14ac:dyDescent="0.3">
      <c r="B23" s="431" t="s">
        <v>510</v>
      </c>
      <c r="C23" s="436" t="s">
        <v>512</v>
      </c>
      <c r="D23" s="437" t="s">
        <v>515</v>
      </c>
      <c r="E23" s="529">
        <v>7.9000000000000001E-2</v>
      </c>
      <c r="F23" s="529">
        <v>8.5000000000000006E-2</v>
      </c>
      <c r="G23" s="529" t="s">
        <v>520</v>
      </c>
      <c r="H23" s="531">
        <f>365/1.35</f>
        <v>270.37037037037038</v>
      </c>
      <c r="I23" s="433" t="s">
        <v>431</v>
      </c>
      <c r="J23" s="530">
        <v>0.25</v>
      </c>
      <c r="K23" s="437" t="s">
        <v>514</v>
      </c>
      <c r="L23" s="434" t="s">
        <v>513</v>
      </c>
      <c r="M23" s="433"/>
      <c r="N23" s="805"/>
      <c r="O23" s="806"/>
      <c r="P23" s="806"/>
      <c r="Q23" s="807"/>
    </row>
    <row r="24" spans="2:17" ht="43.5" thickBot="1" x14ac:dyDescent="0.3">
      <c r="B24" s="438" t="s">
        <v>510</v>
      </c>
      <c r="C24" s="432" t="s">
        <v>511</v>
      </c>
      <c r="D24" s="432" t="s">
        <v>515</v>
      </c>
      <c r="E24" s="532">
        <v>7.9000000000000001E-2</v>
      </c>
      <c r="F24" s="532">
        <v>8.5000000000000006E-2</v>
      </c>
      <c r="G24" s="532" t="s">
        <v>520</v>
      </c>
      <c r="H24" s="533">
        <f>365/1.35</f>
        <v>270.37037037037038</v>
      </c>
      <c r="I24" s="432" t="s">
        <v>431</v>
      </c>
      <c r="J24" s="534">
        <v>0.25</v>
      </c>
      <c r="K24" s="432" t="s">
        <v>522</v>
      </c>
      <c r="L24" s="432" t="s">
        <v>523</v>
      </c>
      <c r="M24" s="535" t="s">
        <v>526</v>
      </c>
      <c r="N24" s="802"/>
      <c r="O24" s="802"/>
      <c r="P24" s="802"/>
      <c r="Q24" s="802"/>
    </row>
    <row r="25" spans="2:17" s="6" customFormat="1" ht="129.6" customHeight="1" thickBot="1" x14ac:dyDescent="0.3">
      <c r="B25" s="438" t="s">
        <v>510</v>
      </c>
      <c r="C25" s="432" t="s">
        <v>755</v>
      </c>
      <c r="D25" s="432" t="s">
        <v>760</v>
      </c>
      <c r="E25" s="532" t="s">
        <v>760</v>
      </c>
      <c r="F25" s="532" t="s">
        <v>760</v>
      </c>
      <c r="G25" s="532" t="s">
        <v>520</v>
      </c>
      <c r="H25" s="533">
        <f>365/1.36</f>
        <v>268.38235294117646</v>
      </c>
      <c r="I25" s="432" t="s">
        <v>431</v>
      </c>
      <c r="J25" s="534" t="s">
        <v>758</v>
      </c>
      <c r="K25" s="432" t="s">
        <v>756</v>
      </c>
      <c r="L25" s="432" t="s">
        <v>757</v>
      </c>
      <c r="M25" s="535" t="s">
        <v>759</v>
      </c>
      <c r="N25" s="802"/>
      <c r="O25" s="802"/>
      <c r="P25" s="802"/>
      <c r="Q25" s="802"/>
    </row>
    <row r="26" spans="2:17" s="6" customFormat="1" ht="221.25" customHeight="1" thickBot="1" x14ac:dyDescent="0.3">
      <c r="B26" s="438" t="s">
        <v>510</v>
      </c>
      <c r="C26" s="432" t="s">
        <v>773</v>
      </c>
      <c r="D26" s="432" t="s">
        <v>760</v>
      </c>
      <c r="E26" s="532" t="s">
        <v>760</v>
      </c>
      <c r="F26" s="532" t="s">
        <v>760</v>
      </c>
      <c r="G26" s="532" t="s">
        <v>777</v>
      </c>
      <c r="H26" s="533">
        <f>350/1.32</f>
        <v>265.15151515151513</v>
      </c>
      <c r="I26" s="432" t="s">
        <v>431</v>
      </c>
      <c r="J26" s="534" t="s">
        <v>776</v>
      </c>
      <c r="K26" s="432" t="s">
        <v>774</v>
      </c>
      <c r="L26" s="432" t="s">
        <v>775</v>
      </c>
      <c r="M26" s="535" t="s">
        <v>778</v>
      </c>
      <c r="N26" s="802"/>
      <c r="O26" s="802"/>
      <c r="P26" s="802"/>
      <c r="Q26" s="802"/>
    </row>
    <row r="27" spans="2:17" ht="15.75" thickBot="1" x14ac:dyDescent="0.3"/>
    <row r="28" spans="2:17" ht="15.75" thickBot="1" x14ac:dyDescent="0.3">
      <c r="B28" s="796" t="s">
        <v>524</v>
      </c>
      <c r="C28" s="797"/>
      <c r="D28" s="797"/>
      <c r="E28" s="797"/>
      <c r="F28" s="797"/>
      <c r="G28" s="797"/>
      <c r="H28" s="797"/>
      <c r="I28" s="797"/>
      <c r="J28" s="797"/>
      <c r="K28" s="797"/>
      <c r="L28" s="798"/>
    </row>
    <row r="29" spans="2:17" ht="43.5" customHeight="1" thickBot="1" x14ac:dyDescent="0.3">
      <c r="B29" s="799" t="s">
        <v>527</v>
      </c>
      <c r="C29" s="800"/>
      <c r="D29" s="800"/>
      <c r="E29" s="800"/>
      <c r="F29" s="801"/>
      <c r="G29" s="799" t="s">
        <v>528</v>
      </c>
      <c r="H29" s="800"/>
      <c r="I29" s="800"/>
      <c r="J29" s="800"/>
      <c r="K29" s="800"/>
      <c r="L29" s="801"/>
    </row>
    <row r="30" spans="2:17" x14ac:dyDescent="0.25">
      <c r="N30" s="6"/>
    </row>
  </sheetData>
  <mergeCells count="33">
    <mergeCell ref="N26:Q26"/>
    <mergeCell ref="N25:Q25"/>
    <mergeCell ref="N21:Q21"/>
    <mergeCell ref="N19:Q19"/>
    <mergeCell ref="N20:Q20"/>
    <mergeCell ref="N17:Q17"/>
    <mergeCell ref="N15:Q15"/>
    <mergeCell ref="N16:Q16"/>
    <mergeCell ref="I5:I6"/>
    <mergeCell ref="N5:N6"/>
    <mergeCell ref="O5:O6"/>
    <mergeCell ref="N13:Q13"/>
    <mergeCell ref="N11:Q11"/>
    <mergeCell ref="N12:Q12"/>
    <mergeCell ref="N9:Q9"/>
    <mergeCell ref="N7:Q7"/>
    <mergeCell ref="N8:Q8"/>
    <mergeCell ref="B4:M4"/>
    <mergeCell ref="B29:F29"/>
    <mergeCell ref="G29:L29"/>
    <mergeCell ref="B28:L28"/>
    <mergeCell ref="N24:Q24"/>
    <mergeCell ref="D5:D6"/>
    <mergeCell ref="E5:E6"/>
    <mergeCell ref="F5:F6"/>
    <mergeCell ref="J5:J6"/>
    <mergeCell ref="G5:G6"/>
    <mergeCell ref="H5:H6"/>
    <mergeCell ref="N23:Q23"/>
    <mergeCell ref="M5:M6"/>
    <mergeCell ref="N4:Q4"/>
    <mergeCell ref="B5:B6"/>
    <mergeCell ref="C5:C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81B74-4FD3-4A80-B515-D0B4B3984644}">
  <dimension ref="B1:L22"/>
  <sheetViews>
    <sheetView showGridLines="0" workbookViewId="0">
      <selection activeCell="P45" sqref="P45"/>
    </sheetView>
  </sheetViews>
  <sheetFormatPr defaultRowHeight="15" x14ac:dyDescent="0.25"/>
  <cols>
    <col min="1" max="1" width="1.28515625" customWidth="1"/>
    <col min="2" max="2" width="12.28515625" customWidth="1"/>
    <col min="11" max="11" width="9.5703125" bestFit="1" customWidth="1"/>
  </cols>
  <sheetData>
    <row r="1" spans="2:11" x14ac:dyDescent="0.25">
      <c r="B1" s="6" t="s">
        <v>770</v>
      </c>
    </row>
    <row r="2" spans="2:11" x14ac:dyDescent="0.25">
      <c r="B2" s="6" t="s">
        <v>543</v>
      </c>
    </row>
    <row r="3" spans="2:11" ht="45" x14ac:dyDescent="0.25">
      <c r="B3" s="584" t="s">
        <v>544</v>
      </c>
      <c r="C3" s="584" t="s">
        <v>545</v>
      </c>
      <c r="D3" s="584" t="s">
        <v>546</v>
      </c>
      <c r="E3" s="584" t="s">
        <v>547</v>
      </c>
      <c r="F3" s="584" t="s">
        <v>548</v>
      </c>
      <c r="G3" s="584" t="s">
        <v>560</v>
      </c>
      <c r="H3" s="584" t="s">
        <v>549</v>
      </c>
      <c r="I3" s="584" t="s">
        <v>550</v>
      </c>
      <c r="J3" s="584" t="s">
        <v>551</v>
      </c>
      <c r="K3" s="584" t="s">
        <v>552</v>
      </c>
    </row>
    <row r="4" spans="2:11" s="6" customFormat="1" x14ac:dyDescent="0.25">
      <c r="B4" s="617">
        <v>43160</v>
      </c>
      <c r="C4" s="622">
        <v>246.35000600000001</v>
      </c>
      <c r="D4" s="622">
        <v>258</v>
      </c>
      <c r="E4" s="622">
        <v>228.89999399999999</v>
      </c>
      <c r="F4" s="622">
        <v>240.11000100000001</v>
      </c>
      <c r="G4" s="622">
        <v>235.82135</v>
      </c>
      <c r="H4" s="520">
        <v>45507000</v>
      </c>
      <c r="I4" s="618"/>
      <c r="J4" s="619"/>
      <c r="K4" s="586"/>
    </row>
    <row r="5" spans="2:11" x14ac:dyDescent="0.25">
      <c r="B5" s="617">
        <v>43191</v>
      </c>
      <c r="C5" s="622">
        <v>239.19000199999999</v>
      </c>
      <c r="D5" s="622">
        <v>257.47000100000002</v>
      </c>
      <c r="E5" s="622">
        <v>231.71000699999999</v>
      </c>
      <c r="F5" s="622">
        <v>247.199997</v>
      </c>
      <c r="G5" s="622">
        <v>243.29057299999999</v>
      </c>
      <c r="H5" s="520">
        <v>31447100</v>
      </c>
      <c r="I5" s="618">
        <f>+G5/G4-1</f>
        <v>3.1673226363940321E-2</v>
      </c>
      <c r="J5" s="619">
        <f t="shared" ref="J5:J16" si="0">I5-$I$17</f>
        <v>4.8114567152821572E-2</v>
      </c>
      <c r="K5" s="646">
        <f>J5^2</f>
        <v>2.3150115723033766E-3</v>
      </c>
    </row>
    <row r="6" spans="2:11" x14ac:dyDescent="0.25">
      <c r="B6" s="617">
        <v>43221</v>
      </c>
      <c r="C6" s="622">
        <v>247.229996</v>
      </c>
      <c r="D6" s="622">
        <v>256.29998799999998</v>
      </c>
      <c r="E6" s="622">
        <v>236.61000100000001</v>
      </c>
      <c r="F6" s="622">
        <v>249.11999499999999</v>
      </c>
      <c r="G6" s="622">
        <v>245.180206</v>
      </c>
      <c r="H6" s="520">
        <v>28529000</v>
      </c>
      <c r="I6" s="618">
        <f>+G6/G5-1</f>
        <v>7.7669799396624661E-3</v>
      </c>
      <c r="J6" s="619">
        <f t="shared" si="0"/>
        <v>2.420832072854372E-2</v>
      </c>
      <c r="K6" s="646">
        <f>J6^2</f>
        <v>5.8604279249603955E-4</v>
      </c>
    </row>
    <row r="7" spans="2:11" x14ac:dyDescent="0.25">
      <c r="B7" s="617">
        <v>43252</v>
      </c>
      <c r="C7" s="622">
        <v>251.570007</v>
      </c>
      <c r="D7" s="622">
        <v>266.67001299999998</v>
      </c>
      <c r="E7" s="622">
        <v>222.44000199999999</v>
      </c>
      <c r="F7" s="622">
        <v>227.05999800000001</v>
      </c>
      <c r="G7" s="622">
        <v>223.46906999999999</v>
      </c>
      <c r="H7" s="520">
        <v>43105300</v>
      </c>
      <c r="I7" s="618">
        <f t="shared" ref="I7:I16" si="1">+G7/G6-1</f>
        <v>-8.8551748749244541E-2</v>
      </c>
      <c r="J7" s="619">
        <f t="shared" si="0"/>
        <v>-7.211040796036329E-2</v>
      </c>
      <c r="K7" s="646">
        <f t="shared" ref="K7:K15" si="2">J7^2</f>
        <v>5.1999109362100256E-3</v>
      </c>
    </row>
    <row r="8" spans="2:11" x14ac:dyDescent="0.25">
      <c r="B8" s="617">
        <v>43282</v>
      </c>
      <c r="C8" s="622">
        <v>225.36999499999999</v>
      </c>
      <c r="D8" s="622">
        <v>248.61999499999999</v>
      </c>
      <c r="E8" s="622">
        <v>225.259995</v>
      </c>
      <c r="F8" s="622">
        <v>245.86999499999999</v>
      </c>
      <c r="G8" s="622">
        <v>242.62080399999999</v>
      </c>
      <c r="H8" s="520">
        <v>32080800</v>
      </c>
      <c r="I8" s="618">
        <f t="shared" si="1"/>
        <v>8.5701945240117539E-2</v>
      </c>
      <c r="J8" s="619">
        <f t="shared" si="0"/>
        <v>0.10214328602899879</v>
      </c>
      <c r="K8" s="646">
        <f t="shared" si="2"/>
        <v>1.043325088080186E-2</v>
      </c>
    </row>
    <row r="9" spans="2:11" x14ac:dyDescent="0.25">
      <c r="B9" s="617">
        <v>43313</v>
      </c>
      <c r="C9" s="622">
        <v>245.699997</v>
      </c>
      <c r="D9" s="622">
        <v>252.28999300000001</v>
      </c>
      <c r="E9" s="622">
        <v>238.779999</v>
      </c>
      <c r="F9" s="622">
        <v>243.949997</v>
      </c>
      <c r="G9" s="622">
        <v>240.72619599999999</v>
      </c>
      <c r="H9" s="520">
        <v>25492700</v>
      </c>
      <c r="I9" s="618">
        <f t="shared" si="1"/>
        <v>-7.8089263936327313E-3</v>
      </c>
      <c r="J9" s="619">
        <f t="shared" si="0"/>
        <v>8.6324143952485229E-3</v>
      </c>
      <c r="K9" s="646">
        <f t="shared" si="2"/>
        <v>7.4518578291293927E-5</v>
      </c>
    </row>
    <row r="10" spans="2:11" x14ac:dyDescent="0.25">
      <c r="B10" s="617">
        <v>43344</v>
      </c>
      <c r="C10" s="622">
        <v>243.89999399999999</v>
      </c>
      <c r="D10" s="622">
        <v>259.25</v>
      </c>
      <c r="E10" s="622">
        <v>237.509995</v>
      </c>
      <c r="F10" s="622">
        <v>240.78999300000001</v>
      </c>
      <c r="G10" s="622">
        <v>237.60794100000001</v>
      </c>
      <c r="H10" s="520">
        <v>40372500</v>
      </c>
      <c r="I10" s="618">
        <f t="shared" si="1"/>
        <v>-1.2953534147151835E-2</v>
      </c>
      <c r="J10" s="619">
        <f t="shared" si="0"/>
        <v>3.4878066417294191E-3</v>
      </c>
      <c r="K10" s="646">
        <f t="shared" si="2"/>
        <v>1.2164795170091848E-5</v>
      </c>
    </row>
    <row r="11" spans="2:11" x14ac:dyDescent="0.25">
      <c r="B11" s="617">
        <v>43374</v>
      </c>
      <c r="C11" s="622">
        <v>242.479996</v>
      </c>
      <c r="D11" s="622">
        <v>243.550003</v>
      </c>
      <c r="E11" s="622">
        <v>207.89999399999999</v>
      </c>
      <c r="F11" s="622">
        <v>220.33999600000001</v>
      </c>
      <c r="G11" s="622">
        <v>218.00376900000001</v>
      </c>
      <c r="H11" s="520">
        <v>40076300</v>
      </c>
      <c r="I11" s="618">
        <f t="shared" si="1"/>
        <v>-8.2506383909113579E-2</v>
      </c>
      <c r="J11" s="619">
        <f t="shared" si="0"/>
        <v>-6.6065043120232328E-2</v>
      </c>
      <c r="K11" s="646">
        <f t="shared" si="2"/>
        <v>4.3645899224781567E-3</v>
      </c>
    </row>
    <row r="12" spans="2:11" x14ac:dyDescent="0.25">
      <c r="B12" s="617">
        <v>43405</v>
      </c>
      <c r="C12" s="622">
        <v>221</v>
      </c>
      <c r="D12" s="622">
        <v>231.85000600000001</v>
      </c>
      <c r="E12" s="622">
        <v>218.35000600000001</v>
      </c>
      <c r="F12" s="622">
        <v>229</v>
      </c>
      <c r="G12" s="622">
        <v>226.57195999999999</v>
      </c>
      <c r="H12" s="520">
        <v>27046900</v>
      </c>
      <c r="I12" s="618">
        <f t="shared" si="1"/>
        <v>3.9302948932043336E-2</v>
      </c>
      <c r="J12" s="619">
        <f t="shared" si="0"/>
        <v>5.5744289720924586E-2</v>
      </c>
      <c r="K12" s="646">
        <f t="shared" si="2"/>
        <v>3.1074258364903783E-3</v>
      </c>
    </row>
    <row r="13" spans="2:11" x14ac:dyDescent="0.25">
      <c r="B13" s="617">
        <v>43435</v>
      </c>
      <c r="C13" s="622">
        <v>232.66000399999999</v>
      </c>
      <c r="D13" s="622">
        <v>234.490005</v>
      </c>
      <c r="E13" s="622">
        <v>150.94000199999999</v>
      </c>
      <c r="F13" s="622">
        <v>161.33000200000001</v>
      </c>
      <c r="G13" s="622">
        <v>159.61944600000001</v>
      </c>
      <c r="H13" s="520">
        <v>82428200</v>
      </c>
      <c r="I13" s="618">
        <f t="shared" si="1"/>
        <v>-0.29550220600995813</v>
      </c>
      <c r="J13" s="619">
        <f t="shared" si="0"/>
        <v>-0.27906086522107687</v>
      </c>
      <c r="K13" s="646">
        <f t="shared" si="2"/>
        <v>7.787496649793603E-2</v>
      </c>
    </row>
    <row r="14" spans="2:11" x14ac:dyDescent="0.25">
      <c r="B14" s="617">
        <v>43466</v>
      </c>
      <c r="C14" s="622">
        <v>158.520004</v>
      </c>
      <c r="D14" s="622">
        <v>179.19000199999999</v>
      </c>
      <c r="E14" s="622">
        <v>156.96000699999999</v>
      </c>
      <c r="F14" s="622">
        <v>177.570007</v>
      </c>
      <c r="G14" s="622">
        <v>176.21989400000001</v>
      </c>
      <c r="H14" s="520">
        <v>46269700</v>
      </c>
      <c r="I14" s="618">
        <f t="shared" si="1"/>
        <v>0.1040001604816998</v>
      </c>
      <c r="J14" s="619">
        <f t="shared" si="0"/>
        <v>0.12044150127058105</v>
      </c>
      <c r="K14" s="646">
        <f t="shared" si="2"/>
        <v>1.4506155228311376E-2</v>
      </c>
    </row>
    <row r="15" spans="2:11" x14ac:dyDescent="0.25">
      <c r="B15" s="617">
        <v>43497</v>
      </c>
      <c r="C15" s="622">
        <v>178.300003</v>
      </c>
      <c r="D15" s="622">
        <v>187.03999300000001</v>
      </c>
      <c r="E15" s="622">
        <v>173.770004</v>
      </c>
      <c r="F15" s="622">
        <v>181</v>
      </c>
      <c r="G15" s="622">
        <v>179.62380999999999</v>
      </c>
      <c r="H15" s="520">
        <v>33895100</v>
      </c>
      <c r="I15" s="618">
        <f t="shared" si="1"/>
        <v>1.9316298079262051E-2</v>
      </c>
      <c r="J15" s="619">
        <f t="shared" si="0"/>
        <v>3.5757638868143302E-2</v>
      </c>
      <c r="K15" s="646">
        <f t="shared" si="2"/>
        <v>1.2786087374245525E-3</v>
      </c>
    </row>
    <row r="16" spans="2:11" x14ac:dyDescent="0.25">
      <c r="B16" s="620">
        <v>43525</v>
      </c>
      <c r="C16" s="623">
        <v>182.020004</v>
      </c>
      <c r="D16" s="623">
        <v>185.30999800000001</v>
      </c>
      <c r="E16" s="623">
        <v>167.61000100000001</v>
      </c>
      <c r="F16" s="623">
        <v>181.41000399999999</v>
      </c>
      <c r="G16" s="623">
        <v>180.03068500000001</v>
      </c>
      <c r="H16" s="588">
        <v>50445300</v>
      </c>
      <c r="I16" s="618">
        <f t="shared" si="1"/>
        <v>2.2651507058002451E-3</v>
      </c>
      <c r="J16" s="621">
        <f t="shared" si="0"/>
        <v>1.8706491494681499E-2</v>
      </c>
      <c r="K16" s="647">
        <f>J16^2</f>
        <v>3.4993282404059125E-4</v>
      </c>
    </row>
    <row r="17" spans="7:12" x14ac:dyDescent="0.25">
      <c r="G17" s="624"/>
      <c r="H17" s="686" t="s">
        <v>553</v>
      </c>
      <c r="I17" s="687">
        <f>AVERAGE(I5:I16)</f>
        <v>-1.6441340788881254E-2</v>
      </c>
      <c r="J17" s="625"/>
      <c r="K17" s="626"/>
    </row>
    <row r="18" spans="7:12" x14ac:dyDescent="0.25">
      <c r="G18" s="585"/>
      <c r="H18" s="520"/>
      <c r="I18" s="520"/>
      <c r="J18" s="627" t="s">
        <v>554</v>
      </c>
      <c r="K18" s="684">
        <f>SUM(K5:K16)</f>
        <v>0.12010257860195378</v>
      </c>
    </row>
    <row r="19" spans="7:12" x14ac:dyDescent="0.25">
      <c r="G19" s="585"/>
      <c r="H19" s="520"/>
      <c r="I19" s="520"/>
      <c r="J19" s="627" t="s">
        <v>555</v>
      </c>
      <c r="K19" s="628">
        <f>K18/12</f>
        <v>1.0008548216829482E-2</v>
      </c>
    </row>
    <row r="20" spans="7:12" x14ac:dyDescent="0.25">
      <c r="G20" s="585"/>
      <c r="H20" s="520"/>
      <c r="I20" s="629"/>
      <c r="J20" s="630" t="s">
        <v>556</v>
      </c>
      <c r="K20" s="631">
        <f>SQRT(K19)</f>
        <v>0.10004273195404793</v>
      </c>
      <c r="L20" t="s">
        <v>557</v>
      </c>
    </row>
    <row r="21" spans="7:12" x14ac:dyDescent="0.25">
      <c r="G21" s="585"/>
      <c r="H21" s="520"/>
      <c r="I21" s="520"/>
      <c r="J21" s="633" t="s">
        <v>558</v>
      </c>
      <c r="K21" s="632">
        <f>_xlfn.STDEV.P(I5:I16)-K20</f>
        <v>0</v>
      </c>
    </row>
    <row r="22" spans="7:12" x14ac:dyDescent="0.25">
      <c r="G22" s="688"/>
      <c r="H22" s="689"/>
      <c r="I22" s="689"/>
      <c r="J22" s="690" t="s">
        <v>559</v>
      </c>
      <c r="K22" s="691">
        <f>ABS(I17)</f>
        <v>1.6441340788881254E-2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C7B05-A115-4D18-BF92-87B95E9E19A6}">
  <dimension ref="B1:T55"/>
  <sheetViews>
    <sheetView showGridLines="0" zoomScaleNormal="100" workbookViewId="0">
      <selection activeCell="G51" sqref="G51"/>
    </sheetView>
  </sheetViews>
  <sheetFormatPr defaultColWidth="9.140625" defaultRowHeight="15" x14ac:dyDescent="0.25"/>
  <cols>
    <col min="1" max="1" width="1.140625" style="6" customWidth="1"/>
    <col min="2" max="2" width="26.7109375" style="6" customWidth="1"/>
    <col min="3" max="3" width="8.7109375" style="6" customWidth="1"/>
    <col min="4" max="4" width="12.28515625" style="6" customWidth="1"/>
    <col min="5" max="6" width="11.140625" style="6" customWidth="1"/>
    <col min="7" max="7" width="13.28515625" style="6" customWidth="1"/>
    <col min="8" max="8" width="8.7109375" style="6" customWidth="1"/>
    <col min="9" max="10" width="11.140625" style="6" customWidth="1"/>
    <col min="11" max="11" width="8.7109375" style="6" customWidth="1"/>
    <col min="12" max="13" width="11.140625" style="6" customWidth="1"/>
    <col min="14" max="14" width="8.7109375" style="6" customWidth="1"/>
    <col min="15" max="16" width="11.140625" style="6" customWidth="1"/>
    <col min="17" max="17" width="8.7109375" style="6" customWidth="1"/>
    <col min="18" max="19" width="11.140625" style="6" customWidth="1"/>
    <col min="20" max="20" width="1.140625" style="6" customWidth="1"/>
    <col min="21" max="16384" width="9.140625" style="6"/>
  </cols>
  <sheetData>
    <row r="1" spans="2:20" x14ac:dyDescent="0.25">
      <c r="B1" s="579" t="s">
        <v>770</v>
      </c>
      <c r="E1" s="615"/>
      <c r="F1" s="615"/>
      <c r="G1" s="615"/>
      <c r="H1" s="615"/>
      <c r="I1" s="615"/>
      <c r="J1" s="615"/>
      <c r="K1" s="615"/>
      <c r="L1" s="615"/>
      <c r="M1" s="615"/>
      <c r="N1" s="615"/>
      <c r="O1" s="615"/>
      <c r="P1" s="615"/>
      <c r="Q1" s="615"/>
      <c r="R1" s="615"/>
      <c r="S1" s="615"/>
    </row>
    <row r="2" spans="2:20" x14ac:dyDescent="0.25">
      <c r="B2" s="6" t="s">
        <v>466</v>
      </c>
    </row>
    <row r="3" spans="2:20" x14ac:dyDescent="0.25">
      <c r="B3" s="6" t="s">
        <v>489</v>
      </c>
    </row>
    <row r="4" spans="2:20" ht="5.45" customHeight="1" x14ac:dyDescent="0.25">
      <c r="D4" s="1"/>
      <c r="E4" s="1"/>
      <c r="F4" s="1"/>
      <c r="G4" s="1"/>
      <c r="H4" s="2"/>
      <c r="I4" s="2"/>
      <c r="J4" s="1"/>
      <c r="K4" s="9"/>
      <c r="M4" s="1"/>
      <c r="P4" s="1"/>
      <c r="S4" s="1"/>
    </row>
    <row r="5" spans="2:20" ht="16.899999999999999" customHeight="1" x14ac:dyDescent="0.25">
      <c r="B5" s="818" t="s">
        <v>482</v>
      </c>
      <c r="C5" s="819"/>
      <c r="D5" s="819"/>
      <c r="E5" s="819"/>
      <c r="F5" s="819"/>
      <c r="G5" s="819"/>
      <c r="H5" s="819"/>
      <c r="I5" s="819"/>
      <c r="J5" s="819"/>
      <c r="K5" s="819"/>
      <c r="L5" s="819"/>
      <c r="M5" s="819"/>
      <c r="N5" s="819"/>
      <c r="O5" s="819"/>
      <c r="P5" s="819"/>
      <c r="Q5" s="819"/>
      <c r="R5" s="819"/>
      <c r="S5" s="820"/>
    </row>
    <row r="6" spans="2:20" ht="16.899999999999999" customHeight="1" x14ac:dyDescent="0.25">
      <c r="B6" s="452"/>
      <c r="C6" s="462"/>
      <c r="D6" s="463"/>
      <c r="E6" s="693" t="s">
        <v>469</v>
      </c>
      <c r="F6" s="463"/>
      <c r="G6" s="463"/>
      <c r="H6" s="462"/>
      <c r="I6" s="693" t="s">
        <v>470</v>
      </c>
      <c r="J6" s="463"/>
      <c r="K6" s="462"/>
      <c r="L6" s="693" t="s">
        <v>484</v>
      </c>
      <c r="M6" s="464"/>
      <c r="N6" s="463"/>
      <c r="O6" s="693" t="s">
        <v>541</v>
      </c>
      <c r="P6" s="464"/>
      <c r="Q6" s="463"/>
      <c r="R6" s="693" t="s">
        <v>771</v>
      </c>
      <c r="S6" s="465"/>
    </row>
    <row r="7" spans="2:20" ht="27.6" customHeight="1" x14ac:dyDescent="0.25">
      <c r="B7" s="574"/>
      <c r="C7" s="25" t="s">
        <v>95</v>
      </c>
      <c r="D7" s="447" t="s">
        <v>70</v>
      </c>
      <c r="E7" s="447" t="s">
        <v>485</v>
      </c>
      <c r="F7" s="447" t="s">
        <v>486</v>
      </c>
      <c r="G7" s="26" t="s">
        <v>487</v>
      </c>
      <c r="H7" s="21" t="s">
        <v>95</v>
      </c>
      <c r="I7" s="23" t="s">
        <v>70</v>
      </c>
      <c r="J7" s="447" t="s">
        <v>485</v>
      </c>
      <c r="K7" s="25" t="s">
        <v>95</v>
      </c>
      <c r="L7" s="447" t="s">
        <v>70</v>
      </c>
      <c r="M7" s="447" t="s">
        <v>485</v>
      </c>
      <c r="N7" s="25" t="s">
        <v>95</v>
      </c>
      <c r="O7" s="447" t="s">
        <v>70</v>
      </c>
      <c r="P7" s="447" t="s">
        <v>485</v>
      </c>
      <c r="Q7" s="25" t="s">
        <v>95</v>
      </c>
      <c r="R7" s="447" t="s">
        <v>70</v>
      </c>
      <c r="S7" s="447" t="s">
        <v>485</v>
      </c>
      <c r="T7" s="10"/>
    </row>
    <row r="8" spans="2:20" x14ac:dyDescent="0.25">
      <c r="B8" s="17" t="s">
        <v>473</v>
      </c>
      <c r="C8" s="19">
        <v>19</v>
      </c>
      <c r="D8" s="697">
        <v>17704.368421052601</v>
      </c>
      <c r="E8" s="697">
        <v>17689.855094380029</v>
      </c>
      <c r="F8" s="698">
        <f>+'FedEx Earnings Model'!U13</f>
        <v>17010</v>
      </c>
      <c r="G8" s="454">
        <f>+F8-E8</f>
        <v>-679.85509438002919</v>
      </c>
      <c r="H8" s="19">
        <v>19</v>
      </c>
      <c r="I8" s="697">
        <v>18454.7368421053</v>
      </c>
      <c r="J8" s="697">
        <v>18450.885022183011</v>
      </c>
      <c r="K8" s="19">
        <v>8</v>
      </c>
      <c r="L8" s="697">
        <v>17777.25</v>
      </c>
      <c r="M8" s="697">
        <v>17772.985567557611</v>
      </c>
      <c r="N8" s="19">
        <v>7</v>
      </c>
      <c r="O8" s="697">
        <v>18593.142857142899</v>
      </c>
      <c r="P8" s="697">
        <v>18587.361544455343</v>
      </c>
      <c r="Q8" s="19"/>
      <c r="R8" s="697"/>
      <c r="S8" s="443">
        <v>18631.027302025836</v>
      </c>
      <c r="T8" s="11"/>
    </row>
    <row r="9" spans="2:20" x14ac:dyDescent="0.25">
      <c r="B9" s="17" t="s">
        <v>488</v>
      </c>
      <c r="C9" s="19">
        <v>13</v>
      </c>
      <c r="D9" s="697">
        <v>1164.2307692307702</v>
      </c>
      <c r="E9" s="697">
        <v>1202.9581915078852</v>
      </c>
      <c r="F9" s="698">
        <f>+'FedEx Earnings Model'!U27</f>
        <v>984</v>
      </c>
      <c r="G9" s="454">
        <f t="shared" ref="G9:G16" si="0">+F9-E9</f>
        <v>-218.9581915078852</v>
      </c>
      <c r="H9" s="19">
        <v>13</v>
      </c>
      <c r="I9" s="697">
        <v>1934.3076923076899</v>
      </c>
      <c r="J9" s="697">
        <v>1884.926549773427</v>
      </c>
      <c r="K9" s="19">
        <v>5</v>
      </c>
      <c r="L9" s="697">
        <v>1457.6</v>
      </c>
      <c r="M9" s="697">
        <v>1388.6994481508809</v>
      </c>
      <c r="N9" s="19">
        <v>5</v>
      </c>
      <c r="O9" s="697">
        <v>1490</v>
      </c>
      <c r="P9" s="697">
        <v>1476.162704970644</v>
      </c>
      <c r="Q9" s="19"/>
      <c r="R9" s="697"/>
      <c r="S9" s="443">
        <v>1557.8463380430912</v>
      </c>
      <c r="T9" s="11"/>
    </row>
    <row r="10" spans="2:20" x14ac:dyDescent="0.25">
      <c r="B10" s="17" t="s">
        <v>481</v>
      </c>
      <c r="C10" s="19"/>
      <c r="D10" s="699">
        <v>6.5759519997695109E-2</v>
      </c>
      <c r="E10" s="699">
        <v>6.8002715968547331E-2</v>
      </c>
      <c r="F10" s="700">
        <f>+F9/F8</f>
        <v>5.7848324514991181E-2</v>
      </c>
      <c r="G10" s="455">
        <f t="shared" si="0"/>
        <v>-1.015439145355615E-2</v>
      </c>
      <c r="H10" s="19"/>
      <c r="I10" s="699">
        <v>0.10481361554256798</v>
      </c>
      <c r="J10" s="699">
        <v>0.10215914019881592</v>
      </c>
      <c r="K10" s="19"/>
      <c r="L10" s="699">
        <v>8.1992434150388829E-2</v>
      </c>
      <c r="M10" s="699">
        <v>7.8135406281192296E-2</v>
      </c>
      <c r="N10" s="19"/>
      <c r="O10" s="699">
        <v>8.0137070502181884E-2</v>
      </c>
      <c r="P10" s="699">
        <v>7.9417549469843238E-2</v>
      </c>
      <c r="Q10" s="19"/>
      <c r="R10" s="699"/>
      <c r="S10" s="701">
        <v>8.361569723392008E-2</v>
      </c>
      <c r="T10" s="11"/>
    </row>
    <row r="11" spans="2:20" x14ac:dyDescent="0.25">
      <c r="B11" s="17" t="s">
        <v>474</v>
      </c>
      <c r="C11" s="19">
        <v>16</v>
      </c>
      <c r="D11" s="697">
        <v>1962.125</v>
      </c>
      <c r="E11" s="697">
        <v>1798.3425551582409</v>
      </c>
      <c r="F11" s="698">
        <f>+'FedEx Earnings Model'!U36</f>
        <v>1782</v>
      </c>
      <c r="G11" s="454">
        <f t="shared" si="0"/>
        <v>-16.342555158240884</v>
      </c>
      <c r="H11" s="19">
        <v>16</v>
      </c>
      <c r="I11" s="697">
        <v>2745.9375</v>
      </c>
      <c r="J11" s="697">
        <v>2155.1508394288485</v>
      </c>
      <c r="K11" s="19">
        <v>7</v>
      </c>
      <c r="L11" s="697">
        <v>2223.5714285714303</v>
      </c>
      <c r="M11" s="697">
        <v>2044.031164318541</v>
      </c>
      <c r="N11" s="19">
        <v>6</v>
      </c>
      <c r="O11" s="697">
        <v>2312.6666666666697</v>
      </c>
      <c r="P11" s="697">
        <v>2213.6112608268936</v>
      </c>
      <c r="Q11" s="19"/>
      <c r="R11" s="697"/>
      <c r="S11" s="443">
        <v>2302.9137852162576</v>
      </c>
      <c r="T11" s="11"/>
    </row>
    <row r="12" spans="2:20" x14ac:dyDescent="0.25">
      <c r="B12" s="17" t="s">
        <v>475</v>
      </c>
      <c r="C12" s="19">
        <v>13</v>
      </c>
      <c r="D12" s="697">
        <v>1124.9230769230799</v>
      </c>
      <c r="E12" s="697">
        <v>1047.150322591614</v>
      </c>
      <c r="F12" s="698">
        <f>+'FedEx Earnings Model'!U35</f>
        <v>931</v>
      </c>
      <c r="G12" s="454">
        <f t="shared" si="0"/>
        <v>-116.15032259161399</v>
      </c>
      <c r="H12" s="19">
        <v>13</v>
      </c>
      <c r="I12" s="697">
        <v>1936.6923076923101</v>
      </c>
      <c r="J12" s="697">
        <v>1386.4422207261168</v>
      </c>
      <c r="K12" s="19">
        <v>5</v>
      </c>
      <c r="L12" s="697">
        <v>1360.4</v>
      </c>
      <c r="M12" s="697">
        <v>1247.0396495533851</v>
      </c>
      <c r="N12" s="19">
        <v>5</v>
      </c>
      <c r="O12" s="697">
        <v>1447.4</v>
      </c>
      <c r="P12" s="697">
        <v>1397.7502137870636</v>
      </c>
      <c r="Q12" s="19"/>
      <c r="R12" s="697"/>
      <c r="S12" s="443">
        <v>1477.2724031265084</v>
      </c>
      <c r="T12" s="11"/>
    </row>
    <row r="13" spans="2:20" x14ac:dyDescent="0.25">
      <c r="B13" s="17" t="s">
        <v>476</v>
      </c>
      <c r="C13" s="19">
        <v>16</v>
      </c>
      <c r="D13" s="697">
        <v>860</v>
      </c>
      <c r="E13" s="697">
        <v>918.10849355666858</v>
      </c>
      <c r="F13" s="698">
        <f>+'FedEx Earnings Model'!U40</f>
        <v>797</v>
      </c>
      <c r="G13" s="454">
        <f t="shared" si="0"/>
        <v>-121.10849355666858</v>
      </c>
      <c r="H13" s="19">
        <v>16</v>
      </c>
      <c r="I13" s="697">
        <v>1432.3125</v>
      </c>
      <c r="J13" s="697">
        <v>1433.7538766482185</v>
      </c>
      <c r="K13" s="19">
        <v>6</v>
      </c>
      <c r="L13" s="697">
        <v>1054.3333333333301</v>
      </c>
      <c r="M13" s="697">
        <v>1035.5922371650388</v>
      </c>
      <c r="N13" s="19">
        <v>5</v>
      </c>
      <c r="O13" s="697">
        <v>1089.8</v>
      </c>
      <c r="P13" s="697">
        <v>1099.8751603402977</v>
      </c>
      <c r="Q13" s="19"/>
      <c r="R13" s="697"/>
      <c r="S13" s="443">
        <v>1159.5168023448814</v>
      </c>
      <c r="T13" s="11"/>
    </row>
    <row r="14" spans="2:20" x14ac:dyDescent="0.25">
      <c r="B14" s="17" t="s">
        <v>478</v>
      </c>
      <c r="C14" s="19">
        <v>22</v>
      </c>
      <c r="D14" s="702">
        <v>3.25545454545454</v>
      </c>
      <c r="E14" s="702">
        <v>3.4364558700231607</v>
      </c>
      <c r="F14" s="703">
        <f>+'FedEx Earnings Model'!U45</f>
        <v>3.0250123353702505</v>
      </c>
      <c r="G14" s="456">
        <f t="shared" si="0"/>
        <v>-0.41144353465291017</v>
      </c>
      <c r="H14" s="19">
        <v>22</v>
      </c>
      <c r="I14" s="702">
        <v>5.35045454545455</v>
      </c>
      <c r="J14" s="702">
        <v>5.3536379883219816</v>
      </c>
      <c r="K14" s="19">
        <v>13</v>
      </c>
      <c r="L14" s="702">
        <v>3.89307692307692</v>
      </c>
      <c r="M14" s="702">
        <v>3.8890079925431555</v>
      </c>
      <c r="N14" s="19">
        <v>12</v>
      </c>
      <c r="O14" s="702">
        <v>4.1475</v>
      </c>
      <c r="P14" s="702">
        <v>4.1464781490925802</v>
      </c>
      <c r="Q14" s="19"/>
      <c r="R14" s="702"/>
      <c r="S14" s="445">
        <v>4.3761040747138988</v>
      </c>
      <c r="T14" s="11"/>
    </row>
    <row r="15" spans="2:20" x14ac:dyDescent="0.25">
      <c r="B15" s="17" t="s">
        <v>479</v>
      </c>
      <c r="C15" s="19">
        <v>3</v>
      </c>
      <c r="D15" s="697">
        <v>684.33333333333303</v>
      </c>
      <c r="E15" s="697"/>
      <c r="F15" s="698"/>
      <c r="G15" s="454">
        <f t="shared" si="0"/>
        <v>0</v>
      </c>
      <c r="H15" s="19">
        <v>3</v>
      </c>
      <c r="I15" s="697">
        <v>728.66666666666697</v>
      </c>
      <c r="J15" s="697"/>
      <c r="K15" s="19">
        <v>3</v>
      </c>
      <c r="L15" s="697">
        <v>79</v>
      </c>
      <c r="M15" s="697"/>
      <c r="N15" s="19">
        <v>3</v>
      </c>
      <c r="O15" s="697">
        <v>349.33333333333303</v>
      </c>
      <c r="P15" s="697"/>
      <c r="Q15" s="19"/>
      <c r="R15" s="697"/>
      <c r="S15" s="443"/>
      <c r="T15" s="11"/>
    </row>
    <row r="16" spans="2:20" x14ac:dyDescent="0.25">
      <c r="B16" s="18" t="s">
        <v>480</v>
      </c>
      <c r="C16" s="20">
        <v>2</v>
      </c>
      <c r="D16" s="451">
        <v>1483</v>
      </c>
      <c r="E16" s="451">
        <v>1432.8782626447824</v>
      </c>
      <c r="F16" s="524">
        <f>-'FedEx Earnings Model'!U336</f>
        <v>1123</v>
      </c>
      <c r="G16" s="457">
        <f t="shared" si="0"/>
        <v>-309.87826264478235</v>
      </c>
      <c r="H16" s="20">
        <v>2</v>
      </c>
      <c r="I16" s="451">
        <v>1483</v>
      </c>
      <c r="J16" s="451">
        <v>1512.6429842075888</v>
      </c>
      <c r="K16" s="20">
        <v>2</v>
      </c>
      <c r="L16" s="451">
        <v>1602.5</v>
      </c>
      <c r="M16" s="451">
        <v>1394.0911928714816</v>
      </c>
      <c r="N16" s="20">
        <v>2</v>
      </c>
      <c r="O16" s="451">
        <v>1602.5</v>
      </c>
      <c r="P16" s="451">
        <v>1501.1730265426472</v>
      </c>
      <c r="Q16" s="20"/>
      <c r="R16" s="451"/>
      <c r="S16" s="446">
        <v>1500.6547969351652</v>
      </c>
      <c r="T16" s="11"/>
    </row>
    <row r="17" spans="2:20" ht="6" customHeight="1" x14ac:dyDescent="0.25"/>
    <row r="18" spans="2:20" ht="16.899999999999999" customHeight="1" x14ac:dyDescent="0.25">
      <c r="B18" s="821" t="s">
        <v>483</v>
      </c>
      <c r="C18" s="822"/>
      <c r="D18" s="822"/>
      <c r="E18" s="822"/>
      <c r="F18" s="822"/>
      <c r="G18" s="822"/>
      <c r="H18" s="822"/>
      <c r="I18" s="822"/>
      <c r="J18" s="822"/>
      <c r="K18" s="822"/>
      <c r="L18" s="822"/>
      <c r="M18" s="822"/>
      <c r="N18" s="822"/>
      <c r="O18" s="822"/>
      <c r="P18" s="822"/>
      <c r="Q18" s="822"/>
      <c r="R18" s="822"/>
      <c r="S18" s="823"/>
    </row>
    <row r="19" spans="2:20" ht="16.899999999999999" customHeight="1" x14ac:dyDescent="0.25">
      <c r="B19" s="452"/>
      <c r="C19" s="462"/>
      <c r="D19" s="463"/>
      <c r="E19" s="693" t="s">
        <v>772</v>
      </c>
      <c r="F19" s="463"/>
      <c r="G19" s="463"/>
      <c r="H19" s="824" t="s">
        <v>470</v>
      </c>
      <c r="I19" s="825"/>
      <c r="J19" s="825"/>
      <c r="K19" s="824" t="s">
        <v>484</v>
      </c>
      <c r="L19" s="825"/>
      <c r="M19" s="825"/>
      <c r="N19" s="825" t="s">
        <v>541</v>
      </c>
      <c r="O19" s="825"/>
      <c r="P19" s="826"/>
      <c r="Q19" s="825" t="s">
        <v>771</v>
      </c>
      <c r="R19" s="825"/>
      <c r="S19" s="827"/>
    </row>
    <row r="20" spans="2:20" ht="33.6" customHeight="1" x14ac:dyDescent="0.25">
      <c r="B20" s="573" t="s">
        <v>94</v>
      </c>
      <c r="C20" s="25" t="s">
        <v>95</v>
      </c>
      <c r="D20" s="447" t="s">
        <v>70</v>
      </c>
      <c r="E20" s="447" t="s">
        <v>485</v>
      </c>
      <c r="F20" s="447"/>
      <c r="G20" s="26"/>
      <c r="H20" s="21" t="s">
        <v>95</v>
      </c>
      <c r="I20" s="23" t="s">
        <v>70</v>
      </c>
      <c r="J20" s="23" t="s">
        <v>485</v>
      </c>
      <c r="K20" s="21" t="s">
        <v>95</v>
      </c>
      <c r="L20" s="23" t="s">
        <v>70</v>
      </c>
      <c r="M20" s="23" t="s">
        <v>485</v>
      </c>
      <c r="N20" s="21" t="s">
        <v>95</v>
      </c>
      <c r="O20" s="23" t="s">
        <v>70</v>
      </c>
      <c r="P20" s="23" t="s">
        <v>485</v>
      </c>
      <c r="Q20" s="21" t="s">
        <v>95</v>
      </c>
      <c r="R20" s="23" t="s">
        <v>70</v>
      </c>
      <c r="S20" s="23" t="s">
        <v>485</v>
      </c>
      <c r="T20" s="10"/>
    </row>
    <row r="21" spans="2:20" x14ac:dyDescent="0.25">
      <c r="B21" s="17" t="s">
        <v>473</v>
      </c>
      <c r="C21" s="537"/>
      <c r="D21" s="538"/>
      <c r="E21" s="448">
        <f>+'FedEx Earnings Model'!$U$13</f>
        <v>17010</v>
      </c>
      <c r="F21" s="458"/>
      <c r="G21" s="459"/>
      <c r="H21" s="19">
        <v>17</v>
      </c>
      <c r="I21" s="448">
        <v>17907</v>
      </c>
      <c r="J21" s="448">
        <f>+'FedEx Earnings Model'!$V$13</f>
        <v>18006.0819659023</v>
      </c>
      <c r="K21" s="19">
        <v>8</v>
      </c>
      <c r="L21" s="448">
        <v>17567</v>
      </c>
      <c r="M21" s="448">
        <f>+'FedEx Earnings Model'!$X$13</f>
        <v>17434.828131639068</v>
      </c>
      <c r="N21" s="19">
        <v>8</v>
      </c>
      <c r="O21" s="448">
        <v>18415</v>
      </c>
      <c r="P21" s="448">
        <f>+'FedEx Earnings Model'!$Y$13</f>
        <v>18211.57351620838</v>
      </c>
      <c r="Q21" s="19">
        <v>8</v>
      </c>
      <c r="R21" s="448">
        <v>18067</v>
      </c>
      <c r="S21" s="443">
        <f>+'FedEx Earnings Model'!$Z$13</f>
        <v>17545.560122398219</v>
      </c>
      <c r="T21" s="11"/>
    </row>
    <row r="22" spans="2:20" x14ac:dyDescent="0.25">
      <c r="B22" s="17" t="s">
        <v>477</v>
      </c>
      <c r="C22" s="537"/>
      <c r="D22" s="538"/>
      <c r="E22" s="448">
        <f>+'FedEx Earnings Model'!$U$27</f>
        <v>984</v>
      </c>
      <c r="F22" s="448"/>
      <c r="G22" s="459"/>
      <c r="H22" s="19">
        <v>12</v>
      </c>
      <c r="I22" s="448">
        <v>1702</v>
      </c>
      <c r="J22" s="448">
        <f>+'FedEx Earnings Model'!$V$27</f>
        <v>1822.2367224103002</v>
      </c>
      <c r="K22" s="19">
        <v>5</v>
      </c>
      <c r="L22" s="448">
        <v>1300.5999999999999</v>
      </c>
      <c r="M22" s="448">
        <f>+'FedEx Earnings Model'!$X$27</f>
        <v>1329.5195419487536</v>
      </c>
      <c r="N22" s="19">
        <v>5</v>
      </c>
      <c r="O22" s="448">
        <v>1415</v>
      </c>
      <c r="P22" s="448">
        <f>+'FedEx Earnings Model'!$Y$27</f>
        <v>1322.7608000514811</v>
      </c>
      <c r="Q22" s="19">
        <v>5</v>
      </c>
      <c r="R22" s="448">
        <v>1245</v>
      </c>
      <c r="S22" s="443">
        <f>+'FedEx Earnings Model'!$Z$27</f>
        <v>964.77223232614051</v>
      </c>
      <c r="T22" s="11"/>
    </row>
    <row r="23" spans="2:20" x14ac:dyDescent="0.25">
      <c r="B23" s="17" t="s">
        <v>481</v>
      </c>
      <c r="C23" s="537"/>
      <c r="D23" s="449"/>
      <c r="E23" s="449">
        <f>+E22/E21</f>
        <v>5.7848324514991181E-2</v>
      </c>
      <c r="F23" s="449"/>
      <c r="G23" s="441"/>
      <c r="H23" s="19"/>
      <c r="I23" s="449">
        <f>+I22/I21</f>
        <v>9.5046629809571681E-2</v>
      </c>
      <c r="J23" s="449">
        <f>+J22/J21</f>
        <v>0.10120117890505151</v>
      </c>
      <c r="K23" s="19"/>
      <c r="L23" s="449">
        <f>+L22/L21</f>
        <v>7.4036545796094949E-2</v>
      </c>
      <c r="M23" s="449">
        <f>+M22/M21</f>
        <v>7.6256532723489714E-2</v>
      </c>
      <c r="N23" s="19"/>
      <c r="O23" s="449">
        <f>+O22/O21</f>
        <v>7.6839532989410805E-2</v>
      </c>
      <c r="P23" s="449">
        <f>+P22/P21</f>
        <v>7.2632976984345593E-2</v>
      </c>
      <c r="Q23" s="19"/>
      <c r="R23" s="449">
        <f>+R22/R21</f>
        <v>6.8910167709082856E-2</v>
      </c>
      <c r="S23" s="444">
        <f>+S22/S21</f>
        <v>5.49866875492072E-2</v>
      </c>
      <c r="T23" s="11"/>
    </row>
    <row r="24" spans="2:20" x14ac:dyDescent="0.25">
      <c r="B24" s="17" t="s">
        <v>474</v>
      </c>
      <c r="C24" s="537"/>
      <c r="D24" s="538"/>
      <c r="E24" s="448">
        <f>+'FedEx Earnings Model'!$U$36</f>
        <v>1782</v>
      </c>
      <c r="F24" s="448"/>
      <c r="G24" s="459"/>
      <c r="H24" s="19">
        <v>15</v>
      </c>
      <c r="I24" s="448">
        <v>2545</v>
      </c>
      <c r="J24" s="448">
        <f>+'FedEx Earnings Model'!$V$36</f>
        <v>2264.6839483223794</v>
      </c>
      <c r="K24" s="19">
        <v>7</v>
      </c>
      <c r="L24" s="448">
        <v>2101</v>
      </c>
      <c r="M24" s="448">
        <f>+'FedEx Earnings Model'!$X$36</f>
        <v>2015.4660114686544</v>
      </c>
      <c r="N24" s="19">
        <v>7</v>
      </c>
      <c r="O24" s="448">
        <v>2274</v>
      </c>
      <c r="P24" s="448">
        <f>+'FedEx Earnings Model'!$Y$36</f>
        <v>2077.3075814012391</v>
      </c>
      <c r="Q24" s="19">
        <v>7</v>
      </c>
      <c r="R24" s="448">
        <v>2050</v>
      </c>
      <c r="S24" s="443">
        <f>+'FedEx Earnings Model'!$Z$36</f>
        <v>1791.554732599564</v>
      </c>
      <c r="T24" s="11"/>
    </row>
    <row r="25" spans="2:20" x14ac:dyDescent="0.25">
      <c r="B25" s="17" t="s">
        <v>475</v>
      </c>
      <c r="C25" s="537"/>
      <c r="D25" s="538"/>
      <c r="E25" s="448">
        <f>+'FedEx Earnings Model'!$U$35</f>
        <v>931</v>
      </c>
      <c r="F25" s="448"/>
      <c r="G25" s="459"/>
      <c r="H25" s="19">
        <v>13</v>
      </c>
      <c r="I25" s="448">
        <v>1713</v>
      </c>
      <c r="J25" s="448">
        <f>+'FedEx Earnings Model'!$V$35</f>
        <v>1402.8230423066354</v>
      </c>
      <c r="K25" s="19">
        <v>6</v>
      </c>
      <c r="L25" s="448">
        <v>1281</v>
      </c>
      <c r="M25" s="448">
        <f>+'FedEx Earnings Model'!$X$35</f>
        <v>1128.2847919207773</v>
      </c>
      <c r="N25" s="19">
        <v>6</v>
      </c>
      <c r="O25" s="448">
        <v>1410</v>
      </c>
      <c r="P25" s="448">
        <f>+'FedEx Earnings Model'!$Y$35</f>
        <v>1170.3506766386879</v>
      </c>
      <c r="Q25" s="19">
        <v>6</v>
      </c>
      <c r="R25" s="448">
        <v>1178</v>
      </c>
      <c r="S25" s="443">
        <f>+'FedEx Earnings Model'!$Z$35</f>
        <v>874.95547338984602</v>
      </c>
      <c r="T25" s="11"/>
    </row>
    <row r="26" spans="2:20" x14ac:dyDescent="0.25">
      <c r="B26" s="17" t="s">
        <v>476</v>
      </c>
      <c r="C26" s="537"/>
      <c r="D26" s="538"/>
      <c r="E26" s="448">
        <f>+'FedEx Earnings Model'!$U$40</f>
        <v>797</v>
      </c>
      <c r="F26" s="448"/>
      <c r="G26" s="459"/>
      <c r="H26" s="19">
        <v>15</v>
      </c>
      <c r="I26" s="448">
        <v>1301</v>
      </c>
      <c r="J26" s="448">
        <f>+'FedEx Earnings Model'!$V$40</f>
        <v>1397.4055121530432</v>
      </c>
      <c r="K26" s="19">
        <v>7</v>
      </c>
      <c r="L26" s="448">
        <v>1005</v>
      </c>
      <c r="M26" s="448">
        <f>+'FedEx Earnings Model'!$X$40</f>
        <v>992.276093940583</v>
      </c>
      <c r="N26" s="19">
        <v>7</v>
      </c>
      <c r="O26" s="448">
        <v>1085</v>
      </c>
      <c r="P26" s="448">
        <f>+'FedEx Earnings Model'!$Y$40</f>
        <v>986.02550747901591</v>
      </c>
      <c r="Q26" s="19">
        <v>7</v>
      </c>
      <c r="R26" s="448">
        <v>976</v>
      </c>
      <c r="S26" s="443">
        <f>+'FedEx Earnings Model'!$Z$40</f>
        <v>717.22910504238462</v>
      </c>
      <c r="T26" s="11"/>
    </row>
    <row r="27" spans="2:20" x14ac:dyDescent="0.25">
      <c r="B27" s="17" t="s">
        <v>478</v>
      </c>
      <c r="C27" s="537"/>
      <c r="D27" s="539"/>
      <c r="E27" s="450">
        <f>+'FedEx Earnings Model'!$U$45</f>
        <v>3.0250123353702505</v>
      </c>
      <c r="F27" s="450"/>
      <c r="G27" s="460"/>
      <c r="H27" s="19">
        <v>21</v>
      </c>
      <c r="I27" s="450">
        <v>4.93</v>
      </c>
      <c r="J27" s="450">
        <f>+'FedEx Earnings Model'!$V$45</f>
        <v>5.3420695950782431</v>
      </c>
      <c r="K27" s="19">
        <v>13</v>
      </c>
      <c r="L27" s="450">
        <v>3.66</v>
      </c>
      <c r="M27" s="450">
        <f>+'FedEx Earnings Model'!$X$45</f>
        <v>3.8368669309260692</v>
      </c>
      <c r="N27" s="19">
        <v>13</v>
      </c>
      <c r="O27" s="450">
        <v>4.0599999999999996</v>
      </c>
      <c r="P27" s="450">
        <f>+'FedEx Earnings Model'!$Y$45</f>
        <v>3.8554707088030651</v>
      </c>
      <c r="Q27" s="19">
        <v>13</v>
      </c>
      <c r="R27" s="450">
        <v>3.49</v>
      </c>
      <c r="S27" s="445">
        <f>+'FedEx Earnings Model'!$Z$45</f>
        <v>2.8334392035334695</v>
      </c>
      <c r="T27" s="11"/>
    </row>
    <row r="28" spans="2:20" x14ac:dyDescent="0.25">
      <c r="B28" s="17" t="s">
        <v>479</v>
      </c>
      <c r="C28" s="537"/>
      <c r="D28" s="538"/>
      <c r="E28" s="448"/>
      <c r="F28" s="448"/>
      <c r="G28" s="459"/>
      <c r="H28" s="19"/>
      <c r="I28" s="448"/>
      <c r="J28" s="448"/>
      <c r="K28" s="19"/>
      <c r="L28" s="448"/>
      <c r="M28" s="448"/>
      <c r="N28" s="19"/>
      <c r="O28" s="448"/>
      <c r="P28" s="448"/>
      <c r="Q28" s="19"/>
      <c r="R28" s="448"/>
      <c r="S28" s="443"/>
      <c r="T28" s="11"/>
    </row>
    <row r="29" spans="2:20" x14ac:dyDescent="0.25">
      <c r="B29" s="18" t="s">
        <v>480</v>
      </c>
      <c r="C29" s="540"/>
      <c r="D29" s="541"/>
      <c r="E29" s="451">
        <f>-'FedEx Earnings Model'!$U$336</f>
        <v>1123</v>
      </c>
      <c r="F29" s="451"/>
      <c r="G29" s="461"/>
      <c r="H29" s="20">
        <v>2</v>
      </c>
      <c r="I29" s="451">
        <v>1843</v>
      </c>
      <c r="J29" s="451">
        <f>-'FedEx Earnings Model'!$V$336</f>
        <v>1476.1770790963606</v>
      </c>
      <c r="K29" s="540">
        <v>2</v>
      </c>
      <c r="L29" s="451"/>
      <c r="M29" s="451">
        <v>1513</v>
      </c>
      <c r="N29" s="20">
        <v>2</v>
      </c>
      <c r="O29" s="451">
        <v>1513</v>
      </c>
      <c r="P29" s="451">
        <f>-'FedEx Earnings Model'!$Y$336</f>
        <v>1385.5702232340002</v>
      </c>
      <c r="Q29" s="20">
        <v>2</v>
      </c>
      <c r="R29" s="451">
        <v>1513</v>
      </c>
      <c r="S29" s="446">
        <f>-'FedEx Earnings Model'!$Z$336</f>
        <v>1310.5557310593763</v>
      </c>
      <c r="T29" s="11"/>
    </row>
    <row r="30" spans="2:20" ht="8.4499999999999993" customHeight="1" x14ac:dyDescent="0.25">
      <c r="C30" s="8"/>
      <c r="D30" s="8"/>
      <c r="E30" s="8"/>
      <c r="F30" s="8"/>
      <c r="G30" s="8"/>
      <c r="H30" s="8"/>
      <c r="I30" s="8"/>
      <c r="J30" s="8"/>
      <c r="M30" s="8"/>
      <c r="N30" s="7"/>
      <c r="P30" s="8"/>
      <c r="Q30" s="7"/>
      <c r="S30" s="8"/>
    </row>
    <row r="31" spans="2:20" ht="16.899999999999999" customHeight="1" x14ac:dyDescent="0.25">
      <c r="B31" s="828" t="s">
        <v>491</v>
      </c>
      <c r="C31" s="829"/>
      <c r="D31" s="829"/>
      <c r="E31" s="829"/>
      <c r="F31" s="829"/>
      <c r="G31" s="829"/>
      <c r="H31" s="829"/>
      <c r="I31" s="829"/>
      <c r="J31" s="829"/>
      <c r="K31" s="829"/>
      <c r="L31" s="829"/>
      <c r="M31" s="829"/>
      <c r="N31" s="829"/>
      <c r="O31" s="829"/>
      <c r="P31" s="829"/>
      <c r="Q31" s="829"/>
      <c r="R31" s="829"/>
      <c r="S31" s="830"/>
    </row>
    <row r="32" spans="2:20" ht="16.899999999999999" customHeight="1" x14ac:dyDescent="0.25">
      <c r="B32" s="452"/>
      <c r="C32" s="462"/>
      <c r="D32" s="463"/>
      <c r="E32" s="693" t="s">
        <v>772</v>
      </c>
      <c r="F32" s="463"/>
      <c r="G32" s="463"/>
      <c r="H32" s="824" t="s">
        <v>470</v>
      </c>
      <c r="I32" s="825"/>
      <c r="J32" s="825"/>
      <c r="K32" s="824" t="s">
        <v>484</v>
      </c>
      <c r="L32" s="825"/>
      <c r="M32" s="825"/>
      <c r="N32" s="825" t="s">
        <v>541</v>
      </c>
      <c r="O32" s="825"/>
      <c r="P32" s="826"/>
      <c r="Q32" s="825" t="s">
        <v>771</v>
      </c>
      <c r="R32" s="825"/>
      <c r="S32" s="827"/>
    </row>
    <row r="33" spans="2:20" ht="33.6" customHeight="1" x14ac:dyDescent="0.25">
      <c r="B33" s="573" t="s">
        <v>94</v>
      </c>
      <c r="C33" s="25"/>
      <c r="D33" s="447" t="s">
        <v>70</v>
      </c>
      <c r="E33" s="447" t="s">
        <v>485</v>
      </c>
      <c r="F33" s="23"/>
      <c r="G33" s="22"/>
      <c r="H33" s="21"/>
      <c r="I33" s="23" t="s">
        <v>70</v>
      </c>
      <c r="J33" s="23" t="s">
        <v>485</v>
      </c>
      <c r="K33" s="21"/>
      <c r="L33" s="23" t="s">
        <v>70</v>
      </c>
      <c r="M33" s="23" t="s">
        <v>485</v>
      </c>
      <c r="N33" s="21"/>
      <c r="O33" s="23" t="s">
        <v>70</v>
      </c>
      <c r="P33" s="23" t="s">
        <v>485</v>
      </c>
      <c r="Q33" s="21"/>
      <c r="R33" s="23" t="s">
        <v>70</v>
      </c>
      <c r="S33" s="24" t="s">
        <v>485</v>
      </c>
      <c r="T33" s="10"/>
    </row>
    <row r="34" spans="2:20" x14ac:dyDescent="0.25">
      <c r="B34" s="17" t="s">
        <v>473</v>
      </c>
      <c r="C34" s="19"/>
      <c r="D34" s="448">
        <f>+F8-D8</f>
        <v>-694.36842105260075</v>
      </c>
      <c r="E34" s="448">
        <f>+E21-E8</f>
        <v>-679.85509438002919</v>
      </c>
      <c r="F34" s="458"/>
      <c r="G34" s="459"/>
      <c r="H34" s="19"/>
      <c r="I34" s="448">
        <f>+I21-I8</f>
        <v>-547.73684210529973</v>
      </c>
      <c r="J34" s="448">
        <f>+J21-J8</f>
        <v>-444.80305628071073</v>
      </c>
      <c r="K34" s="19"/>
      <c r="L34" s="448">
        <f>+L21-L8</f>
        <v>-210.25</v>
      </c>
      <c r="M34" s="448">
        <f>+M21-M8</f>
        <v>-338.15743591854334</v>
      </c>
      <c r="N34" s="19"/>
      <c r="O34" s="448">
        <f>+O21-O8</f>
        <v>-178.14285714289872</v>
      </c>
      <c r="P34" s="448">
        <f>+P21-P8</f>
        <v>-375.78802824696322</v>
      </c>
      <c r="Q34" s="19"/>
      <c r="R34" s="448"/>
      <c r="S34" s="443">
        <f>+S21-S8</f>
        <v>-1085.4671796276161</v>
      </c>
      <c r="T34" s="11"/>
    </row>
    <row r="35" spans="2:20" x14ac:dyDescent="0.25">
      <c r="B35" s="17" t="s">
        <v>477</v>
      </c>
      <c r="C35" s="19"/>
      <c r="D35" s="448">
        <f t="shared" ref="D35:D42" si="1">+F9-D9</f>
        <v>-180.23076923077019</v>
      </c>
      <c r="E35" s="448">
        <f t="shared" ref="E35:E42" si="2">+E22-E9</f>
        <v>-218.9581915078852</v>
      </c>
      <c r="F35" s="448"/>
      <c r="G35" s="459"/>
      <c r="H35" s="19"/>
      <c r="I35" s="448">
        <f t="shared" ref="I35:J42" si="3">+I22-I9</f>
        <v>-232.30769230768988</v>
      </c>
      <c r="J35" s="448">
        <f t="shared" si="3"/>
        <v>-62.689827363126824</v>
      </c>
      <c r="K35" s="19"/>
      <c r="L35" s="448">
        <f t="shared" ref="L35:M42" si="4">+L22-L9</f>
        <v>-157</v>
      </c>
      <c r="M35" s="448">
        <f t="shared" si="4"/>
        <v>-59.179906202127313</v>
      </c>
      <c r="N35" s="19"/>
      <c r="O35" s="448">
        <f t="shared" ref="O35:P42" si="5">+O22-O9</f>
        <v>-75</v>
      </c>
      <c r="P35" s="448">
        <f t="shared" si="5"/>
        <v>-153.40190491916292</v>
      </c>
      <c r="Q35" s="19"/>
      <c r="R35" s="448"/>
      <c r="S35" s="443">
        <f t="shared" ref="S35:S42" si="6">+S22-S9</f>
        <v>-593.07410571695073</v>
      </c>
      <c r="T35" s="11"/>
    </row>
    <row r="36" spans="2:20" x14ac:dyDescent="0.25">
      <c r="B36" s="17" t="s">
        <v>481</v>
      </c>
      <c r="C36" s="19"/>
      <c r="D36" s="448">
        <f t="shared" si="1"/>
        <v>-7.9111954827039283E-3</v>
      </c>
      <c r="E36" s="449">
        <f t="shared" si="2"/>
        <v>-1.015439145355615E-2</v>
      </c>
      <c r="F36" s="449"/>
      <c r="G36" s="441"/>
      <c r="H36" s="19"/>
      <c r="I36" s="449">
        <f t="shared" si="3"/>
        <v>-9.7669857329962945E-3</v>
      </c>
      <c r="J36" s="449">
        <f t="shared" si="3"/>
        <v>-9.5796129376440886E-4</v>
      </c>
      <c r="K36" s="19"/>
      <c r="L36" s="449">
        <f t="shared" si="4"/>
        <v>-7.9558883542938802E-3</v>
      </c>
      <c r="M36" s="449">
        <f t="shared" si="4"/>
        <v>-1.8788735577025817E-3</v>
      </c>
      <c r="N36" s="19"/>
      <c r="O36" s="449">
        <f t="shared" si="5"/>
        <v>-3.2975375127710788E-3</v>
      </c>
      <c r="P36" s="449">
        <f t="shared" si="5"/>
        <v>-6.7845724854976447E-3</v>
      </c>
      <c r="Q36" s="19"/>
      <c r="R36" s="449"/>
      <c r="S36" s="444">
        <f t="shared" si="6"/>
        <v>-2.8629009684712881E-2</v>
      </c>
      <c r="T36" s="11"/>
    </row>
    <row r="37" spans="2:20" x14ac:dyDescent="0.25">
      <c r="B37" s="17" t="s">
        <v>474</v>
      </c>
      <c r="C37" s="19"/>
      <c r="D37" s="448">
        <f t="shared" si="1"/>
        <v>-180.125</v>
      </c>
      <c r="E37" s="448">
        <f t="shared" si="2"/>
        <v>-16.342555158240884</v>
      </c>
      <c r="F37" s="448"/>
      <c r="G37" s="459"/>
      <c r="H37" s="19"/>
      <c r="I37" s="448">
        <f t="shared" si="3"/>
        <v>-200.9375</v>
      </c>
      <c r="J37" s="448">
        <f t="shared" si="3"/>
        <v>109.53310889353088</v>
      </c>
      <c r="K37" s="19"/>
      <c r="L37" s="448">
        <f t="shared" si="4"/>
        <v>-122.57142857143026</v>
      </c>
      <c r="M37" s="448">
        <f t="shared" si="4"/>
        <v>-28.565152849886545</v>
      </c>
      <c r="N37" s="19"/>
      <c r="O37" s="448">
        <f t="shared" si="5"/>
        <v>-38.666666666669698</v>
      </c>
      <c r="P37" s="448">
        <f t="shared" si="5"/>
        <v>-136.30367942565454</v>
      </c>
      <c r="Q37" s="19"/>
      <c r="R37" s="448"/>
      <c r="S37" s="443">
        <f t="shared" si="6"/>
        <v>-511.35905261669359</v>
      </c>
      <c r="T37" s="11"/>
    </row>
    <row r="38" spans="2:20" x14ac:dyDescent="0.25">
      <c r="B38" s="17" t="s">
        <v>475</v>
      </c>
      <c r="C38" s="19"/>
      <c r="D38" s="448">
        <f t="shared" si="1"/>
        <v>-193.92307692307986</v>
      </c>
      <c r="E38" s="448">
        <f t="shared" si="2"/>
        <v>-116.15032259161399</v>
      </c>
      <c r="F38" s="448"/>
      <c r="G38" s="459"/>
      <c r="H38" s="19"/>
      <c r="I38" s="448">
        <f t="shared" si="3"/>
        <v>-223.69230769231012</v>
      </c>
      <c r="J38" s="448">
        <f t="shared" si="3"/>
        <v>16.380821580518614</v>
      </c>
      <c r="K38" s="19"/>
      <c r="L38" s="448">
        <f t="shared" si="4"/>
        <v>-79.400000000000091</v>
      </c>
      <c r="M38" s="448">
        <f t="shared" si="4"/>
        <v>-118.75485763260781</v>
      </c>
      <c r="N38" s="19"/>
      <c r="O38" s="448">
        <f t="shared" si="5"/>
        <v>-37.400000000000091</v>
      </c>
      <c r="P38" s="448">
        <f t="shared" si="5"/>
        <v>-227.39953714837566</v>
      </c>
      <c r="Q38" s="19"/>
      <c r="R38" s="448"/>
      <c r="S38" s="443">
        <f t="shared" si="6"/>
        <v>-602.31692973666236</v>
      </c>
      <c r="T38" s="11"/>
    </row>
    <row r="39" spans="2:20" x14ac:dyDescent="0.25">
      <c r="B39" s="17" t="s">
        <v>476</v>
      </c>
      <c r="C39" s="19"/>
      <c r="D39" s="448">
        <f t="shared" si="1"/>
        <v>-63</v>
      </c>
      <c r="E39" s="448">
        <f t="shared" si="2"/>
        <v>-121.10849355666858</v>
      </c>
      <c r="F39" s="448"/>
      <c r="G39" s="459"/>
      <c r="H39" s="19"/>
      <c r="I39" s="448">
        <f t="shared" si="3"/>
        <v>-131.3125</v>
      </c>
      <c r="J39" s="448">
        <f t="shared" si="3"/>
        <v>-36.348364495175247</v>
      </c>
      <c r="K39" s="19"/>
      <c r="L39" s="448">
        <f t="shared" si="4"/>
        <v>-49.333333333330074</v>
      </c>
      <c r="M39" s="448">
        <f t="shared" si="4"/>
        <v>-43.3161432244558</v>
      </c>
      <c r="N39" s="19"/>
      <c r="O39" s="448">
        <f t="shared" si="5"/>
        <v>-4.7999999999999545</v>
      </c>
      <c r="P39" s="448">
        <f t="shared" si="5"/>
        <v>-113.84965286128181</v>
      </c>
      <c r="Q39" s="19"/>
      <c r="R39" s="448"/>
      <c r="S39" s="443">
        <f t="shared" si="6"/>
        <v>-442.28769730249678</v>
      </c>
      <c r="T39" s="11"/>
    </row>
    <row r="40" spans="2:20" x14ac:dyDescent="0.25">
      <c r="B40" s="17" t="s">
        <v>478</v>
      </c>
      <c r="C40" s="19"/>
      <c r="D40" s="450">
        <f t="shared" si="1"/>
        <v>-0.23044221008428956</v>
      </c>
      <c r="E40" s="450">
        <f t="shared" si="2"/>
        <v>-0.41144353465291017</v>
      </c>
      <c r="F40" s="450"/>
      <c r="G40" s="460"/>
      <c r="H40" s="19"/>
      <c r="I40" s="450">
        <f t="shared" si="3"/>
        <v>-0.4204545454545503</v>
      </c>
      <c r="J40" s="450">
        <f t="shared" si="3"/>
        <v>-1.1568393243738484E-2</v>
      </c>
      <c r="K40" s="19"/>
      <c r="L40" s="450">
        <f t="shared" si="4"/>
        <v>-0.23307692307691985</v>
      </c>
      <c r="M40" s="450">
        <f t="shared" si="4"/>
        <v>-5.2141061617086315E-2</v>
      </c>
      <c r="N40" s="19"/>
      <c r="O40" s="450">
        <f t="shared" si="5"/>
        <v>-8.7500000000000355E-2</v>
      </c>
      <c r="P40" s="450">
        <f t="shared" si="5"/>
        <v>-0.29100744028951508</v>
      </c>
      <c r="Q40" s="19"/>
      <c r="R40" s="450"/>
      <c r="S40" s="445">
        <f t="shared" si="6"/>
        <v>-1.5426648711804294</v>
      </c>
      <c r="T40" s="11"/>
    </row>
    <row r="41" spans="2:20" x14ac:dyDescent="0.25">
      <c r="B41" s="17" t="s">
        <v>479</v>
      </c>
      <c r="C41" s="19"/>
      <c r="D41" s="448">
        <f t="shared" si="1"/>
        <v>-684.33333333333303</v>
      </c>
      <c r="E41" s="448">
        <f t="shared" si="2"/>
        <v>0</v>
      </c>
      <c r="F41" s="448"/>
      <c r="G41" s="459"/>
      <c r="H41" s="19"/>
      <c r="I41" s="448">
        <f t="shared" si="3"/>
        <v>-728.66666666666697</v>
      </c>
      <c r="J41" s="448">
        <f t="shared" si="3"/>
        <v>0</v>
      </c>
      <c r="K41" s="19"/>
      <c r="L41" s="448">
        <f t="shared" si="4"/>
        <v>-79</v>
      </c>
      <c r="M41" s="448">
        <f t="shared" si="4"/>
        <v>0</v>
      </c>
      <c r="N41" s="19"/>
      <c r="O41" s="448">
        <f t="shared" si="5"/>
        <v>-349.33333333333303</v>
      </c>
      <c r="P41" s="448">
        <f t="shared" si="5"/>
        <v>0</v>
      </c>
      <c r="Q41" s="19"/>
      <c r="R41" s="448"/>
      <c r="S41" s="443">
        <f t="shared" si="6"/>
        <v>0</v>
      </c>
      <c r="T41" s="11"/>
    </row>
    <row r="42" spans="2:20" x14ac:dyDescent="0.25">
      <c r="B42" s="18" t="s">
        <v>480</v>
      </c>
      <c r="C42" s="20"/>
      <c r="D42" s="451">
        <f t="shared" si="1"/>
        <v>-360</v>
      </c>
      <c r="E42" s="451">
        <f t="shared" si="2"/>
        <v>-309.87826264478235</v>
      </c>
      <c r="F42" s="451"/>
      <c r="G42" s="461"/>
      <c r="H42" s="20"/>
      <c r="I42" s="451">
        <f t="shared" si="3"/>
        <v>360</v>
      </c>
      <c r="J42" s="451">
        <f t="shared" si="3"/>
        <v>-36.465905111228267</v>
      </c>
      <c r="K42" s="20"/>
      <c r="L42" s="451">
        <f t="shared" si="4"/>
        <v>-1602.5</v>
      </c>
      <c r="M42" s="451">
        <f t="shared" si="4"/>
        <v>118.90880712851845</v>
      </c>
      <c r="N42" s="20"/>
      <c r="O42" s="451">
        <f t="shared" si="5"/>
        <v>-89.5</v>
      </c>
      <c r="P42" s="451">
        <f t="shared" si="5"/>
        <v>-115.60280330864703</v>
      </c>
      <c r="Q42" s="20"/>
      <c r="R42" s="451"/>
      <c r="S42" s="446">
        <f t="shared" si="6"/>
        <v>-190.09906587578894</v>
      </c>
      <c r="T42" s="11"/>
    </row>
    <row r="43" spans="2:20" ht="12.6" customHeight="1" x14ac:dyDescent="0.25">
      <c r="B43" s="7"/>
      <c r="C43" s="8"/>
      <c r="D43" s="8"/>
      <c r="E43" s="8"/>
      <c r="F43" s="8"/>
      <c r="G43" s="8"/>
      <c r="H43" s="8"/>
      <c r="I43" s="8"/>
      <c r="J43" s="8"/>
      <c r="M43" s="8"/>
      <c r="P43" s="8"/>
      <c r="S43" s="8"/>
    </row>
    <row r="44" spans="2:20" ht="21" customHeight="1" x14ac:dyDescent="0.25">
      <c r="B44" s="7"/>
      <c r="C44" s="13"/>
      <c r="D44" s="14"/>
      <c r="E44" s="14"/>
      <c r="F44" s="14"/>
      <c r="G44" s="14"/>
      <c r="H44" s="14"/>
      <c r="I44" s="14"/>
      <c r="J44" s="14"/>
      <c r="L44" s="7"/>
      <c r="M44" s="14"/>
      <c r="P44" s="14"/>
      <c r="S44" s="14"/>
    </row>
    <row r="45" spans="2:20" s="5" customFormat="1" ht="21" customHeight="1" x14ac:dyDescent="0.25">
      <c r="C45" s="14"/>
      <c r="D45" s="14"/>
      <c r="E45" s="14"/>
      <c r="F45" s="14"/>
      <c r="G45" s="14"/>
      <c r="H45" s="14"/>
      <c r="I45" s="14"/>
      <c r="J45" s="14"/>
      <c r="L45" s="817"/>
      <c r="M45" s="817"/>
      <c r="N45" s="817"/>
      <c r="O45" s="817"/>
      <c r="P45" s="817"/>
      <c r="Q45" s="817"/>
      <c r="R45" s="817"/>
      <c r="S45" s="817"/>
      <c r="T45" s="817"/>
    </row>
    <row r="46" spans="2:20" ht="21" customHeight="1" x14ac:dyDescent="0.25">
      <c r="C46" s="8"/>
      <c r="D46" s="12"/>
      <c r="E46" s="12"/>
      <c r="F46" s="12"/>
      <c r="G46" s="12"/>
      <c r="H46" s="12"/>
      <c r="I46" s="12"/>
      <c r="J46" s="12"/>
      <c r="K46" s="9"/>
      <c r="M46" s="12"/>
      <c r="P46" s="12"/>
      <c r="S46" s="12"/>
    </row>
    <row r="47" spans="2:20" ht="21" customHeight="1" x14ac:dyDescent="0.25">
      <c r="C47" s="8"/>
      <c r="D47" s="12"/>
      <c r="E47" s="12"/>
      <c r="F47" s="12"/>
      <c r="G47" s="12"/>
      <c r="H47" s="12"/>
      <c r="I47" s="12"/>
      <c r="J47" s="12"/>
      <c r="K47" s="9"/>
      <c r="M47" s="12"/>
      <c r="P47" s="12"/>
      <c r="S47" s="12"/>
    </row>
    <row r="48" spans="2:20" ht="21" customHeight="1" x14ac:dyDescent="0.25">
      <c r="C48" s="8"/>
      <c r="D48" s="12"/>
      <c r="E48" s="12"/>
      <c r="F48" s="12"/>
      <c r="G48" s="12"/>
      <c r="H48" s="12"/>
      <c r="I48" s="12"/>
      <c r="J48" s="12"/>
      <c r="K48" s="9"/>
      <c r="M48" s="12"/>
      <c r="P48" s="12"/>
      <c r="S48" s="12"/>
    </row>
    <row r="49" spans="3:19" ht="21" customHeight="1" x14ac:dyDescent="0.25">
      <c r="C49" s="8"/>
      <c r="D49" s="12"/>
      <c r="E49" s="12"/>
      <c r="F49" s="12"/>
      <c r="G49" s="12"/>
      <c r="H49" s="12"/>
      <c r="I49" s="12"/>
      <c r="J49" s="12"/>
      <c r="K49" s="9"/>
      <c r="M49" s="12"/>
      <c r="P49" s="12"/>
      <c r="S49" s="12"/>
    </row>
    <row r="50" spans="3:19" ht="21" customHeight="1" x14ac:dyDescent="0.25">
      <c r="C50" s="8"/>
      <c r="D50" s="12"/>
      <c r="E50" s="12"/>
      <c r="F50" s="12"/>
      <c r="G50" s="12"/>
      <c r="H50" s="12"/>
      <c r="I50" s="15"/>
      <c r="J50" s="12"/>
      <c r="K50" s="9"/>
      <c r="M50" s="12"/>
      <c r="P50" s="12"/>
      <c r="S50" s="12"/>
    </row>
    <row r="51" spans="3:19" ht="21" customHeight="1" x14ac:dyDescent="0.25">
      <c r="C51" s="8"/>
      <c r="D51" s="12"/>
      <c r="E51" s="12"/>
      <c r="F51" s="12"/>
      <c r="G51" s="12"/>
      <c r="H51" s="16"/>
      <c r="I51" s="16"/>
      <c r="J51" s="12"/>
      <c r="K51" s="9"/>
      <c r="M51" s="12"/>
      <c r="P51" s="12"/>
      <c r="S51" s="12"/>
    </row>
    <row r="52" spans="3:19" ht="21" customHeight="1" x14ac:dyDescent="0.25">
      <c r="C52" s="8"/>
      <c r="D52" s="12"/>
      <c r="E52" s="12"/>
      <c r="F52" s="12"/>
      <c r="G52" s="12"/>
      <c r="H52" s="16"/>
      <c r="I52" s="16"/>
      <c r="J52" s="12"/>
      <c r="K52" s="9"/>
      <c r="M52" s="12"/>
      <c r="P52" s="12"/>
      <c r="S52" s="12"/>
    </row>
    <row r="53" spans="3:19" ht="21" customHeight="1" x14ac:dyDescent="0.25">
      <c r="C53" s="8"/>
      <c r="D53" s="12"/>
      <c r="E53" s="12"/>
      <c r="F53" s="12"/>
      <c r="G53" s="12"/>
      <c r="H53" s="16"/>
      <c r="I53" s="16"/>
      <c r="J53" s="12"/>
      <c r="K53" s="9"/>
      <c r="M53" s="12"/>
      <c r="P53" s="12"/>
      <c r="S53" s="12"/>
    </row>
    <row r="54" spans="3:19" ht="21" customHeight="1" x14ac:dyDescent="0.25">
      <c r="D54" s="1"/>
      <c r="E54" s="1"/>
      <c r="F54" s="1"/>
      <c r="G54" s="1"/>
      <c r="H54" s="2"/>
      <c r="I54" s="2"/>
      <c r="J54" s="1"/>
      <c r="K54" s="9"/>
      <c r="M54" s="1"/>
      <c r="P54" s="1"/>
      <c r="S54" s="1"/>
    </row>
    <row r="55" spans="3:19" ht="21" customHeight="1" x14ac:dyDescent="0.25">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5D483-DC76-4705-B2E8-6A8B43933677}">
  <dimension ref="B1:P31"/>
  <sheetViews>
    <sheetView showGridLines="0" zoomScaleNormal="100" workbookViewId="0">
      <selection activeCell="O7" sqref="O7:O15"/>
    </sheetView>
  </sheetViews>
  <sheetFormatPr defaultColWidth="9.140625" defaultRowHeight="15" x14ac:dyDescent="0.25"/>
  <cols>
    <col min="1" max="1" width="1.140625" style="6" customWidth="1"/>
    <col min="2" max="2" width="34.5703125" style="6" customWidth="1"/>
    <col min="3" max="7" width="12.28515625" style="6" customWidth="1"/>
    <col min="8" max="8" width="11.140625" style="6" customWidth="1"/>
    <col min="9" max="9" width="10.85546875" style="6" customWidth="1"/>
    <col min="10" max="10" width="11.140625" style="6" customWidth="1"/>
    <col min="11" max="11" width="10.85546875" style="6" customWidth="1"/>
    <col min="12" max="12" width="11.140625" style="6" customWidth="1"/>
    <col min="13" max="13" width="10.85546875" style="6" customWidth="1"/>
    <col min="14" max="14" width="11.140625" style="6" customWidth="1"/>
    <col min="15" max="15" width="10.7109375" style="6" customWidth="1"/>
    <col min="16" max="16" width="1.140625" style="6" customWidth="1"/>
    <col min="17" max="16384" width="9.140625" style="6"/>
  </cols>
  <sheetData>
    <row r="1" spans="2:16" x14ac:dyDescent="0.25">
      <c r="B1" s="6" t="s">
        <v>762</v>
      </c>
    </row>
    <row r="2" spans="2:16" x14ac:dyDescent="0.25">
      <c r="B2" s="6" t="s">
        <v>466</v>
      </c>
    </row>
    <row r="3" spans="2:16" ht="5.45" customHeight="1" x14ac:dyDescent="0.25">
      <c r="I3" s="1"/>
      <c r="J3" s="2"/>
      <c r="K3" s="2"/>
      <c r="L3" s="9"/>
    </row>
    <row r="4" spans="2:16" ht="16.899999999999999" customHeight="1" x14ac:dyDescent="0.25">
      <c r="B4" s="837" t="s">
        <v>93</v>
      </c>
      <c r="C4" s="838"/>
      <c r="D4" s="838"/>
      <c r="E4" s="838"/>
      <c r="F4" s="838"/>
      <c r="G4" s="838"/>
      <c r="H4" s="838"/>
      <c r="I4" s="838"/>
      <c r="J4" s="838"/>
      <c r="K4" s="838"/>
      <c r="L4" s="838"/>
      <c r="M4" s="838"/>
      <c r="N4" s="838"/>
      <c r="O4" s="839"/>
    </row>
    <row r="5" spans="2:16" ht="16.899999999999999" customHeight="1" x14ac:dyDescent="0.25">
      <c r="B5" s="831" t="s">
        <v>94</v>
      </c>
      <c r="C5" s="834" t="s">
        <v>539</v>
      </c>
      <c r="D5" s="835"/>
      <c r="E5" s="835"/>
      <c r="F5" s="835"/>
      <c r="G5" s="836"/>
      <c r="H5" s="597" t="s">
        <v>377</v>
      </c>
      <c r="I5" s="598"/>
      <c r="J5" s="597" t="s">
        <v>378</v>
      </c>
      <c r="K5" s="598"/>
      <c r="L5" s="597" t="s">
        <v>380</v>
      </c>
      <c r="M5" s="598"/>
      <c r="N5" s="597" t="s">
        <v>381</v>
      </c>
      <c r="O5" s="599"/>
      <c r="P5" s="10"/>
    </row>
    <row r="6" spans="2:16" ht="16.899999999999999" customHeight="1" x14ac:dyDescent="0.25">
      <c r="B6" s="840"/>
      <c r="C6" s="584" t="s">
        <v>116</v>
      </c>
      <c r="D6" s="584" t="s">
        <v>117</v>
      </c>
      <c r="E6" s="584" t="s">
        <v>118</v>
      </c>
      <c r="F6" s="656" t="s">
        <v>507</v>
      </c>
      <c r="G6" s="656" t="s">
        <v>749</v>
      </c>
      <c r="H6" s="612" t="s">
        <v>95</v>
      </c>
      <c r="I6" s="593" t="s">
        <v>70</v>
      </c>
      <c r="J6" s="612" t="s">
        <v>95</v>
      </c>
      <c r="K6" s="593" t="s">
        <v>70</v>
      </c>
      <c r="L6" s="612" t="s">
        <v>95</v>
      </c>
      <c r="M6" s="593" t="s">
        <v>70</v>
      </c>
      <c r="N6" s="612" t="s">
        <v>95</v>
      </c>
      <c r="O6" s="594" t="s">
        <v>70</v>
      </c>
      <c r="P6" s="10"/>
    </row>
    <row r="7" spans="2:16" x14ac:dyDescent="0.25">
      <c r="B7" s="585" t="s">
        <v>473</v>
      </c>
      <c r="C7" s="589">
        <v>16313</v>
      </c>
      <c r="D7" s="440">
        <v>16526</v>
      </c>
      <c r="E7" s="440">
        <v>17314</v>
      </c>
      <c r="F7" s="440">
        <v>17052</v>
      </c>
      <c r="G7" s="448">
        <v>17824</v>
      </c>
      <c r="H7" s="613">
        <v>19</v>
      </c>
      <c r="I7" s="683">
        <v>17704.368421052601</v>
      </c>
      <c r="J7" s="613">
        <v>19</v>
      </c>
      <c r="K7" s="683">
        <v>18454.7368421053</v>
      </c>
      <c r="L7" s="613">
        <v>8</v>
      </c>
      <c r="M7" s="683">
        <v>17777.25</v>
      </c>
      <c r="N7" s="613">
        <v>7</v>
      </c>
      <c r="O7" s="683">
        <v>18593.142857142899</v>
      </c>
      <c r="P7" s="11"/>
    </row>
    <row r="8" spans="2:16" x14ac:dyDescent="0.25">
      <c r="B8" s="585" t="s">
        <v>540</v>
      </c>
      <c r="C8" s="590">
        <v>1237</v>
      </c>
      <c r="D8" s="440">
        <v>964</v>
      </c>
      <c r="E8" s="440">
        <v>1835</v>
      </c>
      <c r="F8" s="440">
        <v>1192</v>
      </c>
      <c r="G8" s="448">
        <v>1328</v>
      </c>
      <c r="H8" s="602">
        <v>13</v>
      </c>
      <c r="I8" s="681">
        <v>1164.2307692307702</v>
      </c>
      <c r="J8" s="602">
        <v>13</v>
      </c>
      <c r="K8" s="681">
        <v>1934.3076923076899</v>
      </c>
      <c r="L8" s="602">
        <v>5</v>
      </c>
      <c r="M8" s="681">
        <v>1457.6</v>
      </c>
      <c r="N8" s="602">
        <v>5</v>
      </c>
      <c r="O8" s="681">
        <v>1490</v>
      </c>
      <c r="P8" s="11"/>
    </row>
    <row r="9" spans="2:16" x14ac:dyDescent="0.25">
      <c r="B9" s="585" t="s">
        <v>538</v>
      </c>
      <c r="C9" s="591">
        <f>+C8/C7</f>
        <v>7.5829093361123034E-2</v>
      </c>
      <c r="D9" s="441">
        <f t="shared" ref="D9:O9" si="0">+D8/D7</f>
        <v>5.8332324821493406E-2</v>
      </c>
      <c r="E9" s="441">
        <f t="shared" si="0"/>
        <v>0.10598359708906088</v>
      </c>
      <c r="F9" s="441">
        <f t="shared" si="0"/>
        <v>6.9903823598404885E-2</v>
      </c>
      <c r="G9" s="449">
        <f t="shared" si="0"/>
        <v>7.4506283662477552E-2</v>
      </c>
      <c r="H9" s="602"/>
      <c r="I9" s="604">
        <f t="shared" si="0"/>
        <v>6.5759519997695109E-2</v>
      </c>
      <c r="J9" s="602"/>
      <c r="K9" s="604">
        <f t="shared" si="0"/>
        <v>0.10481361554256798</v>
      </c>
      <c r="L9" s="602"/>
      <c r="M9" s="604">
        <f t="shared" si="0"/>
        <v>8.1992434150388829E-2</v>
      </c>
      <c r="N9" s="602"/>
      <c r="O9" s="604">
        <f t="shared" si="0"/>
        <v>8.0137070502181884E-2</v>
      </c>
      <c r="P9" s="11"/>
    </row>
    <row r="10" spans="2:16" x14ac:dyDescent="0.25">
      <c r="B10" s="585" t="s">
        <v>474</v>
      </c>
      <c r="C10" s="590">
        <v>1895</v>
      </c>
      <c r="D10" s="440">
        <v>1660</v>
      </c>
      <c r="E10" s="440">
        <v>2160</v>
      </c>
      <c r="F10" s="440">
        <v>1909</v>
      </c>
      <c r="G10" s="448">
        <v>2005</v>
      </c>
      <c r="H10" s="602">
        <v>16</v>
      </c>
      <c r="I10" s="681">
        <v>1962.125</v>
      </c>
      <c r="J10" s="602">
        <v>16</v>
      </c>
      <c r="K10" s="681">
        <v>2745.9375</v>
      </c>
      <c r="L10" s="602">
        <v>7</v>
      </c>
      <c r="M10" s="681">
        <v>2223.5714285714303</v>
      </c>
      <c r="N10" s="602">
        <v>6</v>
      </c>
      <c r="O10" s="681">
        <v>2312.6666666666697</v>
      </c>
      <c r="P10" s="11"/>
    </row>
    <row r="11" spans="2:16" x14ac:dyDescent="0.25">
      <c r="B11" s="585" t="s">
        <v>475</v>
      </c>
      <c r="C11" s="590">
        <v>1139</v>
      </c>
      <c r="D11" s="440">
        <v>874</v>
      </c>
      <c r="E11" s="440">
        <v>1358</v>
      </c>
      <c r="F11" s="440">
        <v>1101</v>
      </c>
      <c r="G11" s="448">
        <v>1177</v>
      </c>
      <c r="H11" s="602">
        <v>13</v>
      </c>
      <c r="I11" s="681">
        <v>1124.9230769230799</v>
      </c>
      <c r="J11" s="602">
        <v>13</v>
      </c>
      <c r="K11" s="681">
        <v>1936.6923076923101</v>
      </c>
      <c r="L11" s="602">
        <v>5</v>
      </c>
      <c r="M11" s="681">
        <v>1360.4</v>
      </c>
      <c r="N11" s="602">
        <v>5</v>
      </c>
      <c r="O11" s="681">
        <v>1447.4</v>
      </c>
      <c r="P11" s="11"/>
    </row>
    <row r="12" spans="2:16" x14ac:dyDescent="0.25">
      <c r="B12" s="585" t="s">
        <v>476</v>
      </c>
      <c r="C12" s="590">
        <v>775</v>
      </c>
      <c r="D12" s="440">
        <v>2074</v>
      </c>
      <c r="E12" s="440">
        <v>1127</v>
      </c>
      <c r="F12" s="440">
        <v>835</v>
      </c>
      <c r="G12" s="448">
        <v>935</v>
      </c>
      <c r="H12" s="602">
        <v>16</v>
      </c>
      <c r="I12" s="681">
        <v>860</v>
      </c>
      <c r="J12" s="602">
        <v>16</v>
      </c>
      <c r="K12" s="681">
        <v>1432.3125</v>
      </c>
      <c r="L12" s="602">
        <v>6</v>
      </c>
      <c r="M12" s="681">
        <v>1054.3333333333301</v>
      </c>
      <c r="N12" s="602">
        <v>5</v>
      </c>
      <c r="O12" s="681">
        <v>1089.8</v>
      </c>
      <c r="P12" s="11"/>
    </row>
    <row r="13" spans="2:16" x14ac:dyDescent="0.25">
      <c r="B13" s="585" t="s">
        <v>478</v>
      </c>
      <c r="C13" s="592">
        <v>3.17</v>
      </c>
      <c r="D13" s="442">
        <v>3.72</v>
      </c>
      <c r="E13" s="442">
        <v>5.91</v>
      </c>
      <c r="F13" s="442">
        <v>3.46</v>
      </c>
      <c r="G13" s="450">
        <v>4.03</v>
      </c>
      <c r="H13" s="602">
        <v>22</v>
      </c>
      <c r="I13" s="606">
        <v>3.25545454545454</v>
      </c>
      <c r="J13" s="602">
        <v>22</v>
      </c>
      <c r="K13" s="606">
        <v>5.35045454545455</v>
      </c>
      <c r="L13" s="602">
        <v>13</v>
      </c>
      <c r="M13" s="606">
        <v>3.89307692307692</v>
      </c>
      <c r="N13" s="602">
        <v>12</v>
      </c>
      <c r="O13" s="606">
        <v>4.1475</v>
      </c>
      <c r="P13" s="11"/>
    </row>
    <row r="14" spans="2:16" x14ac:dyDescent="0.25">
      <c r="B14" s="585" t="s">
        <v>479</v>
      </c>
      <c r="C14" s="590"/>
      <c r="D14" s="440"/>
      <c r="E14" s="440"/>
      <c r="F14" s="440"/>
      <c r="G14" s="448"/>
      <c r="H14" s="602">
        <v>3</v>
      </c>
      <c r="I14" s="681">
        <v>684.33333333333303</v>
      </c>
      <c r="J14" s="602">
        <v>3</v>
      </c>
      <c r="K14" s="681">
        <v>728.66666666666697</v>
      </c>
      <c r="L14" s="602">
        <v>3</v>
      </c>
      <c r="M14" s="681">
        <v>79</v>
      </c>
      <c r="N14" s="602">
        <v>3</v>
      </c>
      <c r="O14" s="681">
        <v>349.33333333333303</v>
      </c>
      <c r="P14" s="11"/>
    </row>
    <row r="15" spans="2:16" x14ac:dyDescent="0.25">
      <c r="B15" s="587" t="s">
        <v>480</v>
      </c>
      <c r="C15" s="595">
        <v>1577</v>
      </c>
      <c r="D15" s="596">
        <v>1373</v>
      </c>
      <c r="E15" s="596">
        <v>1669</v>
      </c>
      <c r="F15" s="596">
        <v>1179</v>
      </c>
      <c r="G15" s="679">
        <v>1455</v>
      </c>
      <c r="H15" s="680">
        <v>2</v>
      </c>
      <c r="I15" s="682">
        <v>-1483</v>
      </c>
      <c r="J15" s="680">
        <v>2</v>
      </c>
      <c r="K15" s="682">
        <v>-1483</v>
      </c>
      <c r="L15" s="680">
        <v>2</v>
      </c>
      <c r="M15" s="682">
        <v>-1602.5</v>
      </c>
      <c r="N15" s="680">
        <v>2</v>
      </c>
      <c r="O15" s="682">
        <v>-1602.5</v>
      </c>
      <c r="P15" s="11"/>
    </row>
    <row r="17" spans="3:15" ht="14.45" customHeight="1" x14ac:dyDescent="0.25">
      <c r="C17" s="831" t="s">
        <v>764</v>
      </c>
      <c r="D17" s="832"/>
      <c r="E17" s="833"/>
      <c r="F17" s="7"/>
      <c r="G17" s="7"/>
      <c r="H17" s="8"/>
      <c r="I17" s="614"/>
      <c r="J17" s="8"/>
      <c r="K17" s="614"/>
      <c r="L17" s="614"/>
      <c r="M17" s="614"/>
      <c r="N17" s="614"/>
      <c r="O17" s="614"/>
    </row>
    <row r="18" spans="3:15" ht="14.45" customHeight="1" x14ac:dyDescent="0.25">
      <c r="C18" s="585" t="s">
        <v>740</v>
      </c>
      <c r="D18" s="642">
        <v>0.871</v>
      </c>
      <c r="E18" s="586">
        <v>27</v>
      </c>
      <c r="H18" s="8"/>
      <c r="I18" s="614"/>
      <c r="J18" s="12"/>
      <c r="K18" s="614"/>
      <c r="L18" s="614"/>
      <c r="M18" s="614"/>
      <c r="N18" s="614"/>
      <c r="O18" s="614"/>
    </row>
    <row r="19" spans="3:15" ht="14.45" customHeight="1" x14ac:dyDescent="0.25">
      <c r="C19" s="585" t="s">
        <v>741</v>
      </c>
      <c r="D19" s="642">
        <v>9.7000000000000003E-2</v>
      </c>
      <c r="E19" s="586">
        <v>3</v>
      </c>
      <c r="H19" s="8"/>
      <c r="I19" s="614"/>
      <c r="J19" s="12"/>
      <c r="K19" s="614"/>
      <c r="L19" s="614"/>
      <c r="M19" s="614"/>
      <c r="N19" s="614"/>
      <c r="O19" s="614"/>
    </row>
    <row r="20" spans="3:15" ht="14.45" customHeight="1" x14ac:dyDescent="0.25">
      <c r="C20" s="585" t="s">
        <v>742</v>
      </c>
      <c r="D20" s="642">
        <v>3.2000000000000001E-2</v>
      </c>
      <c r="E20" s="586">
        <v>1</v>
      </c>
      <c r="H20" s="8"/>
      <c r="I20" s="614"/>
      <c r="J20" s="12"/>
      <c r="K20" s="614"/>
      <c r="L20" s="614"/>
      <c r="M20" s="614"/>
      <c r="N20" s="614"/>
      <c r="O20" s="614"/>
    </row>
    <row r="21" spans="3:15" ht="14.45" customHeight="1" x14ac:dyDescent="0.25">
      <c r="C21" s="585" t="s">
        <v>743</v>
      </c>
      <c r="D21" s="520"/>
      <c r="E21" s="643">
        <v>287.73</v>
      </c>
      <c r="H21" s="8"/>
      <c r="I21" s="614"/>
      <c r="J21" s="12"/>
      <c r="K21" s="614"/>
      <c r="L21" s="614"/>
      <c r="M21" s="614"/>
      <c r="N21" s="614"/>
      <c r="O21" s="614"/>
    </row>
    <row r="22" spans="3:15" ht="14.45" customHeight="1" x14ac:dyDescent="0.25">
      <c r="C22" s="585" t="s">
        <v>744</v>
      </c>
      <c r="D22" s="520"/>
      <c r="E22" s="643">
        <v>223.4</v>
      </c>
      <c r="H22" s="8"/>
      <c r="I22" s="614"/>
      <c r="J22" s="12"/>
      <c r="K22" s="614"/>
      <c r="L22" s="614"/>
      <c r="M22" s="614"/>
      <c r="N22" s="614"/>
      <c r="O22" s="614"/>
    </row>
    <row r="23" spans="3:15" ht="14.45" customHeight="1" x14ac:dyDescent="0.25">
      <c r="C23" s="587" t="s">
        <v>766</v>
      </c>
      <c r="D23" s="588"/>
      <c r="E23" s="644">
        <v>0.28799999999999998</v>
      </c>
      <c r="H23" s="8"/>
      <c r="I23" s="12"/>
      <c r="J23" s="16"/>
      <c r="K23" s="16"/>
      <c r="L23" s="9"/>
    </row>
    <row r="24" spans="3:15" ht="14.45" customHeight="1" x14ac:dyDescent="0.25">
      <c r="H24" s="8"/>
      <c r="I24" s="12"/>
      <c r="J24" s="16"/>
      <c r="K24" s="16"/>
      <c r="L24" s="9"/>
    </row>
    <row r="25" spans="3:15" ht="14.45" customHeight="1" x14ac:dyDescent="0.25">
      <c r="C25" s="831" t="s">
        <v>765</v>
      </c>
      <c r="D25" s="832"/>
      <c r="E25" s="833"/>
      <c r="I25" s="1"/>
      <c r="J25" s="2"/>
      <c r="K25" s="2"/>
      <c r="L25" s="9"/>
    </row>
    <row r="26" spans="3:15" ht="14.45" customHeight="1" x14ac:dyDescent="0.25">
      <c r="C26" s="585" t="s">
        <v>740</v>
      </c>
      <c r="D26" s="642">
        <v>0.83899999999999997</v>
      </c>
      <c r="E26" s="586">
        <v>26</v>
      </c>
      <c r="I26" s="1"/>
      <c r="J26" s="2"/>
      <c r="K26" s="2"/>
      <c r="L26" s="9"/>
    </row>
    <row r="27" spans="3:15" ht="14.45" customHeight="1" x14ac:dyDescent="0.25">
      <c r="C27" s="585" t="s">
        <v>741</v>
      </c>
      <c r="D27" s="642">
        <v>0.129</v>
      </c>
      <c r="E27" s="586">
        <v>4</v>
      </c>
    </row>
    <row r="28" spans="3:15" ht="14.45" customHeight="1" x14ac:dyDescent="0.25">
      <c r="C28" s="585" t="s">
        <v>742</v>
      </c>
      <c r="D28" s="642">
        <v>3.2000000000000001E-2</v>
      </c>
      <c r="E28" s="586">
        <v>1</v>
      </c>
    </row>
    <row r="29" spans="3:15" ht="14.45" customHeight="1" x14ac:dyDescent="0.25">
      <c r="C29" s="585" t="s">
        <v>743</v>
      </c>
      <c r="D29" s="520"/>
      <c r="E29" s="643">
        <v>227.21</v>
      </c>
    </row>
    <row r="30" spans="3:15" ht="14.45" customHeight="1" x14ac:dyDescent="0.25">
      <c r="C30" s="585" t="s">
        <v>744</v>
      </c>
      <c r="D30" s="520"/>
      <c r="E30" s="643">
        <v>159.11000000000001</v>
      </c>
    </row>
    <row r="31" spans="3:15" ht="14.45" customHeight="1" x14ac:dyDescent="0.25">
      <c r="C31" s="587" t="s">
        <v>766</v>
      </c>
      <c r="D31" s="588"/>
      <c r="E31" s="644">
        <v>0.42799999999999999</v>
      </c>
    </row>
  </sheetData>
  <mergeCells count="5">
    <mergeCell ref="C17:E17"/>
    <mergeCell ref="C5:G5"/>
    <mergeCell ref="C25:E25"/>
    <mergeCell ref="B4:O4"/>
    <mergeCell ref="B5:B6"/>
  </mergeCells>
  <pageMargins left="0.7" right="0.7" top="0.75" bottom="0.75" header="0.3" footer="0.3"/>
  <pageSetup orientation="portrait"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FFF2-61CE-45EB-B24B-D4FC8E0A9710}">
  <dimension ref="B1:H47"/>
  <sheetViews>
    <sheetView showGridLines="0" topLeftCell="A10" workbookViewId="0">
      <selection activeCell="I51" sqref="I51"/>
    </sheetView>
  </sheetViews>
  <sheetFormatPr defaultColWidth="8.85546875" defaultRowHeight="15" x14ac:dyDescent="0.25"/>
  <cols>
    <col min="1" max="1" width="1.28515625" style="6" customWidth="1"/>
    <col min="2" max="2" width="9.7109375" style="6" customWidth="1"/>
    <col min="3" max="3" width="9.85546875" style="6" customWidth="1"/>
    <col min="4" max="6" width="8.85546875" style="6"/>
    <col min="7" max="7" width="11" style="6" customWidth="1"/>
    <col min="8" max="16384" width="8.85546875" style="6"/>
  </cols>
  <sheetData>
    <row r="1" spans="2:8" x14ac:dyDescent="0.25">
      <c r="B1" s="6" t="s">
        <v>763</v>
      </c>
    </row>
    <row r="2" spans="2:8" x14ac:dyDescent="0.25">
      <c r="B2" s="6" t="s">
        <v>543</v>
      </c>
    </row>
    <row r="3" spans="2:8" ht="45" x14ac:dyDescent="0.25">
      <c r="B3" s="639" t="s">
        <v>734</v>
      </c>
      <c r="C3" s="639" t="s">
        <v>735</v>
      </c>
      <c r="D3" s="639" t="s">
        <v>736</v>
      </c>
      <c r="E3" s="639" t="s">
        <v>561</v>
      </c>
      <c r="F3" s="639" t="s">
        <v>737</v>
      </c>
      <c r="G3" s="639" t="s">
        <v>738</v>
      </c>
    </row>
    <row r="4" spans="2:8" x14ac:dyDescent="0.25">
      <c r="B4" s="617" t="s">
        <v>562</v>
      </c>
      <c r="C4" s="636" t="s">
        <v>563</v>
      </c>
      <c r="D4" s="640">
        <v>3.464</v>
      </c>
      <c r="E4" s="640">
        <v>3.8029999999999999</v>
      </c>
      <c r="F4" s="634" t="s">
        <v>564</v>
      </c>
      <c r="G4" s="649" t="s">
        <v>565</v>
      </c>
      <c r="H4" s="616"/>
    </row>
    <row r="5" spans="2:8" x14ac:dyDescent="0.25">
      <c r="B5" s="617" t="s">
        <v>566</v>
      </c>
      <c r="C5" s="636" t="s">
        <v>567</v>
      </c>
      <c r="D5" s="640">
        <v>5.9139999999999997</v>
      </c>
      <c r="E5" s="640">
        <v>5.69</v>
      </c>
      <c r="F5" s="634" t="s">
        <v>568</v>
      </c>
      <c r="G5" s="649" t="s">
        <v>569</v>
      </c>
      <c r="H5" s="616"/>
    </row>
    <row r="6" spans="2:8" x14ac:dyDescent="0.25">
      <c r="B6" s="617" t="s">
        <v>570</v>
      </c>
      <c r="C6" s="636" t="s">
        <v>571</v>
      </c>
      <c r="D6" s="640">
        <v>3.5830000000000002</v>
      </c>
      <c r="E6" s="640">
        <v>3.1059999999999999</v>
      </c>
      <c r="F6" s="634" t="s">
        <v>572</v>
      </c>
      <c r="G6" s="649" t="s">
        <v>573</v>
      </c>
      <c r="H6" s="616"/>
    </row>
    <row r="7" spans="2:8" x14ac:dyDescent="0.25">
      <c r="B7" s="617" t="s">
        <v>574</v>
      </c>
      <c r="C7" s="636" t="s">
        <v>575</v>
      </c>
      <c r="D7" s="640">
        <v>3.1749999999999998</v>
      </c>
      <c r="E7" s="640">
        <v>2.8849999999999998</v>
      </c>
      <c r="F7" s="634" t="s">
        <v>576</v>
      </c>
      <c r="G7" s="649" t="s">
        <v>577</v>
      </c>
      <c r="H7" s="616"/>
    </row>
    <row r="8" spans="2:8" x14ac:dyDescent="0.25">
      <c r="B8" s="617" t="s">
        <v>578</v>
      </c>
      <c r="C8" s="636" t="s">
        <v>579</v>
      </c>
      <c r="D8" s="640">
        <v>2.5099999999999998</v>
      </c>
      <c r="E8" s="640">
        <v>3.0249999999999999</v>
      </c>
      <c r="F8" s="634" t="s">
        <v>580</v>
      </c>
      <c r="G8" s="649" t="s">
        <v>581</v>
      </c>
    </row>
    <row r="9" spans="2:8" x14ac:dyDescent="0.25">
      <c r="B9" s="617" t="s">
        <v>582</v>
      </c>
      <c r="C9" s="636" t="s">
        <v>583</v>
      </c>
      <c r="D9" s="640">
        <v>4.1849999999999996</v>
      </c>
      <c r="E9" s="640">
        <v>3.875</v>
      </c>
      <c r="F9" s="634" t="s">
        <v>584</v>
      </c>
      <c r="G9" s="649" t="s">
        <v>585</v>
      </c>
    </row>
    <row r="10" spans="2:8" x14ac:dyDescent="0.25">
      <c r="B10" s="617" t="s">
        <v>586</v>
      </c>
      <c r="C10" s="636" t="s">
        <v>587</v>
      </c>
      <c r="D10" s="640">
        <v>2.302</v>
      </c>
      <c r="E10" s="640">
        <v>2.6240000000000001</v>
      </c>
      <c r="F10" s="634" t="s">
        <v>588</v>
      </c>
      <c r="G10" s="649" t="s">
        <v>589</v>
      </c>
    </row>
    <row r="11" spans="2:8" x14ac:dyDescent="0.25">
      <c r="B11" s="617" t="s">
        <v>590</v>
      </c>
      <c r="C11" s="636" t="s">
        <v>591</v>
      </c>
      <c r="D11" s="640">
        <v>2.88</v>
      </c>
      <c r="E11" s="640">
        <v>2.9079999999999999</v>
      </c>
      <c r="F11" s="634" t="s">
        <v>592</v>
      </c>
      <c r="G11" s="649" t="s">
        <v>593</v>
      </c>
    </row>
    <row r="12" spans="2:8" x14ac:dyDescent="0.25">
      <c r="B12" s="585" t="s">
        <v>594</v>
      </c>
      <c r="C12" s="637" t="s">
        <v>595</v>
      </c>
      <c r="D12" s="640">
        <v>2.8170000000000002</v>
      </c>
      <c r="E12" s="640">
        <v>2.7949999999999999</v>
      </c>
      <c r="F12" s="634" t="s">
        <v>596</v>
      </c>
      <c r="G12" s="649" t="s">
        <v>597</v>
      </c>
    </row>
    <row r="13" spans="2:8" x14ac:dyDescent="0.25">
      <c r="B13" s="585" t="s">
        <v>598</v>
      </c>
      <c r="C13" s="637" t="s">
        <v>599</v>
      </c>
      <c r="D13" s="640">
        <v>3.3319999999999999</v>
      </c>
      <c r="E13" s="640">
        <v>3.2839999999999998</v>
      </c>
      <c r="F13" s="634" t="s">
        <v>600</v>
      </c>
      <c r="G13" s="649" t="s">
        <v>601</v>
      </c>
    </row>
    <row r="14" spans="2:8" x14ac:dyDescent="0.25">
      <c r="B14" s="585" t="s">
        <v>602</v>
      </c>
      <c r="C14" s="637" t="s">
        <v>603</v>
      </c>
      <c r="D14" s="640">
        <v>1.84</v>
      </c>
      <c r="E14" s="640">
        <v>2.3370000000000002</v>
      </c>
      <c r="F14" s="634" t="s">
        <v>604</v>
      </c>
      <c r="G14" s="649" t="s">
        <v>605</v>
      </c>
    </row>
    <row r="15" spans="2:8" x14ac:dyDescent="0.25">
      <c r="B15" s="585" t="s">
        <v>606</v>
      </c>
      <c r="C15" s="637" t="s">
        <v>607</v>
      </c>
      <c r="D15" s="640">
        <v>2.5710000000000002</v>
      </c>
      <c r="E15" s="640">
        <v>2.5</v>
      </c>
      <c r="F15" s="634" t="s">
        <v>608</v>
      </c>
      <c r="G15" s="649" t="s">
        <v>609</v>
      </c>
    </row>
    <row r="16" spans="2:8" x14ac:dyDescent="0.25">
      <c r="B16" s="585" t="s">
        <v>610</v>
      </c>
      <c r="C16" s="637" t="s">
        <v>611</v>
      </c>
      <c r="D16" s="640">
        <v>2.42</v>
      </c>
      <c r="E16" s="640">
        <v>2.4540000000000002</v>
      </c>
      <c r="F16" s="634" t="s">
        <v>612</v>
      </c>
      <c r="G16" s="649" t="s">
        <v>613</v>
      </c>
    </row>
    <row r="17" spans="2:7" x14ac:dyDescent="0.25">
      <c r="B17" s="585" t="s">
        <v>614</v>
      </c>
      <c r="C17" s="637" t="s">
        <v>615</v>
      </c>
      <c r="D17" s="640">
        <v>2.8090000000000002</v>
      </c>
      <c r="E17" s="640">
        <v>2.6850000000000001</v>
      </c>
      <c r="F17" s="634" t="s">
        <v>616</v>
      </c>
      <c r="G17" s="649" t="s">
        <v>617</v>
      </c>
    </row>
    <row r="18" spans="2:7" x14ac:dyDescent="0.25">
      <c r="B18" s="585" t="s">
        <v>618</v>
      </c>
      <c r="C18" s="637" t="s">
        <v>619</v>
      </c>
      <c r="D18" s="640">
        <v>2.1800000000000002</v>
      </c>
      <c r="E18" s="640">
        <v>1.8779999999999999</v>
      </c>
      <c r="F18" s="634" t="s">
        <v>620</v>
      </c>
      <c r="G18" s="649" t="s">
        <v>621</v>
      </c>
    </row>
    <row r="19" spans="2:7" x14ac:dyDescent="0.25">
      <c r="B19" s="585" t="s">
        <v>622</v>
      </c>
      <c r="C19" s="637" t="s">
        <v>623</v>
      </c>
      <c r="D19" s="640">
        <v>2.31</v>
      </c>
      <c r="E19" s="640">
        <v>2.2469999999999999</v>
      </c>
      <c r="F19" s="634" t="s">
        <v>624</v>
      </c>
      <c r="G19" s="649" t="s">
        <v>625</v>
      </c>
    </row>
    <row r="20" spans="2:7" x14ac:dyDescent="0.25">
      <c r="B20" s="585" t="s">
        <v>626</v>
      </c>
      <c r="C20" s="637" t="s">
        <v>627</v>
      </c>
      <c r="D20" s="640">
        <v>2.2599999999999998</v>
      </c>
      <c r="E20" s="640">
        <v>1.9630000000000001</v>
      </c>
      <c r="F20" s="634" t="s">
        <v>628</v>
      </c>
      <c r="G20" s="649" t="s">
        <v>629</v>
      </c>
    </row>
    <row r="21" spans="2:7" x14ac:dyDescent="0.25">
      <c r="B21" s="585" t="s">
        <v>630</v>
      </c>
      <c r="C21" s="637" t="s">
        <v>631</v>
      </c>
      <c r="D21" s="640">
        <v>2.4900000000000002</v>
      </c>
      <c r="E21" s="640">
        <v>2.3580000000000001</v>
      </c>
      <c r="F21" s="634" t="s">
        <v>632</v>
      </c>
      <c r="G21" s="649" t="s">
        <v>633</v>
      </c>
    </row>
    <row r="22" spans="2:7" x14ac:dyDescent="0.25">
      <c r="B22" s="585" t="s">
        <v>634</v>
      </c>
      <c r="C22" s="637" t="s">
        <v>635</v>
      </c>
      <c r="D22" s="640">
        <v>1.23</v>
      </c>
      <c r="E22" s="640">
        <v>1.4610000000000001</v>
      </c>
      <c r="F22" s="634" t="s">
        <v>636</v>
      </c>
      <c r="G22" s="649" t="s">
        <v>637</v>
      </c>
    </row>
    <row r="23" spans="2:7" x14ac:dyDescent="0.25">
      <c r="B23" s="585" t="s">
        <v>638</v>
      </c>
      <c r="C23" s="637" t="s">
        <v>639</v>
      </c>
      <c r="D23" s="640">
        <v>1.75</v>
      </c>
      <c r="E23" s="640">
        <v>1.6419999999999999</v>
      </c>
      <c r="F23" s="634" t="s">
        <v>640</v>
      </c>
      <c r="G23" s="649" t="s">
        <v>641</v>
      </c>
    </row>
    <row r="24" spans="2:7" x14ac:dyDescent="0.25">
      <c r="B24" s="585" t="s">
        <v>642</v>
      </c>
      <c r="C24" s="637" t="s">
        <v>643</v>
      </c>
      <c r="D24" s="640">
        <v>1.53</v>
      </c>
      <c r="E24" s="640">
        <v>1.496</v>
      </c>
      <c r="F24" s="634" t="s">
        <v>644</v>
      </c>
      <c r="G24" s="649" t="s">
        <v>645</v>
      </c>
    </row>
    <row r="25" spans="2:7" x14ac:dyDescent="0.25">
      <c r="B25" s="585" t="s">
        <v>646</v>
      </c>
      <c r="C25" s="637" t="s">
        <v>647</v>
      </c>
      <c r="D25" s="640">
        <v>2.13</v>
      </c>
      <c r="E25" s="640">
        <v>1.954</v>
      </c>
      <c r="F25" s="634" t="s">
        <v>648</v>
      </c>
      <c r="G25" s="649" t="s">
        <v>649</v>
      </c>
    </row>
    <row r="26" spans="2:7" x14ac:dyDescent="0.25">
      <c r="B26" s="585" t="s">
        <v>650</v>
      </c>
      <c r="C26" s="637" t="s">
        <v>651</v>
      </c>
      <c r="D26" s="640">
        <v>1.2250000000000001</v>
      </c>
      <c r="E26" s="640">
        <v>1.379</v>
      </c>
      <c r="F26" s="634" t="s">
        <v>652</v>
      </c>
      <c r="G26" s="649" t="s">
        <v>653</v>
      </c>
    </row>
    <row r="27" spans="2:7" x14ac:dyDescent="0.25">
      <c r="B27" s="585" t="s">
        <v>654</v>
      </c>
      <c r="C27" s="637" t="s">
        <v>655</v>
      </c>
      <c r="D27" s="640">
        <v>1.417</v>
      </c>
      <c r="E27" s="640">
        <v>1.4059999999999999</v>
      </c>
      <c r="F27" s="634" t="s">
        <v>656</v>
      </c>
      <c r="G27" s="649" t="s">
        <v>657</v>
      </c>
    </row>
    <row r="28" spans="2:7" x14ac:dyDescent="0.25">
      <c r="B28" s="585" t="s">
        <v>658</v>
      </c>
      <c r="C28" s="637" t="s">
        <v>659</v>
      </c>
      <c r="D28" s="640">
        <v>1.458</v>
      </c>
      <c r="E28" s="640">
        <v>1.4</v>
      </c>
      <c r="F28" s="634" t="s">
        <v>660</v>
      </c>
      <c r="G28" s="649" t="s">
        <v>661</v>
      </c>
    </row>
    <row r="29" spans="2:7" x14ac:dyDescent="0.25">
      <c r="B29" s="585" t="s">
        <v>662</v>
      </c>
      <c r="C29" s="637" t="s">
        <v>663</v>
      </c>
      <c r="D29" s="640">
        <v>1.9950000000000001</v>
      </c>
      <c r="E29" s="640">
        <v>1.919</v>
      </c>
      <c r="F29" s="634" t="s">
        <v>664</v>
      </c>
      <c r="G29" s="649" t="s">
        <v>633</v>
      </c>
    </row>
    <row r="30" spans="2:7" x14ac:dyDescent="0.25">
      <c r="B30" s="585" t="s">
        <v>665</v>
      </c>
      <c r="C30" s="637" t="s">
        <v>666</v>
      </c>
      <c r="D30" s="640">
        <v>1.55</v>
      </c>
      <c r="E30" s="640">
        <v>1.3480000000000001</v>
      </c>
      <c r="F30" s="634" t="s">
        <v>667</v>
      </c>
      <c r="G30" s="649" t="s">
        <v>668</v>
      </c>
    </row>
    <row r="31" spans="2:7" x14ac:dyDescent="0.25">
      <c r="B31" s="585" t="s">
        <v>669</v>
      </c>
      <c r="C31" s="637" t="s">
        <v>670</v>
      </c>
      <c r="D31" s="640">
        <v>1.57</v>
      </c>
      <c r="E31" s="640">
        <v>1.5249999999999999</v>
      </c>
      <c r="F31" s="634" t="s">
        <v>671</v>
      </c>
      <c r="G31" s="649" t="s">
        <v>672</v>
      </c>
    </row>
    <row r="32" spans="2:7" x14ac:dyDescent="0.25">
      <c r="B32" s="585" t="s">
        <v>673</v>
      </c>
      <c r="C32" s="637" t="s">
        <v>674</v>
      </c>
      <c r="D32" s="640">
        <v>1.46</v>
      </c>
      <c r="E32" s="640">
        <v>1.444</v>
      </c>
      <c r="F32" s="634" t="s">
        <v>675</v>
      </c>
      <c r="G32" s="649" t="s">
        <v>676</v>
      </c>
    </row>
    <row r="33" spans="2:7" x14ac:dyDescent="0.25">
      <c r="B33" s="585" t="s">
        <v>677</v>
      </c>
      <c r="C33" s="637" t="s">
        <v>678</v>
      </c>
      <c r="D33" s="640">
        <v>1.754</v>
      </c>
      <c r="E33" s="640">
        <v>1.718</v>
      </c>
      <c r="F33" s="634" t="s">
        <v>679</v>
      </c>
      <c r="G33" s="649" t="s">
        <v>680</v>
      </c>
    </row>
    <row r="34" spans="2:7" x14ac:dyDescent="0.25">
      <c r="B34" s="585" t="s">
        <v>681</v>
      </c>
      <c r="C34" s="637" t="s">
        <v>682</v>
      </c>
      <c r="D34" s="640">
        <v>0.77200000000000002</v>
      </c>
      <c r="E34" s="640">
        <v>0.81499999999999995</v>
      </c>
      <c r="F34" s="634" t="s">
        <v>683</v>
      </c>
      <c r="G34" s="649" t="s">
        <v>684</v>
      </c>
    </row>
    <row r="35" spans="2:7" x14ac:dyDescent="0.25">
      <c r="B35" s="585" t="s">
        <v>685</v>
      </c>
      <c r="C35" s="637" t="s">
        <v>686</v>
      </c>
      <c r="D35" s="640">
        <v>1.1599999999999999</v>
      </c>
      <c r="E35" s="640">
        <v>1.3069999999999999</v>
      </c>
      <c r="F35" s="634" t="s">
        <v>687</v>
      </c>
      <c r="G35" s="649" t="s">
        <v>688</v>
      </c>
    </row>
    <row r="36" spans="2:7" x14ac:dyDescent="0.25">
      <c r="B36" s="585" t="s">
        <v>689</v>
      </c>
      <c r="C36" s="637" t="s">
        <v>690</v>
      </c>
      <c r="D36" s="640">
        <v>1.2</v>
      </c>
      <c r="E36" s="640">
        <v>1.2090000000000001</v>
      </c>
      <c r="F36" s="634" t="s">
        <v>691</v>
      </c>
      <c r="G36" s="649" t="s">
        <v>692</v>
      </c>
    </row>
    <row r="37" spans="2:7" x14ac:dyDescent="0.25">
      <c r="B37" s="585" t="s">
        <v>693</v>
      </c>
      <c r="C37" s="637" t="s">
        <v>694</v>
      </c>
      <c r="D37" s="640">
        <v>1.363</v>
      </c>
      <c r="E37" s="640">
        <v>1.325</v>
      </c>
      <c r="F37" s="634" t="s">
        <v>695</v>
      </c>
      <c r="G37" s="649" t="s">
        <v>696</v>
      </c>
    </row>
    <row r="38" spans="2:7" x14ac:dyDescent="0.25">
      <c r="B38" s="585" t="s">
        <v>697</v>
      </c>
      <c r="C38" s="637" t="s">
        <v>698</v>
      </c>
      <c r="D38" s="640">
        <v>0.76</v>
      </c>
      <c r="E38" s="640">
        <v>0.72599999999999998</v>
      </c>
      <c r="F38" s="634" t="s">
        <v>699</v>
      </c>
      <c r="G38" s="649" t="s">
        <v>608</v>
      </c>
    </row>
    <row r="39" spans="2:7" x14ac:dyDescent="0.25">
      <c r="B39" s="585" t="s">
        <v>700</v>
      </c>
      <c r="C39" s="637" t="s">
        <v>701</v>
      </c>
      <c r="D39" s="640">
        <v>1.1000000000000001</v>
      </c>
      <c r="E39" s="640">
        <v>1.1000000000000001</v>
      </c>
      <c r="F39" s="634" t="s">
        <v>702</v>
      </c>
      <c r="G39" s="649" t="s">
        <v>703</v>
      </c>
    </row>
    <row r="40" spans="2:7" x14ac:dyDescent="0.25">
      <c r="B40" s="585" t="s">
        <v>704</v>
      </c>
      <c r="C40" s="637" t="s">
        <v>705</v>
      </c>
      <c r="D40" s="640">
        <v>0.57999999999999996</v>
      </c>
      <c r="E40" s="640">
        <v>0.57999999999999996</v>
      </c>
      <c r="F40" s="634" t="s">
        <v>702</v>
      </c>
      <c r="G40" s="649" t="s">
        <v>706</v>
      </c>
    </row>
    <row r="41" spans="2:7" x14ac:dyDescent="0.25">
      <c r="B41" s="585" t="s">
        <v>707</v>
      </c>
      <c r="C41" s="637" t="s">
        <v>708</v>
      </c>
      <c r="D41" s="640">
        <v>0.66100000000000003</v>
      </c>
      <c r="E41" s="640">
        <v>0.505</v>
      </c>
      <c r="F41" s="634" t="s">
        <v>709</v>
      </c>
      <c r="G41" s="649" t="s">
        <v>710</v>
      </c>
    </row>
    <row r="42" spans="2:7" x14ac:dyDescent="0.25">
      <c r="B42" s="585" t="s">
        <v>711</v>
      </c>
      <c r="C42" s="637" t="s">
        <v>712</v>
      </c>
      <c r="D42" s="640">
        <v>0.31</v>
      </c>
      <c r="E42" s="640">
        <v>0.46100000000000002</v>
      </c>
      <c r="F42" s="634" t="s">
        <v>713</v>
      </c>
      <c r="G42" s="649" t="s">
        <v>714</v>
      </c>
    </row>
    <row r="43" spans="2:7" x14ac:dyDescent="0.25">
      <c r="B43" s="585" t="s">
        <v>715</v>
      </c>
      <c r="C43" s="637" t="s">
        <v>716</v>
      </c>
      <c r="D43" s="640">
        <v>1.59</v>
      </c>
      <c r="E43" s="640">
        <v>1.581</v>
      </c>
      <c r="F43" s="634" t="s">
        <v>717</v>
      </c>
      <c r="G43" s="649" t="s">
        <v>718</v>
      </c>
    </row>
    <row r="44" spans="2:7" x14ac:dyDescent="0.25">
      <c r="B44" s="585" t="s">
        <v>719</v>
      </c>
      <c r="C44" s="637" t="s">
        <v>720</v>
      </c>
      <c r="D44" s="640">
        <v>1.23</v>
      </c>
      <c r="E44" s="640">
        <v>1.23</v>
      </c>
      <c r="F44" s="634" t="s">
        <v>702</v>
      </c>
      <c r="G44" s="649" t="s">
        <v>721</v>
      </c>
    </row>
    <row r="45" spans="2:7" x14ac:dyDescent="0.25">
      <c r="B45" s="585" t="s">
        <v>722</v>
      </c>
      <c r="C45" s="637" t="s">
        <v>723</v>
      </c>
      <c r="D45" s="640">
        <v>1.4650000000000001</v>
      </c>
      <c r="E45" s="640">
        <v>1.466</v>
      </c>
      <c r="F45" s="634" t="s">
        <v>724</v>
      </c>
      <c r="G45" s="649" t="s">
        <v>725</v>
      </c>
    </row>
    <row r="46" spans="2:7" x14ac:dyDescent="0.25">
      <c r="B46" s="585" t="s">
        <v>726</v>
      </c>
      <c r="C46" s="637" t="s">
        <v>727</v>
      </c>
      <c r="D46" s="640">
        <v>1.26</v>
      </c>
      <c r="E46" s="640">
        <v>1.226</v>
      </c>
      <c r="F46" s="634" t="s">
        <v>728</v>
      </c>
      <c r="G46" s="649" t="s">
        <v>729</v>
      </c>
    </row>
    <row r="47" spans="2:7" x14ac:dyDescent="0.25">
      <c r="B47" s="587" t="s">
        <v>730</v>
      </c>
      <c r="C47" s="638" t="s">
        <v>731</v>
      </c>
      <c r="D47" s="641">
        <v>1.54</v>
      </c>
      <c r="E47" s="641">
        <v>1.5069999999999999</v>
      </c>
      <c r="F47" s="635" t="s">
        <v>732</v>
      </c>
      <c r="G47" s="650" t="s">
        <v>733</v>
      </c>
    </row>
  </sheetData>
  <pageMargins left="0.7" right="0.7" top="0.75" bottom="0.75" header="0.3" footer="0.3"/>
  <ignoredErrors>
    <ignoredError sqref="F4:G47" numberStoredAsText="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DAF45-46A9-412C-922A-76E419B098BC}">
  <sheetPr>
    <tabColor theme="4" tint="0.39997558519241921"/>
  </sheetPr>
  <dimension ref="B1:T55"/>
  <sheetViews>
    <sheetView showGridLines="0" zoomScaleNormal="100" workbookViewId="0">
      <selection activeCell="B1" sqref="B1"/>
    </sheetView>
  </sheetViews>
  <sheetFormatPr defaultColWidth="9.140625" defaultRowHeight="15" x14ac:dyDescent="0.25"/>
  <cols>
    <col min="1" max="1" width="1.140625" style="6" customWidth="1"/>
    <col min="2" max="2" width="26.7109375" style="6" customWidth="1"/>
    <col min="3" max="3" width="8.7109375" style="6" customWidth="1"/>
    <col min="4" max="4" width="12.28515625" style="6" customWidth="1"/>
    <col min="5" max="6" width="11.140625" style="6" customWidth="1"/>
    <col min="7" max="7" width="13.28515625" style="6" customWidth="1"/>
    <col min="8" max="8" width="8.7109375" style="6" customWidth="1"/>
    <col min="9" max="10" width="11.140625" style="6" customWidth="1"/>
    <col min="11" max="11" width="8.7109375" style="6" customWidth="1"/>
    <col min="12" max="13" width="11.140625" style="6" customWidth="1"/>
    <col min="14" max="14" width="8.7109375" style="6" customWidth="1"/>
    <col min="15" max="16" width="11.140625" style="6" customWidth="1"/>
    <col min="17" max="17" width="8.7109375" style="6" customWidth="1"/>
    <col min="18" max="19" width="11.140625" style="6" customWidth="1"/>
    <col min="20" max="20" width="1.140625" style="6" customWidth="1"/>
    <col min="21" max="16384" width="9.140625" style="6"/>
  </cols>
  <sheetData>
    <row r="1" spans="2:20" x14ac:dyDescent="0.25">
      <c r="B1" s="6" t="s">
        <v>762</v>
      </c>
      <c r="E1" s="615"/>
      <c r="F1" s="615"/>
      <c r="G1" s="615"/>
      <c r="H1" s="615"/>
      <c r="I1" s="615"/>
      <c r="J1" s="615"/>
      <c r="K1" s="615"/>
      <c r="L1" s="615"/>
      <c r="M1" s="615"/>
      <c r="N1" s="615"/>
      <c r="O1" s="615"/>
      <c r="P1" s="615"/>
      <c r="Q1" s="615"/>
      <c r="R1" s="615"/>
      <c r="S1" s="615"/>
    </row>
    <row r="2" spans="2:20" x14ac:dyDescent="0.25">
      <c r="B2" s="6" t="s">
        <v>466</v>
      </c>
    </row>
    <row r="3" spans="2:20" x14ac:dyDescent="0.25">
      <c r="B3" s="6" t="s">
        <v>489</v>
      </c>
    </row>
    <row r="4" spans="2:20" ht="5.45" customHeight="1" x14ac:dyDescent="0.25">
      <c r="D4" s="1"/>
      <c r="E4" s="1"/>
      <c r="F4" s="1"/>
      <c r="G4" s="1"/>
      <c r="H4" s="2"/>
      <c r="I4" s="2"/>
      <c r="J4" s="1"/>
      <c r="K4" s="9"/>
      <c r="M4" s="1"/>
      <c r="P4" s="1"/>
      <c r="S4" s="1"/>
    </row>
    <row r="5" spans="2:20" ht="16.899999999999999" customHeight="1" x14ac:dyDescent="0.25">
      <c r="B5" s="818" t="s">
        <v>482</v>
      </c>
      <c r="C5" s="819"/>
      <c r="D5" s="819"/>
      <c r="E5" s="819"/>
      <c r="F5" s="819"/>
      <c r="G5" s="819"/>
      <c r="H5" s="819"/>
      <c r="I5" s="819"/>
      <c r="J5" s="819"/>
      <c r="K5" s="819"/>
      <c r="L5" s="819"/>
      <c r="M5" s="819"/>
      <c r="N5" s="819"/>
      <c r="O5" s="819"/>
      <c r="P5" s="819"/>
      <c r="Q5" s="819"/>
      <c r="R5" s="819"/>
      <c r="S5" s="820"/>
    </row>
    <row r="6" spans="2:20" ht="16.899999999999999" customHeight="1" x14ac:dyDescent="0.25">
      <c r="B6" s="452"/>
      <c r="C6" s="462"/>
      <c r="D6" s="463"/>
      <c r="E6" s="575" t="s">
        <v>468</v>
      </c>
      <c r="F6" s="463"/>
      <c r="G6" s="463"/>
      <c r="H6" s="462"/>
      <c r="I6" s="575" t="s">
        <v>469</v>
      </c>
      <c r="J6" s="463"/>
      <c r="K6" s="462"/>
      <c r="L6" s="575" t="s">
        <v>470</v>
      </c>
      <c r="M6" s="464"/>
      <c r="N6" s="463"/>
      <c r="O6" s="575" t="s">
        <v>484</v>
      </c>
      <c r="P6" s="464"/>
      <c r="Q6" s="463"/>
      <c r="R6" s="575" t="s">
        <v>541</v>
      </c>
      <c r="S6" s="465"/>
    </row>
    <row r="7" spans="2:20" ht="27.6" customHeight="1" x14ac:dyDescent="0.25">
      <c r="B7" s="574"/>
      <c r="C7" s="25" t="s">
        <v>95</v>
      </c>
      <c r="D7" s="447" t="s">
        <v>70</v>
      </c>
      <c r="E7" s="447" t="s">
        <v>485</v>
      </c>
      <c r="F7" s="447" t="s">
        <v>486</v>
      </c>
      <c r="G7" s="26" t="s">
        <v>487</v>
      </c>
      <c r="H7" s="21" t="s">
        <v>95</v>
      </c>
      <c r="I7" s="23" t="s">
        <v>70</v>
      </c>
      <c r="J7" s="447" t="s">
        <v>485</v>
      </c>
      <c r="K7" s="25" t="s">
        <v>95</v>
      </c>
      <c r="L7" s="447" t="s">
        <v>70</v>
      </c>
      <c r="M7" s="447" t="s">
        <v>485</v>
      </c>
      <c r="N7" s="25" t="s">
        <v>95</v>
      </c>
      <c r="O7" s="447" t="s">
        <v>70</v>
      </c>
      <c r="P7" s="447" t="s">
        <v>485</v>
      </c>
      <c r="Q7" s="25" t="s">
        <v>95</v>
      </c>
      <c r="R7" s="447" t="s">
        <v>70</v>
      </c>
      <c r="S7" s="447" t="s">
        <v>485</v>
      </c>
      <c r="T7" s="10"/>
    </row>
    <row r="8" spans="2:20" x14ac:dyDescent="0.25">
      <c r="B8" s="17" t="s">
        <v>473</v>
      </c>
      <c r="C8" s="19">
        <v>20</v>
      </c>
      <c r="D8" s="448">
        <v>17686.650000000001</v>
      </c>
      <c r="E8" s="448">
        <v>17687</v>
      </c>
      <c r="F8" s="521">
        <f>+'FedEx Earnings Model'!T13</f>
        <v>17824</v>
      </c>
      <c r="G8" s="454">
        <f>+F8-E8</f>
        <v>137</v>
      </c>
      <c r="H8" s="19">
        <v>17</v>
      </c>
      <c r="I8" s="448">
        <v>17889</v>
      </c>
      <c r="J8" s="448">
        <v>17867.753170948203</v>
      </c>
      <c r="K8" s="19">
        <v>17</v>
      </c>
      <c r="L8" s="448">
        <v>18692</v>
      </c>
      <c r="M8" s="448">
        <v>18664.022324205656</v>
      </c>
      <c r="N8" s="19">
        <v>7</v>
      </c>
      <c r="O8" s="448">
        <v>18026</v>
      </c>
      <c r="P8" s="448">
        <v>17992.033178206144</v>
      </c>
      <c r="Q8" s="19"/>
      <c r="R8" s="448"/>
      <c r="S8" s="443">
        <v>18519.036677241606</v>
      </c>
      <c r="T8" s="11"/>
    </row>
    <row r="9" spans="2:20" x14ac:dyDescent="0.25">
      <c r="B9" s="17" t="s">
        <v>488</v>
      </c>
      <c r="C9" s="19">
        <v>12</v>
      </c>
      <c r="D9" s="448">
        <v>1433</v>
      </c>
      <c r="E9" s="448">
        <v>1395.1111006628587</v>
      </c>
      <c r="F9" s="521">
        <f>+'FedEx Earnings Model'!T27</f>
        <v>1328</v>
      </c>
      <c r="G9" s="454">
        <f t="shared" ref="G9:G16" si="0">+F9-E9</f>
        <v>-67.111100662858689</v>
      </c>
      <c r="H9" s="19">
        <v>12</v>
      </c>
      <c r="I9" s="448">
        <v>1383</v>
      </c>
      <c r="J9" s="448">
        <v>1369.3862766080263</v>
      </c>
      <c r="K9" s="19">
        <v>10</v>
      </c>
      <c r="L9" s="448">
        <v>2167</v>
      </c>
      <c r="M9" s="448">
        <v>2160.6838691403505</v>
      </c>
      <c r="N9" s="19">
        <v>5</v>
      </c>
      <c r="O9" s="448">
        <v>1632</v>
      </c>
      <c r="P9" s="448">
        <v>1585.7636301158309</v>
      </c>
      <c r="Q9" s="19"/>
      <c r="R9" s="448"/>
      <c r="S9" s="443">
        <v>1606.7614414949603</v>
      </c>
      <c r="T9" s="11"/>
    </row>
    <row r="10" spans="2:20" x14ac:dyDescent="0.25">
      <c r="B10" s="17" t="s">
        <v>481</v>
      </c>
      <c r="C10" s="19"/>
      <c r="D10" s="449">
        <v>8.1021561460197372E-2</v>
      </c>
      <c r="E10" s="449">
        <v>7.8877769020345948E-2</v>
      </c>
      <c r="F10" s="522">
        <f>+F9/F8</f>
        <v>7.4506283662477552E-2</v>
      </c>
      <c r="G10" s="455">
        <f t="shared" si="0"/>
        <v>-4.371485357868396E-3</v>
      </c>
      <c r="H10" s="19"/>
      <c r="I10" s="449">
        <v>7.7306183069722617E-2</v>
      </c>
      <c r="J10" s="449">
        <v>7.6640093665193379E-2</v>
      </c>
      <c r="K10" s="19"/>
      <c r="L10" s="449">
        <v>0.11591675084731336</v>
      </c>
      <c r="M10" s="449">
        <v>0.11576732129912459</v>
      </c>
      <c r="N10" s="19"/>
      <c r="O10" s="449">
        <v>9.0559518148676438E-2</v>
      </c>
      <c r="P10" s="449">
        <v>8.8136988988919598E-2</v>
      </c>
      <c r="Q10" s="19"/>
      <c r="R10" s="449"/>
      <c r="S10" s="444">
        <v>8.6762690171111323E-2</v>
      </c>
      <c r="T10" s="11"/>
    </row>
    <row r="11" spans="2:20" x14ac:dyDescent="0.25">
      <c r="B11" s="17" t="s">
        <v>474</v>
      </c>
      <c r="C11" s="19">
        <v>116</v>
      </c>
      <c r="D11" s="448">
        <v>2203.125</v>
      </c>
      <c r="E11" s="448">
        <v>2036.9168986068935</v>
      </c>
      <c r="F11" s="521">
        <f>+'FedEx Earnings Model'!T36</f>
        <v>2005</v>
      </c>
      <c r="G11" s="454">
        <f t="shared" si="0"/>
        <v>-31.916898606893483</v>
      </c>
      <c r="H11" s="19">
        <v>15</v>
      </c>
      <c r="I11" s="448">
        <v>2226</v>
      </c>
      <c r="J11" s="448">
        <v>2015.8006873789627</v>
      </c>
      <c r="K11" s="19">
        <v>15</v>
      </c>
      <c r="L11" s="448">
        <v>2983</v>
      </c>
      <c r="M11" s="448">
        <v>3055.5600825338324</v>
      </c>
      <c r="N11" s="19">
        <v>6</v>
      </c>
      <c r="O11" s="448">
        <v>2455</v>
      </c>
      <c r="P11" s="448">
        <v>2324.0616542820117</v>
      </c>
      <c r="Q11" s="19"/>
      <c r="R11" s="448"/>
      <c r="S11" s="443">
        <v>2363.7761610327948</v>
      </c>
      <c r="T11" s="11"/>
    </row>
    <row r="12" spans="2:20" x14ac:dyDescent="0.25">
      <c r="B12" s="17" t="s">
        <v>475</v>
      </c>
      <c r="C12" s="19">
        <v>13</v>
      </c>
      <c r="D12" s="448">
        <v>1413.538</v>
      </c>
      <c r="E12" s="448">
        <v>1293.3840928006919</v>
      </c>
      <c r="F12" s="521">
        <f>+'FedEx Earnings Model'!T35</f>
        <v>1177</v>
      </c>
      <c r="G12" s="454">
        <f t="shared" si="0"/>
        <v>-116.38409280069186</v>
      </c>
      <c r="H12" s="19">
        <v>11</v>
      </c>
      <c r="I12" s="448">
        <v>1361</v>
      </c>
      <c r="J12" s="448">
        <v>1262.8353580839478</v>
      </c>
      <c r="K12" s="19">
        <v>11</v>
      </c>
      <c r="L12" s="448">
        <v>2173</v>
      </c>
      <c r="M12" s="448">
        <v>2283.2853030347765</v>
      </c>
      <c r="N12" s="19">
        <v>3</v>
      </c>
      <c r="O12" s="448">
        <v>1615</v>
      </c>
      <c r="P12" s="448">
        <v>1523.2027162111144</v>
      </c>
      <c r="Q12" s="19"/>
      <c r="R12" s="448"/>
      <c r="S12" s="443">
        <v>1544.0140055777156</v>
      </c>
      <c r="T12" s="11"/>
    </row>
    <row r="13" spans="2:20" x14ac:dyDescent="0.25">
      <c r="B13" s="17" t="s">
        <v>476</v>
      </c>
      <c r="C13" s="19">
        <v>15</v>
      </c>
      <c r="D13" s="448">
        <v>1051.8</v>
      </c>
      <c r="E13" s="448">
        <v>1060.5380696005188</v>
      </c>
      <c r="F13" s="521">
        <f>+'FedEx Earnings Model'!T40</f>
        <v>1074.5</v>
      </c>
      <c r="G13" s="454">
        <f t="shared" si="0"/>
        <v>13.961930399481162</v>
      </c>
      <c r="H13" s="19">
        <v>15</v>
      </c>
      <c r="I13" s="448">
        <v>1027</v>
      </c>
      <c r="J13" s="448">
        <v>1037.6265185629609</v>
      </c>
      <c r="K13" s="19">
        <v>15</v>
      </c>
      <c r="L13" s="448">
        <v>1618</v>
      </c>
      <c r="M13" s="448">
        <v>1632.5410973128473</v>
      </c>
      <c r="N13" s="19">
        <v>15</v>
      </c>
      <c r="O13" s="448">
        <v>1185</v>
      </c>
      <c r="P13" s="448">
        <v>1193.9645371583358</v>
      </c>
      <c r="Q13" s="19"/>
      <c r="R13" s="448"/>
      <c r="S13" s="443">
        <v>1209.5730041832867</v>
      </c>
      <c r="T13" s="11"/>
    </row>
    <row r="14" spans="2:20" x14ac:dyDescent="0.25">
      <c r="B14" s="17" t="s">
        <v>478</v>
      </c>
      <c r="C14" s="19">
        <v>24</v>
      </c>
      <c r="D14" s="450">
        <v>3.94</v>
      </c>
      <c r="E14" s="450">
        <v>3.9301580500996711</v>
      </c>
      <c r="F14" s="523">
        <f>+'FedEx Earnings Model'!T45</f>
        <v>4.033408408408409</v>
      </c>
      <c r="G14" s="456">
        <f t="shared" si="0"/>
        <v>0.10325035830873786</v>
      </c>
      <c r="H14" s="19">
        <v>22</v>
      </c>
      <c r="I14" s="450">
        <v>3.85</v>
      </c>
      <c r="J14" s="450">
        <v>3.8409164406225065</v>
      </c>
      <c r="K14" s="19">
        <v>21</v>
      </c>
      <c r="L14" s="450">
        <v>6.05</v>
      </c>
      <c r="M14" s="450">
        <v>6.0277517437607919</v>
      </c>
      <c r="N14" s="19">
        <v>11</v>
      </c>
      <c r="O14" s="450">
        <v>4.43</v>
      </c>
      <c r="P14" s="450">
        <v>4.410645372128859</v>
      </c>
      <c r="Q14" s="19"/>
      <c r="R14" s="450"/>
      <c r="S14" s="445">
        <v>4.4620648913314458</v>
      </c>
      <c r="T14" s="11"/>
    </row>
    <row r="15" spans="2:20" x14ac:dyDescent="0.25">
      <c r="B15" s="17" t="s">
        <v>479</v>
      </c>
      <c r="C15" s="19">
        <v>3</v>
      </c>
      <c r="D15" s="448">
        <v>534</v>
      </c>
      <c r="E15" s="448"/>
      <c r="F15" s="521"/>
      <c r="G15" s="454">
        <f t="shared" si="0"/>
        <v>0</v>
      </c>
      <c r="H15" s="19">
        <v>3</v>
      </c>
      <c r="I15" s="448">
        <v>577</v>
      </c>
      <c r="J15" s="448"/>
      <c r="K15" s="19">
        <v>3</v>
      </c>
      <c r="L15" s="448">
        <v>970</v>
      </c>
      <c r="M15" s="448"/>
      <c r="N15" s="19">
        <v>3</v>
      </c>
      <c r="O15" s="448">
        <v>327</v>
      </c>
      <c r="P15" s="448"/>
      <c r="Q15" s="19"/>
      <c r="R15" s="448"/>
      <c r="S15" s="443"/>
      <c r="T15" s="11"/>
    </row>
    <row r="16" spans="2:20" x14ac:dyDescent="0.25">
      <c r="B16" s="18" t="s">
        <v>480</v>
      </c>
      <c r="C16" s="20">
        <v>2</v>
      </c>
      <c r="D16" s="451">
        <v>1437</v>
      </c>
      <c r="E16" s="451">
        <v>1432.6469999999999</v>
      </c>
      <c r="F16" s="524">
        <f>-'FedEx Earnings Model'!T336</f>
        <v>1455</v>
      </c>
      <c r="G16" s="457">
        <f t="shared" si="0"/>
        <v>22.353000000000065</v>
      </c>
      <c r="H16" s="20">
        <v>2</v>
      </c>
      <c r="I16" s="451">
        <v>1493</v>
      </c>
      <c r="J16" s="451">
        <v>1447.2880068468044</v>
      </c>
      <c r="K16" s="20">
        <v>2</v>
      </c>
      <c r="L16" s="451">
        <v>1493</v>
      </c>
      <c r="M16" s="451">
        <v>1530.116435708147</v>
      </c>
      <c r="N16" s="20">
        <v>3</v>
      </c>
      <c r="O16" s="451">
        <v>1525</v>
      </c>
      <c r="P16" s="451">
        <v>1408.4324902548356</v>
      </c>
      <c r="Q16" s="20"/>
      <c r="R16" s="451"/>
      <c r="S16" s="446">
        <v>1492.0002352391127</v>
      </c>
      <c r="T16" s="11"/>
    </row>
    <row r="17" spans="2:20" ht="6" customHeight="1" x14ac:dyDescent="0.25"/>
    <row r="18" spans="2:20" ht="16.899999999999999" customHeight="1" x14ac:dyDescent="0.25">
      <c r="B18" s="841" t="s">
        <v>483</v>
      </c>
      <c r="C18" s="842"/>
      <c r="D18" s="842"/>
      <c r="E18" s="842"/>
      <c r="F18" s="842"/>
      <c r="G18" s="842"/>
      <c r="H18" s="842"/>
      <c r="I18" s="842"/>
      <c r="J18" s="842"/>
      <c r="K18" s="842"/>
      <c r="L18" s="842"/>
      <c r="M18" s="842"/>
      <c r="N18" s="842"/>
      <c r="O18" s="842"/>
      <c r="P18" s="842"/>
      <c r="Q18" s="842"/>
      <c r="R18" s="842"/>
      <c r="S18" s="843"/>
    </row>
    <row r="19" spans="2:20" ht="16.899999999999999" customHeight="1" x14ac:dyDescent="0.25">
      <c r="B19" s="452"/>
      <c r="C19" s="462"/>
      <c r="D19" s="463"/>
      <c r="E19" s="575" t="s">
        <v>542</v>
      </c>
      <c r="F19" s="463"/>
      <c r="G19" s="463"/>
      <c r="H19" s="824" t="s">
        <v>469</v>
      </c>
      <c r="I19" s="825"/>
      <c r="J19" s="825"/>
      <c r="K19" s="824" t="s">
        <v>470</v>
      </c>
      <c r="L19" s="825"/>
      <c r="M19" s="825"/>
      <c r="N19" s="825" t="s">
        <v>484</v>
      </c>
      <c r="O19" s="825"/>
      <c r="P19" s="826"/>
      <c r="Q19" s="825" t="s">
        <v>541</v>
      </c>
      <c r="R19" s="825"/>
      <c r="S19" s="827"/>
    </row>
    <row r="20" spans="2:20" ht="33.6" customHeight="1" x14ac:dyDescent="0.25">
      <c r="B20" s="573" t="s">
        <v>94</v>
      </c>
      <c r="C20" s="25" t="s">
        <v>95</v>
      </c>
      <c r="D20" s="447" t="s">
        <v>70</v>
      </c>
      <c r="E20" s="447" t="s">
        <v>485</v>
      </c>
      <c r="F20" s="447"/>
      <c r="G20" s="26"/>
      <c r="H20" s="21" t="s">
        <v>95</v>
      </c>
      <c r="I20" s="23" t="s">
        <v>70</v>
      </c>
      <c r="J20" s="23" t="s">
        <v>485</v>
      </c>
      <c r="K20" s="21" t="s">
        <v>95</v>
      </c>
      <c r="L20" s="23" t="s">
        <v>70</v>
      </c>
      <c r="M20" s="23" t="s">
        <v>485</v>
      </c>
      <c r="N20" s="21" t="s">
        <v>95</v>
      </c>
      <c r="O20" s="23" t="s">
        <v>70</v>
      </c>
      <c r="P20" s="23" t="s">
        <v>485</v>
      </c>
      <c r="Q20" s="21" t="s">
        <v>95</v>
      </c>
      <c r="R20" s="23" t="s">
        <v>70</v>
      </c>
      <c r="S20" s="23" t="s">
        <v>485</v>
      </c>
      <c r="T20" s="10"/>
    </row>
    <row r="21" spans="2:20" x14ac:dyDescent="0.25">
      <c r="B21" s="17" t="s">
        <v>473</v>
      </c>
      <c r="C21" s="537"/>
      <c r="D21" s="538"/>
      <c r="E21" s="448">
        <f>+'FedEx Earnings Model'!$T$13</f>
        <v>17824</v>
      </c>
      <c r="F21" s="458"/>
      <c r="G21" s="459"/>
      <c r="H21" s="19">
        <v>19</v>
      </c>
      <c r="I21" s="448">
        <v>17704.400000000001</v>
      </c>
      <c r="J21" s="448">
        <f>+'FedEx Earnings Model'!$U$13</f>
        <v>17010</v>
      </c>
      <c r="K21" s="19">
        <v>19</v>
      </c>
      <c r="L21" s="448">
        <v>18454.7</v>
      </c>
      <c r="M21" s="448">
        <f>+'FedEx Earnings Model'!$V$13</f>
        <v>18006.0819659023</v>
      </c>
      <c r="N21" s="19">
        <v>8</v>
      </c>
      <c r="O21" s="448">
        <v>17777.3</v>
      </c>
      <c r="P21" s="448">
        <f>+'FedEx Earnings Model'!$X$13</f>
        <v>17434.828131639068</v>
      </c>
      <c r="Q21" s="19">
        <v>7</v>
      </c>
      <c r="R21" s="448">
        <v>18593</v>
      </c>
      <c r="S21" s="443">
        <f>+'FedEx Earnings Model'!$Y$13</f>
        <v>18211.57351620838</v>
      </c>
      <c r="T21" s="11"/>
    </row>
    <row r="22" spans="2:20" x14ac:dyDescent="0.25">
      <c r="B22" s="17" t="s">
        <v>477</v>
      </c>
      <c r="C22" s="537"/>
      <c r="D22" s="538"/>
      <c r="E22" s="448">
        <f>+'FedEx Earnings Model'!$T$27</f>
        <v>1328</v>
      </c>
      <c r="F22" s="448"/>
      <c r="G22" s="459"/>
      <c r="H22" s="19">
        <v>13</v>
      </c>
      <c r="I22" s="448">
        <v>1164.2</v>
      </c>
      <c r="J22" s="448">
        <f>+'FedEx Earnings Model'!$U$27</f>
        <v>984</v>
      </c>
      <c r="K22" s="19">
        <v>13</v>
      </c>
      <c r="L22" s="448">
        <v>1934.3</v>
      </c>
      <c r="M22" s="448">
        <f>+'FedEx Earnings Model'!$V$27</f>
        <v>1822.2367224103002</v>
      </c>
      <c r="N22" s="19">
        <v>5</v>
      </c>
      <c r="O22" s="448">
        <v>1457.6</v>
      </c>
      <c r="P22" s="448">
        <f>+'FedEx Earnings Model'!$X$27</f>
        <v>1329.5195419487536</v>
      </c>
      <c r="Q22" s="19">
        <v>5</v>
      </c>
      <c r="R22" s="448">
        <v>1490</v>
      </c>
      <c r="S22" s="443">
        <f>+'FedEx Earnings Model'!$Y$27</f>
        <v>1322.7608000514811</v>
      </c>
      <c r="T22" s="11"/>
    </row>
    <row r="23" spans="2:20" x14ac:dyDescent="0.25">
      <c r="B23" s="17" t="s">
        <v>481</v>
      </c>
      <c r="C23" s="537"/>
      <c r="D23" s="449"/>
      <c r="E23" s="449">
        <f>+E22/E21</f>
        <v>7.4506283662477552E-2</v>
      </c>
      <c r="F23" s="449"/>
      <c r="G23" s="441"/>
      <c r="H23" s="19"/>
      <c r="I23" s="449">
        <f>+I22/I21</f>
        <v>6.5757664761302279E-2</v>
      </c>
      <c r="J23" s="449">
        <f>+J22/J21</f>
        <v>5.7848324514991181E-2</v>
      </c>
      <c r="K23" s="19"/>
      <c r="L23" s="449">
        <f>+L22/L21</f>
        <v>0.10481340796653427</v>
      </c>
      <c r="M23" s="449">
        <f>+M22/M21</f>
        <v>0.10120117890505151</v>
      </c>
      <c r="N23" s="19"/>
      <c r="O23" s="449">
        <f>+O22/O21</f>
        <v>8.1992203540470154E-2</v>
      </c>
      <c r="P23" s="449">
        <f>+P22/P21</f>
        <v>7.6256532723489714E-2</v>
      </c>
      <c r="Q23" s="19"/>
      <c r="R23" s="449">
        <f>+R22/R21</f>
        <v>8.0137686225999039E-2</v>
      </c>
      <c r="S23" s="444">
        <f>+S22/S21</f>
        <v>7.2632976984345593E-2</v>
      </c>
      <c r="T23" s="11"/>
    </row>
    <row r="24" spans="2:20" x14ac:dyDescent="0.25">
      <c r="B24" s="17" t="s">
        <v>474</v>
      </c>
      <c r="C24" s="537"/>
      <c r="D24" s="538"/>
      <c r="E24" s="448">
        <f>+'FedEx Earnings Model'!$T$36</f>
        <v>2005</v>
      </c>
      <c r="F24" s="448"/>
      <c r="G24" s="459"/>
      <c r="H24" s="19">
        <v>16</v>
      </c>
      <c r="I24" s="448">
        <v>1962.1</v>
      </c>
      <c r="J24" s="448">
        <f>+'FedEx Earnings Model'!$U$36</f>
        <v>1782</v>
      </c>
      <c r="K24" s="19">
        <v>16</v>
      </c>
      <c r="L24" s="448">
        <v>2745.9</v>
      </c>
      <c r="M24" s="448">
        <f>+'FedEx Earnings Model'!$V$36</f>
        <v>2264.6839483223794</v>
      </c>
      <c r="N24" s="19">
        <v>7</v>
      </c>
      <c r="O24" s="448">
        <v>2223.6</v>
      </c>
      <c r="P24" s="448">
        <f>+'FedEx Earnings Model'!$X$36</f>
        <v>2015.4660114686544</v>
      </c>
      <c r="Q24" s="19">
        <v>6</v>
      </c>
      <c r="R24" s="448">
        <v>2312.6999999999998</v>
      </c>
      <c r="S24" s="443">
        <f>+'FedEx Earnings Model'!$Y$36</f>
        <v>2077.3075814012391</v>
      </c>
      <c r="T24" s="11"/>
    </row>
    <row r="25" spans="2:20" x14ac:dyDescent="0.25">
      <c r="B25" s="17" t="s">
        <v>475</v>
      </c>
      <c r="C25" s="537"/>
      <c r="D25" s="538"/>
      <c r="E25" s="448">
        <f>+'FedEx Earnings Model'!$T$35</f>
        <v>1177</v>
      </c>
      <c r="F25" s="448"/>
      <c r="G25" s="459"/>
      <c r="H25" s="19">
        <v>13</v>
      </c>
      <c r="I25" s="448">
        <v>1124.9000000000001</v>
      </c>
      <c r="J25" s="448">
        <f>+'FedEx Earnings Model'!$U$35</f>
        <v>931</v>
      </c>
      <c r="K25" s="19">
        <v>13</v>
      </c>
      <c r="L25" s="448">
        <v>1936.7</v>
      </c>
      <c r="M25" s="448">
        <f>+'FedEx Earnings Model'!$V$35</f>
        <v>1402.8230423066354</v>
      </c>
      <c r="N25" s="19">
        <v>5</v>
      </c>
      <c r="O25" s="448">
        <v>1360.4</v>
      </c>
      <c r="P25" s="448">
        <f>+'FedEx Earnings Model'!$X$35</f>
        <v>1128.2847919207773</v>
      </c>
      <c r="Q25" s="19">
        <v>5</v>
      </c>
      <c r="R25" s="448">
        <v>1447.4</v>
      </c>
      <c r="S25" s="443">
        <f>+'FedEx Earnings Model'!$Y$35</f>
        <v>1170.3506766386879</v>
      </c>
      <c r="T25" s="11"/>
    </row>
    <row r="26" spans="2:20" x14ac:dyDescent="0.25">
      <c r="B26" s="17" t="s">
        <v>476</v>
      </c>
      <c r="C26" s="537"/>
      <c r="D26" s="538"/>
      <c r="E26" s="448">
        <f>+'FedEx Earnings Model'!$T$40</f>
        <v>1074.5</v>
      </c>
      <c r="F26" s="448"/>
      <c r="G26" s="459"/>
      <c r="H26" s="19">
        <v>16</v>
      </c>
      <c r="I26" s="448">
        <v>860</v>
      </c>
      <c r="J26" s="448">
        <f>+'FedEx Earnings Model'!$U$40</f>
        <v>797</v>
      </c>
      <c r="K26" s="19">
        <v>16</v>
      </c>
      <c r="L26" s="448">
        <v>1432.3</v>
      </c>
      <c r="M26" s="448">
        <f>+'FedEx Earnings Model'!$V$40</f>
        <v>1397.4055121530432</v>
      </c>
      <c r="N26" s="19">
        <v>6</v>
      </c>
      <c r="O26" s="448">
        <v>1054.3</v>
      </c>
      <c r="P26" s="448">
        <f>+'FedEx Earnings Model'!$X$40</f>
        <v>992.276093940583</v>
      </c>
      <c r="Q26" s="19">
        <v>5</v>
      </c>
      <c r="R26" s="448">
        <v>1089.8</v>
      </c>
      <c r="S26" s="443">
        <f>+'FedEx Earnings Model'!$Y$40</f>
        <v>986.02550747901591</v>
      </c>
      <c r="T26" s="11"/>
    </row>
    <row r="27" spans="2:20" x14ac:dyDescent="0.25">
      <c r="B27" s="17" t="s">
        <v>478</v>
      </c>
      <c r="C27" s="537"/>
      <c r="D27" s="539"/>
      <c r="E27" s="450">
        <f>+'FedEx Earnings Model'!$T$45</f>
        <v>4.033408408408409</v>
      </c>
      <c r="F27" s="450"/>
      <c r="G27" s="460"/>
      <c r="H27" s="19">
        <v>22</v>
      </c>
      <c r="I27" s="450">
        <v>3.25</v>
      </c>
      <c r="J27" s="450">
        <f>+'FedEx Earnings Model'!$U$45</f>
        <v>3.0250123353702505</v>
      </c>
      <c r="K27" s="19">
        <v>22</v>
      </c>
      <c r="L27" s="450">
        <v>5.35</v>
      </c>
      <c r="M27" s="450">
        <f>+'FedEx Earnings Model'!$V$45</f>
        <v>5.3420695950782431</v>
      </c>
      <c r="N27" s="19">
        <v>13</v>
      </c>
      <c r="O27" s="450">
        <v>3.89</v>
      </c>
      <c r="P27" s="450">
        <f>+'FedEx Earnings Model'!$X$45</f>
        <v>3.8368669309260692</v>
      </c>
      <c r="Q27" s="19">
        <v>12</v>
      </c>
      <c r="R27" s="450">
        <v>4.1500000000000004</v>
      </c>
      <c r="S27" s="445">
        <f>+'FedEx Earnings Model'!$Y$45</f>
        <v>3.8554707088030651</v>
      </c>
      <c r="T27" s="11"/>
    </row>
    <row r="28" spans="2:20" x14ac:dyDescent="0.25">
      <c r="B28" s="17" t="s">
        <v>479</v>
      </c>
      <c r="C28" s="537"/>
      <c r="D28" s="538"/>
      <c r="E28" s="448"/>
      <c r="F28" s="448"/>
      <c r="G28" s="459"/>
      <c r="H28" s="19"/>
      <c r="I28" s="448"/>
      <c r="J28" s="448"/>
      <c r="K28" s="19"/>
      <c r="L28" s="448"/>
      <c r="M28" s="448"/>
      <c r="N28" s="19"/>
      <c r="O28" s="448"/>
      <c r="P28" s="448"/>
      <c r="Q28" s="19"/>
      <c r="R28" s="448"/>
      <c r="S28" s="443"/>
      <c r="T28" s="11"/>
    </row>
    <row r="29" spans="2:20" x14ac:dyDescent="0.25">
      <c r="B29" s="18" t="s">
        <v>480</v>
      </c>
      <c r="C29" s="540"/>
      <c r="D29" s="541"/>
      <c r="E29" s="451">
        <f>-'FedEx Earnings Model'!$T$336</f>
        <v>1455</v>
      </c>
      <c r="F29" s="451"/>
      <c r="G29" s="461"/>
      <c r="H29" s="20">
        <v>2</v>
      </c>
      <c r="I29" s="451">
        <v>1483</v>
      </c>
      <c r="J29" s="451">
        <f>-'FedEx Earnings Model'!$U$336</f>
        <v>1123</v>
      </c>
      <c r="K29" s="20">
        <v>2</v>
      </c>
      <c r="L29" s="451">
        <v>1483</v>
      </c>
      <c r="M29" s="451">
        <f>-'FedEx Earnings Model'!$V$336</f>
        <v>1476.1770790963606</v>
      </c>
      <c r="N29" s="20">
        <v>2</v>
      </c>
      <c r="O29" s="451">
        <v>1602.5</v>
      </c>
      <c r="P29" s="451">
        <f>-'FedEx Earnings Model'!$X$336</f>
        <v>1302.2730556794222</v>
      </c>
      <c r="Q29" s="20">
        <v>2</v>
      </c>
      <c r="R29" s="451">
        <v>1602.5</v>
      </c>
      <c r="S29" s="446">
        <f>-'FedEx Earnings Model'!$Y$336</f>
        <v>1385.5702232340002</v>
      </c>
      <c r="T29" s="11"/>
    </row>
    <row r="30" spans="2:20" ht="8.4499999999999993" customHeight="1" x14ac:dyDescent="0.25">
      <c r="C30" s="8"/>
      <c r="D30" s="8"/>
      <c r="E30" s="8"/>
      <c r="F30" s="8"/>
      <c r="G30" s="8"/>
      <c r="H30" s="8"/>
      <c r="I30" s="8"/>
      <c r="J30" s="8"/>
      <c r="M30" s="8"/>
      <c r="N30" s="7"/>
      <c r="P30" s="8"/>
      <c r="Q30" s="7"/>
      <c r="S30" s="8"/>
    </row>
    <row r="31" spans="2:20" ht="16.899999999999999" customHeight="1" x14ac:dyDescent="0.25">
      <c r="B31" s="828" t="s">
        <v>491</v>
      </c>
      <c r="C31" s="829"/>
      <c r="D31" s="829"/>
      <c r="E31" s="829"/>
      <c r="F31" s="829"/>
      <c r="G31" s="829"/>
      <c r="H31" s="829"/>
      <c r="I31" s="829"/>
      <c r="J31" s="829"/>
      <c r="K31" s="829"/>
      <c r="L31" s="829"/>
      <c r="M31" s="829"/>
      <c r="N31" s="829"/>
      <c r="O31" s="829"/>
      <c r="P31" s="829"/>
      <c r="Q31" s="829"/>
      <c r="R31" s="829"/>
      <c r="S31" s="830"/>
    </row>
    <row r="32" spans="2:20" ht="16.899999999999999" customHeight="1" x14ac:dyDescent="0.25">
      <c r="B32" s="452"/>
      <c r="C32" s="462"/>
      <c r="D32" s="463"/>
      <c r="E32" s="575" t="s">
        <v>542</v>
      </c>
      <c r="F32" s="463"/>
      <c r="G32" s="463"/>
      <c r="H32" s="824" t="s">
        <v>469</v>
      </c>
      <c r="I32" s="825"/>
      <c r="J32" s="825"/>
      <c r="K32" s="824" t="s">
        <v>470</v>
      </c>
      <c r="L32" s="825"/>
      <c r="M32" s="825"/>
      <c r="N32" s="825" t="s">
        <v>484</v>
      </c>
      <c r="O32" s="825"/>
      <c r="P32" s="826"/>
      <c r="Q32" s="825" t="s">
        <v>541</v>
      </c>
      <c r="R32" s="825"/>
      <c r="S32" s="827"/>
    </row>
    <row r="33" spans="2:20" ht="33.6" customHeight="1" x14ac:dyDescent="0.25">
      <c r="B33" s="573" t="s">
        <v>94</v>
      </c>
      <c r="C33" s="25"/>
      <c r="D33" s="447" t="s">
        <v>70</v>
      </c>
      <c r="E33" s="447" t="s">
        <v>485</v>
      </c>
      <c r="F33" s="23"/>
      <c r="G33" s="22"/>
      <c r="H33" s="21"/>
      <c r="I33" s="23" t="s">
        <v>70</v>
      </c>
      <c r="J33" s="23" t="s">
        <v>485</v>
      </c>
      <c r="K33" s="21"/>
      <c r="L33" s="23" t="s">
        <v>70</v>
      </c>
      <c r="M33" s="23" t="s">
        <v>485</v>
      </c>
      <c r="N33" s="21"/>
      <c r="O33" s="23" t="s">
        <v>70</v>
      </c>
      <c r="P33" s="23" t="s">
        <v>485</v>
      </c>
      <c r="Q33" s="21"/>
      <c r="R33" s="23" t="s">
        <v>70</v>
      </c>
      <c r="S33" s="24" t="s">
        <v>485</v>
      </c>
      <c r="T33" s="10"/>
    </row>
    <row r="34" spans="2:20" x14ac:dyDescent="0.25">
      <c r="B34" s="17" t="s">
        <v>473</v>
      </c>
      <c r="C34" s="19"/>
      <c r="D34" s="448">
        <f>+F8-D8</f>
        <v>137.34999999999854</v>
      </c>
      <c r="E34" s="448">
        <f>+E21-E8</f>
        <v>137</v>
      </c>
      <c r="F34" s="458"/>
      <c r="G34" s="459"/>
      <c r="H34" s="19"/>
      <c r="I34" s="448">
        <f>+I21-I8</f>
        <v>-184.59999999999854</v>
      </c>
      <c r="J34" s="448">
        <f>+J21-J8</f>
        <v>-857.75317094820275</v>
      </c>
      <c r="K34" s="19"/>
      <c r="L34" s="448">
        <f>+L21-L8</f>
        <v>-237.29999999999927</v>
      </c>
      <c r="M34" s="448">
        <f>+M21-M8</f>
        <v>-657.94035830335633</v>
      </c>
      <c r="N34" s="19"/>
      <c r="O34" s="448">
        <f>+O21-O8</f>
        <v>-248.70000000000073</v>
      </c>
      <c r="P34" s="448">
        <f>+P21-P8</f>
        <v>-557.20504656707635</v>
      </c>
      <c r="Q34" s="19"/>
      <c r="R34" s="448"/>
      <c r="S34" s="443">
        <f>+S21-S8</f>
        <v>-307.46316103322533</v>
      </c>
      <c r="T34" s="11"/>
    </row>
    <row r="35" spans="2:20" x14ac:dyDescent="0.25">
      <c r="B35" s="17" t="s">
        <v>477</v>
      </c>
      <c r="C35" s="19"/>
      <c r="D35" s="448">
        <f t="shared" ref="D35:D42" si="1">+F9-D9</f>
        <v>-105</v>
      </c>
      <c r="E35" s="448">
        <f t="shared" ref="E35:E42" si="2">+E22-E9</f>
        <v>-67.111100662858689</v>
      </c>
      <c r="F35" s="448"/>
      <c r="G35" s="459"/>
      <c r="H35" s="19"/>
      <c r="I35" s="448">
        <f t="shared" ref="I35:J42" si="3">+I22-I9</f>
        <v>-218.79999999999995</v>
      </c>
      <c r="J35" s="448">
        <f t="shared" si="3"/>
        <v>-385.38627660802626</v>
      </c>
      <c r="K35" s="19"/>
      <c r="L35" s="448">
        <f t="shared" ref="L35:M42" si="4">+L22-L9</f>
        <v>-232.70000000000005</v>
      </c>
      <c r="M35" s="448">
        <f t="shared" si="4"/>
        <v>-338.44714673005024</v>
      </c>
      <c r="N35" s="19"/>
      <c r="O35" s="448">
        <f t="shared" ref="O35:P42" si="5">+O22-O9</f>
        <v>-174.40000000000009</v>
      </c>
      <c r="P35" s="448">
        <f t="shared" si="5"/>
        <v>-256.24408816707728</v>
      </c>
      <c r="Q35" s="19"/>
      <c r="R35" s="448"/>
      <c r="S35" s="443">
        <f t="shared" ref="S35:S42" si="6">+S22-S9</f>
        <v>-284.00064144347925</v>
      </c>
      <c r="T35" s="11"/>
    </row>
    <row r="36" spans="2:20" x14ac:dyDescent="0.25">
      <c r="B36" s="17" t="s">
        <v>481</v>
      </c>
      <c r="C36" s="19"/>
      <c r="D36" s="448">
        <f t="shared" si="1"/>
        <v>-6.5152777977198206E-3</v>
      </c>
      <c r="E36" s="449">
        <f t="shared" si="2"/>
        <v>-4.371485357868396E-3</v>
      </c>
      <c r="F36" s="449"/>
      <c r="G36" s="441"/>
      <c r="H36" s="19"/>
      <c r="I36" s="449">
        <f t="shared" si="3"/>
        <v>-1.1548518308420339E-2</v>
      </c>
      <c r="J36" s="449">
        <f t="shared" si="3"/>
        <v>-1.8791769150202198E-2</v>
      </c>
      <c r="K36" s="19"/>
      <c r="L36" s="449">
        <f t="shared" si="4"/>
        <v>-1.1103342880779091E-2</v>
      </c>
      <c r="M36" s="449">
        <f t="shared" si="4"/>
        <v>-1.4566142394073084E-2</v>
      </c>
      <c r="N36" s="19"/>
      <c r="O36" s="449">
        <f t="shared" si="5"/>
        <v>-8.5673146082062834E-3</v>
      </c>
      <c r="P36" s="449">
        <f t="shared" si="5"/>
        <v>-1.1880456265429884E-2</v>
      </c>
      <c r="Q36" s="19"/>
      <c r="R36" s="449"/>
      <c r="S36" s="444">
        <f t="shared" si="6"/>
        <v>-1.412971318676573E-2</v>
      </c>
      <c r="T36" s="11"/>
    </row>
    <row r="37" spans="2:20" x14ac:dyDescent="0.25">
      <c r="B37" s="17" t="s">
        <v>474</v>
      </c>
      <c r="C37" s="19"/>
      <c r="D37" s="448">
        <f t="shared" si="1"/>
        <v>-198.125</v>
      </c>
      <c r="E37" s="448">
        <f t="shared" si="2"/>
        <v>-31.916898606893483</v>
      </c>
      <c r="F37" s="448"/>
      <c r="G37" s="459"/>
      <c r="H37" s="19"/>
      <c r="I37" s="448">
        <f t="shared" si="3"/>
        <v>-263.90000000000009</v>
      </c>
      <c r="J37" s="448">
        <f t="shared" si="3"/>
        <v>-233.80068737896272</v>
      </c>
      <c r="K37" s="19"/>
      <c r="L37" s="448">
        <f t="shared" si="4"/>
        <v>-237.09999999999991</v>
      </c>
      <c r="M37" s="448">
        <f t="shared" si="4"/>
        <v>-790.87613421145306</v>
      </c>
      <c r="N37" s="19"/>
      <c r="O37" s="448">
        <f t="shared" si="5"/>
        <v>-231.40000000000009</v>
      </c>
      <c r="P37" s="448">
        <f t="shared" si="5"/>
        <v>-308.59564281335724</v>
      </c>
      <c r="Q37" s="19"/>
      <c r="R37" s="448"/>
      <c r="S37" s="443">
        <f t="shared" si="6"/>
        <v>-286.46857963155571</v>
      </c>
      <c r="T37" s="11"/>
    </row>
    <row r="38" spans="2:20" x14ac:dyDescent="0.25">
      <c r="B38" s="17" t="s">
        <v>475</v>
      </c>
      <c r="C38" s="19"/>
      <c r="D38" s="448">
        <f t="shared" si="1"/>
        <v>-236.53800000000001</v>
      </c>
      <c r="E38" s="448">
        <f t="shared" si="2"/>
        <v>-116.38409280069186</v>
      </c>
      <c r="F38" s="448"/>
      <c r="G38" s="459"/>
      <c r="H38" s="19"/>
      <c r="I38" s="448">
        <f t="shared" si="3"/>
        <v>-236.09999999999991</v>
      </c>
      <c r="J38" s="448">
        <f t="shared" si="3"/>
        <v>-331.83535808394777</v>
      </c>
      <c r="K38" s="19"/>
      <c r="L38" s="448">
        <f t="shared" si="4"/>
        <v>-236.29999999999995</v>
      </c>
      <c r="M38" s="448">
        <f t="shared" si="4"/>
        <v>-880.46226072814102</v>
      </c>
      <c r="N38" s="19"/>
      <c r="O38" s="448">
        <f t="shared" si="5"/>
        <v>-254.59999999999991</v>
      </c>
      <c r="P38" s="448">
        <f t="shared" si="5"/>
        <v>-394.91792429033717</v>
      </c>
      <c r="Q38" s="19"/>
      <c r="R38" s="448"/>
      <c r="S38" s="443">
        <f t="shared" si="6"/>
        <v>-373.66332893902768</v>
      </c>
      <c r="T38" s="11"/>
    </row>
    <row r="39" spans="2:20" x14ac:dyDescent="0.25">
      <c r="B39" s="17" t="s">
        <v>476</v>
      </c>
      <c r="C39" s="19"/>
      <c r="D39" s="448">
        <f t="shared" si="1"/>
        <v>22.700000000000045</v>
      </c>
      <c r="E39" s="448">
        <f t="shared" si="2"/>
        <v>13.961930399481162</v>
      </c>
      <c r="F39" s="448"/>
      <c r="G39" s="459"/>
      <c r="H39" s="19"/>
      <c r="I39" s="448">
        <f t="shared" si="3"/>
        <v>-167</v>
      </c>
      <c r="J39" s="448">
        <f t="shared" si="3"/>
        <v>-240.62651856296088</v>
      </c>
      <c r="K39" s="19"/>
      <c r="L39" s="448">
        <f t="shared" si="4"/>
        <v>-185.70000000000005</v>
      </c>
      <c r="M39" s="448">
        <f t="shared" si="4"/>
        <v>-235.13558515980412</v>
      </c>
      <c r="N39" s="19"/>
      <c r="O39" s="448">
        <f t="shared" si="5"/>
        <v>-130.70000000000005</v>
      </c>
      <c r="P39" s="448">
        <f t="shared" si="5"/>
        <v>-201.68844321775282</v>
      </c>
      <c r="Q39" s="19"/>
      <c r="R39" s="448"/>
      <c r="S39" s="443">
        <f t="shared" si="6"/>
        <v>-223.54749670427077</v>
      </c>
      <c r="T39" s="11"/>
    </row>
    <row r="40" spans="2:20" x14ac:dyDescent="0.25">
      <c r="B40" s="17" t="s">
        <v>478</v>
      </c>
      <c r="C40" s="19"/>
      <c r="D40" s="450">
        <f t="shared" si="1"/>
        <v>9.3408408408409027E-2</v>
      </c>
      <c r="E40" s="450">
        <f t="shared" si="2"/>
        <v>0.10325035830873786</v>
      </c>
      <c r="F40" s="450"/>
      <c r="G40" s="460"/>
      <c r="H40" s="19"/>
      <c r="I40" s="450">
        <f t="shared" si="3"/>
        <v>-0.60000000000000009</v>
      </c>
      <c r="J40" s="450">
        <f t="shared" si="3"/>
        <v>-0.81590410525225598</v>
      </c>
      <c r="K40" s="19"/>
      <c r="L40" s="450">
        <f t="shared" si="4"/>
        <v>-0.70000000000000018</v>
      </c>
      <c r="M40" s="450">
        <f t="shared" si="4"/>
        <v>-0.68568214868254884</v>
      </c>
      <c r="N40" s="19"/>
      <c r="O40" s="450">
        <f t="shared" si="5"/>
        <v>-0.53999999999999959</v>
      </c>
      <c r="P40" s="450">
        <f t="shared" si="5"/>
        <v>-0.57377844120278976</v>
      </c>
      <c r="Q40" s="19"/>
      <c r="R40" s="450"/>
      <c r="S40" s="445">
        <f t="shared" si="6"/>
        <v>-0.60659418252838071</v>
      </c>
      <c r="T40" s="11"/>
    </row>
    <row r="41" spans="2:20" x14ac:dyDescent="0.25">
      <c r="B41" s="17" t="s">
        <v>479</v>
      </c>
      <c r="C41" s="19"/>
      <c r="D41" s="448">
        <f t="shared" si="1"/>
        <v>-534</v>
      </c>
      <c r="E41" s="448">
        <f t="shared" si="2"/>
        <v>0</v>
      </c>
      <c r="F41" s="448"/>
      <c r="G41" s="459"/>
      <c r="H41" s="19"/>
      <c r="I41" s="448">
        <f t="shared" si="3"/>
        <v>-577</v>
      </c>
      <c r="J41" s="448">
        <f t="shared" si="3"/>
        <v>0</v>
      </c>
      <c r="K41" s="19"/>
      <c r="L41" s="448">
        <f t="shared" si="4"/>
        <v>-970</v>
      </c>
      <c r="M41" s="448">
        <f t="shared" si="4"/>
        <v>0</v>
      </c>
      <c r="N41" s="19"/>
      <c r="O41" s="448">
        <f t="shared" si="5"/>
        <v>-327</v>
      </c>
      <c r="P41" s="448">
        <f t="shared" si="5"/>
        <v>0</v>
      </c>
      <c r="Q41" s="19"/>
      <c r="R41" s="448"/>
      <c r="S41" s="443">
        <f t="shared" si="6"/>
        <v>0</v>
      </c>
      <c r="T41" s="11"/>
    </row>
    <row r="42" spans="2:20" x14ac:dyDescent="0.25">
      <c r="B42" s="18" t="s">
        <v>480</v>
      </c>
      <c r="C42" s="20"/>
      <c r="D42" s="451">
        <f t="shared" si="1"/>
        <v>18</v>
      </c>
      <c r="E42" s="451">
        <f t="shared" si="2"/>
        <v>22.353000000000065</v>
      </c>
      <c r="F42" s="451"/>
      <c r="G42" s="461"/>
      <c r="H42" s="20"/>
      <c r="I42" s="451">
        <f t="shared" si="3"/>
        <v>-10</v>
      </c>
      <c r="J42" s="451">
        <f t="shared" si="3"/>
        <v>-324.28800684680436</v>
      </c>
      <c r="K42" s="20"/>
      <c r="L42" s="451">
        <f t="shared" si="4"/>
        <v>-10</v>
      </c>
      <c r="M42" s="451">
        <f t="shared" si="4"/>
        <v>-53.939356611786479</v>
      </c>
      <c r="N42" s="20"/>
      <c r="O42" s="451">
        <f t="shared" si="5"/>
        <v>77.5</v>
      </c>
      <c r="P42" s="451">
        <f t="shared" si="5"/>
        <v>-106.15943457541334</v>
      </c>
      <c r="Q42" s="20"/>
      <c r="R42" s="451"/>
      <c r="S42" s="446">
        <f t="shared" si="6"/>
        <v>-106.43001200511253</v>
      </c>
      <c r="T42" s="11"/>
    </row>
    <row r="43" spans="2:20" ht="12.6" customHeight="1" x14ac:dyDescent="0.25">
      <c r="B43" s="7"/>
      <c r="C43" s="8"/>
      <c r="D43" s="8"/>
      <c r="E43" s="8"/>
      <c r="F43" s="8"/>
      <c r="G43" s="8"/>
      <c r="H43" s="8"/>
      <c r="I43" s="8"/>
      <c r="J43" s="8"/>
      <c r="M43" s="8"/>
      <c r="P43" s="8"/>
      <c r="S43" s="8"/>
    </row>
    <row r="44" spans="2:20" ht="21" customHeight="1" x14ac:dyDescent="0.25">
      <c r="B44" s="7"/>
      <c r="C44" s="13"/>
      <c r="D44" s="14"/>
      <c r="E44" s="14"/>
      <c r="F44" s="14"/>
      <c r="G44" s="14"/>
      <c r="H44" s="14"/>
      <c r="I44" s="14"/>
      <c r="J44" s="14"/>
      <c r="L44" s="7"/>
      <c r="M44" s="14"/>
      <c r="P44" s="14"/>
      <c r="S44" s="14"/>
    </row>
    <row r="45" spans="2:20" s="5" customFormat="1" ht="21" customHeight="1" x14ac:dyDescent="0.25">
      <c r="C45" s="14"/>
      <c r="D45" s="14"/>
      <c r="E45" s="14"/>
      <c r="F45" s="14"/>
      <c r="G45" s="14"/>
      <c r="H45" s="14"/>
      <c r="I45" s="14"/>
      <c r="J45" s="14"/>
      <c r="L45" s="817"/>
      <c r="M45" s="817"/>
      <c r="N45" s="817"/>
      <c r="O45" s="817"/>
      <c r="P45" s="817"/>
      <c r="Q45" s="817"/>
      <c r="R45" s="817"/>
      <c r="S45" s="817"/>
      <c r="T45" s="817"/>
    </row>
    <row r="46" spans="2:20" ht="21" customHeight="1" x14ac:dyDescent="0.25">
      <c r="C46" s="8"/>
      <c r="D46" s="12"/>
      <c r="E46" s="12"/>
      <c r="F46" s="12"/>
      <c r="G46" s="12"/>
      <c r="H46" s="12"/>
      <c r="I46" s="12"/>
      <c r="J46" s="12"/>
      <c r="K46" s="9"/>
      <c r="M46" s="12"/>
      <c r="P46" s="12"/>
      <c r="S46" s="12"/>
    </row>
    <row r="47" spans="2:20" ht="21" customHeight="1" x14ac:dyDescent="0.25">
      <c r="C47" s="8"/>
      <c r="D47" s="12"/>
      <c r="E47" s="12"/>
      <c r="F47" s="12"/>
      <c r="G47" s="12"/>
      <c r="H47" s="12"/>
      <c r="I47" s="12"/>
      <c r="J47" s="12"/>
      <c r="K47" s="9"/>
      <c r="M47" s="12"/>
      <c r="P47" s="12"/>
      <c r="S47" s="12"/>
    </row>
    <row r="48" spans="2:20" ht="21" customHeight="1" x14ac:dyDescent="0.25">
      <c r="C48" s="8"/>
      <c r="D48" s="12"/>
      <c r="E48" s="12"/>
      <c r="F48" s="12"/>
      <c r="G48" s="12"/>
      <c r="H48" s="12"/>
      <c r="I48" s="12"/>
      <c r="J48" s="12"/>
      <c r="K48" s="9"/>
      <c r="M48" s="12"/>
      <c r="P48" s="12"/>
      <c r="S48" s="12"/>
    </row>
    <row r="49" spans="3:19" ht="21" customHeight="1" x14ac:dyDescent="0.25">
      <c r="C49" s="8"/>
      <c r="D49" s="12"/>
      <c r="E49" s="12"/>
      <c r="F49" s="12"/>
      <c r="G49" s="12"/>
      <c r="H49" s="12"/>
      <c r="I49" s="12"/>
      <c r="J49" s="12"/>
      <c r="K49" s="9"/>
      <c r="M49" s="12"/>
      <c r="P49" s="12"/>
      <c r="S49" s="12"/>
    </row>
    <row r="50" spans="3:19" ht="21" customHeight="1" x14ac:dyDescent="0.25">
      <c r="C50" s="8"/>
      <c r="D50" s="12"/>
      <c r="E50" s="12"/>
      <c r="F50" s="12"/>
      <c r="G50" s="12"/>
      <c r="H50" s="12"/>
      <c r="I50" s="15"/>
      <c r="J50" s="12"/>
      <c r="K50" s="9"/>
      <c r="M50" s="12"/>
      <c r="P50" s="12"/>
      <c r="S50" s="12"/>
    </row>
    <row r="51" spans="3:19" ht="21" customHeight="1" x14ac:dyDescent="0.25">
      <c r="C51" s="8"/>
      <c r="D51" s="12"/>
      <c r="E51" s="12"/>
      <c r="F51" s="12"/>
      <c r="G51" s="12"/>
      <c r="H51" s="16"/>
      <c r="I51" s="16"/>
      <c r="J51" s="12"/>
      <c r="K51" s="9"/>
      <c r="M51" s="12"/>
      <c r="P51" s="12"/>
      <c r="S51" s="12"/>
    </row>
    <row r="52" spans="3:19" ht="21" customHeight="1" x14ac:dyDescent="0.25">
      <c r="C52" s="8"/>
      <c r="D52" s="12"/>
      <c r="E52" s="12"/>
      <c r="F52" s="12"/>
      <c r="G52" s="12"/>
      <c r="H52" s="16"/>
      <c r="I52" s="16"/>
      <c r="J52" s="12"/>
      <c r="K52" s="9"/>
      <c r="M52" s="12"/>
      <c r="P52" s="12"/>
      <c r="S52" s="12"/>
    </row>
    <row r="53" spans="3:19" ht="21" customHeight="1" x14ac:dyDescent="0.25">
      <c r="C53" s="8"/>
      <c r="D53" s="12"/>
      <c r="E53" s="12"/>
      <c r="F53" s="12"/>
      <c r="G53" s="12"/>
      <c r="H53" s="16"/>
      <c r="I53" s="16"/>
      <c r="J53" s="12"/>
      <c r="K53" s="9"/>
      <c r="M53" s="12"/>
      <c r="P53" s="12"/>
      <c r="S53" s="12"/>
    </row>
    <row r="54" spans="3:19" ht="21" customHeight="1" x14ac:dyDescent="0.25">
      <c r="D54" s="1"/>
      <c r="E54" s="1"/>
      <c r="F54" s="1"/>
      <c r="G54" s="1"/>
      <c r="H54" s="2"/>
      <c r="I54" s="2"/>
      <c r="J54" s="1"/>
      <c r="K54" s="9"/>
      <c r="M54" s="1"/>
      <c r="P54" s="1"/>
      <c r="S54" s="1"/>
    </row>
    <row r="55" spans="3:19" ht="21" customHeight="1" x14ac:dyDescent="0.25">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89EE8-E360-43D2-903B-25BD287D24DF}">
  <sheetPr>
    <tabColor theme="4" tint="0.39997558519241921"/>
  </sheetPr>
  <dimension ref="B1:X26"/>
  <sheetViews>
    <sheetView showGridLines="0" zoomScaleNormal="100" workbookViewId="0">
      <selection activeCell="M53" sqref="M53"/>
    </sheetView>
  </sheetViews>
  <sheetFormatPr defaultColWidth="9.140625" defaultRowHeight="15" x14ac:dyDescent="0.25"/>
  <cols>
    <col min="1" max="1" width="1.140625" style="6" customWidth="1"/>
    <col min="2" max="2" width="34.5703125" style="6" customWidth="1"/>
    <col min="3" max="6" width="10.28515625" style="6" customWidth="1"/>
    <col min="7" max="7" width="11.140625" style="6" customWidth="1"/>
    <col min="8" max="8" width="10.85546875" style="6" customWidth="1"/>
    <col min="9" max="9" width="11.140625" style="6" customWidth="1"/>
    <col min="10" max="10" width="10.85546875" style="6" customWidth="1"/>
    <col min="11" max="11" width="11.140625" style="6" customWidth="1"/>
    <col min="12" max="12" width="10.85546875" style="6" customWidth="1"/>
    <col min="13" max="13" width="11.140625" style="6" customWidth="1"/>
    <col min="14" max="14" width="10.7109375" style="6" customWidth="1"/>
    <col min="15" max="15" width="1.140625" style="6" customWidth="1"/>
    <col min="16" max="16" width="34.5703125" style="6" customWidth="1"/>
    <col min="17" max="17" width="11.140625" style="6" customWidth="1"/>
    <col min="18" max="18" width="10.7109375" style="6" customWidth="1"/>
    <col min="19" max="19" width="11.140625" style="6" customWidth="1"/>
    <col min="20" max="20" width="10.7109375" style="6" customWidth="1"/>
    <col min="21" max="21" width="11.140625" style="6" customWidth="1"/>
    <col min="22" max="22" width="10.7109375" style="6" customWidth="1"/>
    <col min="23" max="23" width="11.140625" style="6" customWidth="1"/>
    <col min="24" max="24" width="10.7109375" style="6" customWidth="1"/>
    <col min="25" max="16384" width="9.140625" style="6"/>
  </cols>
  <sheetData>
    <row r="1" spans="2:24" x14ac:dyDescent="0.25">
      <c r="B1" s="6" t="s">
        <v>748</v>
      </c>
    </row>
    <row r="2" spans="2:24" x14ac:dyDescent="0.25">
      <c r="B2" s="6" t="s">
        <v>466</v>
      </c>
    </row>
    <row r="3" spans="2:24" ht="5.45" customHeight="1" x14ac:dyDescent="0.25">
      <c r="H3" s="1"/>
      <c r="I3" s="2"/>
      <c r="J3" s="2"/>
      <c r="K3" s="9"/>
    </row>
    <row r="4" spans="2:24" ht="16.899999999999999" customHeight="1" x14ac:dyDescent="0.25">
      <c r="B4" s="837" t="s">
        <v>93</v>
      </c>
      <c r="C4" s="847"/>
      <c r="D4" s="847"/>
      <c r="E4" s="847"/>
      <c r="F4" s="847"/>
      <c r="G4" s="838"/>
      <c r="H4" s="838"/>
      <c r="I4" s="838"/>
      <c r="J4" s="838"/>
      <c r="K4" s="838"/>
      <c r="L4" s="838"/>
      <c r="M4" s="838"/>
      <c r="N4" s="839"/>
      <c r="P4" s="837" t="s">
        <v>96</v>
      </c>
      <c r="Q4" s="838"/>
      <c r="R4" s="838"/>
      <c r="S4" s="838"/>
      <c r="T4" s="838"/>
      <c r="U4" s="838"/>
      <c r="V4" s="838"/>
      <c r="W4" s="838"/>
      <c r="X4" s="839"/>
    </row>
    <row r="5" spans="2:24" ht="16.899999999999999" customHeight="1" x14ac:dyDescent="0.25">
      <c r="B5" s="831" t="s">
        <v>94</v>
      </c>
      <c r="C5" s="848" t="s">
        <v>539</v>
      </c>
      <c r="D5" s="849"/>
      <c r="E5" s="849"/>
      <c r="F5" s="849"/>
      <c r="G5" s="597" t="s">
        <v>376</v>
      </c>
      <c r="H5" s="598"/>
      <c r="I5" s="597" t="s">
        <v>377</v>
      </c>
      <c r="J5" s="598"/>
      <c r="K5" s="597" t="s">
        <v>378</v>
      </c>
      <c r="L5" s="598"/>
      <c r="M5" s="597" t="s">
        <v>380</v>
      </c>
      <c r="N5" s="599"/>
      <c r="O5" s="10"/>
      <c r="P5" s="831" t="s">
        <v>94</v>
      </c>
      <c r="Q5" s="844" t="s">
        <v>97</v>
      </c>
      <c r="R5" s="845"/>
      <c r="S5" s="844" t="s">
        <v>98</v>
      </c>
      <c r="T5" s="845"/>
      <c r="U5" s="844" t="s">
        <v>471</v>
      </c>
      <c r="V5" s="845"/>
      <c r="W5" s="844" t="s">
        <v>472</v>
      </c>
      <c r="X5" s="846"/>
    </row>
    <row r="6" spans="2:24" ht="16.899999999999999" customHeight="1" x14ac:dyDescent="0.25">
      <c r="B6" s="840"/>
      <c r="C6" s="584" t="s">
        <v>116</v>
      </c>
      <c r="D6" s="584" t="s">
        <v>117</v>
      </c>
      <c r="E6" s="584" t="s">
        <v>118</v>
      </c>
      <c r="F6" s="583" t="s">
        <v>507</v>
      </c>
      <c r="G6" s="612" t="s">
        <v>95</v>
      </c>
      <c r="H6" s="593" t="s">
        <v>70</v>
      </c>
      <c r="I6" s="612" t="s">
        <v>95</v>
      </c>
      <c r="J6" s="593" t="s">
        <v>70</v>
      </c>
      <c r="K6" s="612" t="s">
        <v>95</v>
      </c>
      <c r="L6" s="593" t="s">
        <v>70</v>
      </c>
      <c r="M6" s="612" t="s">
        <v>95</v>
      </c>
      <c r="N6" s="594" t="s">
        <v>70</v>
      </c>
      <c r="O6" s="10"/>
      <c r="P6" s="840"/>
      <c r="Q6" s="612" t="s">
        <v>95</v>
      </c>
      <c r="R6" s="593" t="s">
        <v>70</v>
      </c>
      <c r="S6" s="612" t="s">
        <v>95</v>
      </c>
      <c r="T6" s="593" t="s">
        <v>70</v>
      </c>
      <c r="U6" s="612" t="s">
        <v>95</v>
      </c>
      <c r="V6" s="593" t="s">
        <v>70</v>
      </c>
      <c r="W6" s="612" t="s">
        <v>95</v>
      </c>
      <c r="X6" s="594" t="s">
        <v>70</v>
      </c>
    </row>
    <row r="7" spans="2:24" x14ac:dyDescent="0.25">
      <c r="B7" s="585" t="s">
        <v>473</v>
      </c>
      <c r="C7" s="589">
        <v>16313</v>
      </c>
      <c r="D7" s="440">
        <v>16526</v>
      </c>
      <c r="E7" s="440">
        <v>17314</v>
      </c>
      <c r="F7" s="440">
        <v>17052</v>
      </c>
      <c r="G7" s="600">
        <v>20</v>
      </c>
      <c r="H7" s="601">
        <v>17686.650000000001</v>
      </c>
      <c r="I7" s="602">
        <v>17</v>
      </c>
      <c r="J7" s="601">
        <v>17889</v>
      </c>
      <c r="K7" s="602">
        <v>17</v>
      </c>
      <c r="L7" s="601">
        <v>18692</v>
      </c>
      <c r="M7" s="602">
        <v>7</v>
      </c>
      <c r="N7" s="603">
        <v>18026</v>
      </c>
      <c r="O7" s="11"/>
      <c r="P7" s="585" t="s">
        <v>473</v>
      </c>
      <c r="Q7" s="613">
        <v>24</v>
      </c>
      <c r="R7" s="601">
        <v>71323</v>
      </c>
      <c r="S7" s="602">
        <v>23</v>
      </c>
      <c r="T7" s="601">
        <v>75245</v>
      </c>
      <c r="U7" s="602">
        <v>8</v>
      </c>
      <c r="V7" s="601">
        <v>78816</v>
      </c>
      <c r="W7" s="602">
        <v>1</v>
      </c>
      <c r="X7" s="603">
        <v>83791</v>
      </c>
    </row>
    <row r="8" spans="2:24" x14ac:dyDescent="0.25">
      <c r="B8" s="585" t="s">
        <v>540</v>
      </c>
      <c r="C8" s="590">
        <v>1237</v>
      </c>
      <c r="D8" s="440">
        <v>964</v>
      </c>
      <c r="E8" s="440">
        <v>1835</v>
      </c>
      <c r="F8" s="440">
        <v>1192</v>
      </c>
      <c r="G8" s="600">
        <v>12</v>
      </c>
      <c r="H8" s="601">
        <v>1433</v>
      </c>
      <c r="I8" s="602">
        <v>12</v>
      </c>
      <c r="J8" s="601">
        <v>1383</v>
      </c>
      <c r="K8" s="602">
        <v>10</v>
      </c>
      <c r="L8" s="601">
        <v>2167</v>
      </c>
      <c r="M8" s="602">
        <v>5</v>
      </c>
      <c r="N8" s="603">
        <v>1632</v>
      </c>
      <c r="O8" s="11"/>
      <c r="P8" s="585" t="s">
        <v>540</v>
      </c>
      <c r="Q8" s="602">
        <v>16</v>
      </c>
      <c r="R8" s="601">
        <v>6084</v>
      </c>
      <c r="S8" s="602">
        <v>17</v>
      </c>
      <c r="T8" s="601">
        <v>7152</v>
      </c>
      <c r="U8" s="602">
        <v>8</v>
      </c>
      <c r="V8" s="601">
        <v>7705</v>
      </c>
      <c r="W8" s="602">
        <v>1</v>
      </c>
      <c r="X8" s="603">
        <v>7852</v>
      </c>
    </row>
    <row r="9" spans="2:24" x14ac:dyDescent="0.25">
      <c r="B9" s="585" t="s">
        <v>538</v>
      </c>
      <c r="C9" s="591">
        <f>+C8/C7</f>
        <v>7.5829093361123034E-2</v>
      </c>
      <c r="D9" s="441">
        <f t="shared" ref="D9:F9" si="0">+D8/D7</f>
        <v>5.8332324821493406E-2</v>
      </c>
      <c r="E9" s="441">
        <f t="shared" si="0"/>
        <v>0.10598359708906088</v>
      </c>
      <c r="F9" s="441">
        <f t="shared" si="0"/>
        <v>6.9903823598404885E-2</v>
      </c>
      <c r="G9" s="600"/>
      <c r="H9" s="604">
        <f>+H8/H7</f>
        <v>8.1021561460197372E-2</v>
      </c>
      <c r="I9" s="602"/>
      <c r="J9" s="604">
        <v>7.7306183069722617E-2</v>
      </c>
      <c r="K9" s="602"/>
      <c r="L9" s="604">
        <v>0.11591675084731336</v>
      </c>
      <c r="M9" s="602"/>
      <c r="N9" s="605">
        <v>9.0559518148676438E-2</v>
      </c>
      <c r="O9" s="11"/>
      <c r="P9" s="585" t="s">
        <v>538</v>
      </c>
      <c r="Q9" s="602"/>
      <c r="R9" s="604">
        <v>8.5295115936838986E-2</v>
      </c>
      <c r="S9" s="602"/>
      <c r="T9" s="604">
        <v>9.5045431392421553E-2</v>
      </c>
      <c r="U9" s="602"/>
      <c r="V9" s="604">
        <v>9.7754270217118938E-2</v>
      </c>
      <c r="W9" s="602">
        <v>0</v>
      </c>
      <c r="X9" s="605" t="s">
        <v>417</v>
      </c>
    </row>
    <row r="10" spans="2:24" x14ac:dyDescent="0.25">
      <c r="B10" s="585" t="s">
        <v>474</v>
      </c>
      <c r="C10" s="590">
        <v>1895</v>
      </c>
      <c r="D10" s="440">
        <v>1660</v>
      </c>
      <c r="E10" s="440">
        <v>2160</v>
      </c>
      <c r="F10" s="440">
        <v>1909</v>
      </c>
      <c r="G10" s="600">
        <v>116</v>
      </c>
      <c r="H10" s="601">
        <v>2203.125</v>
      </c>
      <c r="I10" s="602">
        <v>15</v>
      </c>
      <c r="J10" s="601">
        <v>2226</v>
      </c>
      <c r="K10" s="602">
        <v>15</v>
      </c>
      <c r="L10" s="601">
        <v>2983</v>
      </c>
      <c r="M10" s="602">
        <v>6</v>
      </c>
      <c r="N10" s="603">
        <v>2455</v>
      </c>
      <c r="O10" s="11"/>
      <c r="P10" s="585" t="s">
        <v>474</v>
      </c>
      <c r="Q10" s="602">
        <v>17</v>
      </c>
      <c r="R10" s="601">
        <v>9209</v>
      </c>
      <c r="S10" s="602">
        <v>20</v>
      </c>
      <c r="T10" s="601">
        <v>10542</v>
      </c>
      <c r="U10" s="602">
        <v>8</v>
      </c>
      <c r="V10" s="601">
        <v>11301</v>
      </c>
      <c r="W10" s="602">
        <v>1</v>
      </c>
      <c r="X10" s="603">
        <v>11256</v>
      </c>
    </row>
    <row r="11" spans="2:24" x14ac:dyDescent="0.25">
      <c r="B11" s="585" t="s">
        <v>475</v>
      </c>
      <c r="C11" s="590">
        <v>1139</v>
      </c>
      <c r="D11" s="440">
        <v>874</v>
      </c>
      <c r="E11" s="440">
        <v>1358</v>
      </c>
      <c r="F11" s="440">
        <v>1101</v>
      </c>
      <c r="G11" s="600">
        <v>13</v>
      </c>
      <c r="H11" s="601">
        <v>1413.538</v>
      </c>
      <c r="I11" s="602">
        <v>11</v>
      </c>
      <c r="J11" s="601">
        <v>1361</v>
      </c>
      <c r="K11" s="602">
        <v>11</v>
      </c>
      <c r="L11" s="601">
        <v>2173</v>
      </c>
      <c r="M11" s="602">
        <v>3</v>
      </c>
      <c r="N11" s="603">
        <v>1615</v>
      </c>
      <c r="O11" s="11"/>
      <c r="P11" s="585" t="s">
        <v>475</v>
      </c>
      <c r="Q11" s="602">
        <v>17</v>
      </c>
      <c r="R11" s="601">
        <v>6085</v>
      </c>
      <c r="S11" s="602">
        <v>18</v>
      </c>
      <c r="T11" s="601">
        <v>7065</v>
      </c>
      <c r="U11" s="602">
        <v>6</v>
      </c>
      <c r="V11" s="601">
        <v>7781</v>
      </c>
      <c r="W11" s="602">
        <v>0</v>
      </c>
      <c r="X11" s="603" t="s">
        <v>417</v>
      </c>
    </row>
    <row r="12" spans="2:24" x14ac:dyDescent="0.25">
      <c r="B12" s="585" t="s">
        <v>476</v>
      </c>
      <c r="C12" s="590">
        <v>775</v>
      </c>
      <c r="D12" s="440">
        <v>2074</v>
      </c>
      <c r="E12" s="440">
        <v>1127</v>
      </c>
      <c r="F12" s="440">
        <v>835</v>
      </c>
      <c r="G12" s="600">
        <v>15</v>
      </c>
      <c r="H12" s="601">
        <v>1051.8</v>
      </c>
      <c r="I12" s="602">
        <v>15</v>
      </c>
      <c r="J12" s="601">
        <v>1027</v>
      </c>
      <c r="K12" s="602">
        <v>15</v>
      </c>
      <c r="L12" s="601">
        <v>1618</v>
      </c>
      <c r="M12" s="602">
        <v>15</v>
      </c>
      <c r="N12" s="603">
        <v>1185</v>
      </c>
      <c r="O12" s="11"/>
      <c r="P12" s="585" t="s">
        <v>476</v>
      </c>
      <c r="Q12" s="602">
        <v>20</v>
      </c>
      <c r="R12" s="601">
        <v>4627</v>
      </c>
      <c r="S12" s="602">
        <v>21</v>
      </c>
      <c r="T12" s="601">
        <v>5346</v>
      </c>
      <c r="U12" s="602">
        <v>8</v>
      </c>
      <c r="V12" s="601">
        <v>5809</v>
      </c>
      <c r="W12" s="602">
        <v>1</v>
      </c>
      <c r="X12" s="603">
        <v>6028</v>
      </c>
    </row>
    <row r="13" spans="2:24" x14ac:dyDescent="0.25">
      <c r="B13" s="585" t="s">
        <v>478</v>
      </c>
      <c r="C13" s="592">
        <v>3.17</v>
      </c>
      <c r="D13" s="442">
        <v>3.72</v>
      </c>
      <c r="E13" s="442">
        <v>5.91</v>
      </c>
      <c r="F13" s="442">
        <v>3.46</v>
      </c>
      <c r="G13" s="600">
        <v>24</v>
      </c>
      <c r="H13" s="606">
        <v>3.94</v>
      </c>
      <c r="I13" s="602">
        <v>22</v>
      </c>
      <c r="J13" s="606">
        <v>3.85</v>
      </c>
      <c r="K13" s="602">
        <v>21</v>
      </c>
      <c r="L13" s="606">
        <v>6.05</v>
      </c>
      <c r="M13" s="602">
        <v>11</v>
      </c>
      <c r="N13" s="607">
        <v>4.43</v>
      </c>
      <c r="O13" s="11"/>
      <c r="P13" s="585" t="s">
        <v>478</v>
      </c>
      <c r="Q13" s="602">
        <v>30</v>
      </c>
      <c r="R13" s="606">
        <v>17.39</v>
      </c>
      <c r="S13" s="602">
        <v>29</v>
      </c>
      <c r="T13" s="606">
        <v>20.14</v>
      </c>
      <c r="U13" s="602">
        <v>8</v>
      </c>
      <c r="V13" s="606">
        <v>22.63</v>
      </c>
      <c r="W13" s="602">
        <v>1</v>
      </c>
      <c r="X13" s="607">
        <v>24.56</v>
      </c>
    </row>
    <row r="14" spans="2:24" x14ac:dyDescent="0.25">
      <c r="B14" s="585" t="s">
        <v>479</v>
      </c>
      <c r="C14" s="590"/>
      <c r="D14" s="440"/>
      <c r="E14" s="440"/>
      <c r="F14" s="440"/>
      <c r="G14" s="600">
        <v>3</v>
      </c>
      <c r="H14" s="601">
        <v>534</v>
      </c>
      <c r="I14" s="602">
        <v>3</v>
      </c>
      <c r="J14" s="601">
        <v>577</v>
      </c>
      <c r="K14" s="602">
        <v>3</v>
      </c>
      <c r="L14" s="601">
        <v>970</v>
      </c>
      <c r="M14" s="602">
        <v>3</v>
      </c>
      <c r="N14" s="603">
        <v>327</v>
      </c>
      <c r="O14" s="11"/>
      <c r="P14" s="585" t="s">
        <v>479</v>
      </c>
      <c r="Q14" s="602">
        <v>11</v>
      </c>
      <c r="R14" s="601">
        <v>1821</v>
      </c>
      <c r="S14" s="602">
        <v>12</v>
      </c>
      <c r="T14" s="601">
        <v>2237</v>
      </c>
      <c r="U14" s="602">
        <v>4</v>
      </c>
      <c r="V14" s="601">
        <v>3424</v>
      </c>
      <c r="W14" s="602">
        <v>0</v>
      </c>
      <c r="X14" s="603" t="s">
        <v>417</v>
      </c>
    </row>
    <row r="15" spans="2:24" x14ac:dyDescent="0.25">
      <c r="B15" s="587" t="s">
        <v>480</v>
      </c>
      <c r="C15" s="595">
        <v>1577</v>
      </c>
      <c r="D15" s="596">
        <v>1373</v>
      </c>
      <c r="E15" s="596">
        <v>1669</v>
      </c>
      <c r="F15" s="596">
        <v>1179</v>
      </c>
      <c r="G15" s="608">
        <v>2</v>
      </c>
      <c r="H15" s="609">
        <v>1437</v>
      </c>
      <c r="I15" s="610">
        <v>2</v>
      </c>
      <c r="J15" s="609">
        <v>1493</v>
      </c>
      <c r="K15" s="610">
        <v>2</v>
      </c>
      <c r="L15" s="609">
        <v>1493</v>
      </c>
      <c r="M15" s="610">
        <v>3</v>
      </c>
      <c r="N15" s="611">
        <v>1525</v>
      </c>
      <c r="O15" s="11"/>
      <c r="P15" s="587" t="s">
        <v>480</v>
      </c>
      <c r="Q15" s="610">
        <v>11</v>
      </c>
      <c r="R15" s="609">
        <v>5607</v>
      </c>
      <c r="S15" s="610">
        <v>10</v>
      </c>
      <c r="T15" s="609">
        <v>6413</v>
      </c>
      <c r="U15" s="610">
        <v>3</v>
      </c>
      <c r="V15" s="609">
        <v>6790</v>
      </c>
      <c r="W15" s="610">
        <v>0</v>
      </c>
      <c r="X15" s="611" t="s">
        <v>417</v>
      </c>
    </row>
    <row r="17" spans="3:24" ht="15" customHeight="1" x14ac:dyDescent="0.25">
      <c r="C17" s="831" t="s">
        <v>739</v>
      </c>
      <c r="D17" s="832"/>
      <c r="E17" s="833"/>
      <c r="F17" s="7"/>
      <c r="G17" s="8"/>
      <c r="H17" s="614"/>
      <c r="I17" s="8"/>
      <c r="J17" s="614"/>
      <c r="K17" s="614"/>
      <c r="L17" s="614"/>
      <c r="M17" s="614"/>
      <c r="N17" s="614"/>
      <c r="R17" s="614"/>
      <c r="S17" s="614"/>
      <c r="T17" s="614"/>
      <c r="U17" s="614"/>
      <c r="V17" s="614"/>
      <c r="W17" s="614"/>
      <c r="X17" s="614"/>
    </row>
    <row r="18" spans="3:24" ht="15" customHeight="1" x14ac:dyDescent="0.25">
      <c r="C18" s="585" t="s">
        <v>740</v>
      </c>
      <c r="D18" s="642">
        <v>0.871</v>
      </c>
      <c r="E18" s="586">
        <v>27</v>
      </c>
      <c r="G18" s="8"/>
      <c r="H18" s="614"/>
      <c r="I18" s="12"/>
      <c r="J18" s="614"/>
      <c r="K18" s="614"/>
      <c r="L18" s="614"/>
      <c r="M18" s="614"/>
      <c r="N18" s="614"/>
      <c r="R18" s="614"/>
      <c r="S18" s="614"/>
      <c r="T18" s="614"/>
      <c r="U18" s="614"/>
      <c r="V18" s="614"/>
      <c r="W18" s="614"/>
      <c r="X18" s="614"/>
    </row>
    <row r="19" spans="3:24" ht="15" customHeight="1" x14ac:dyDescent="0.25">
      <c r="C19" s="585" t="s">
        <v>741</v>
      </c>
      <c r="D19" s="642">
        <v>9.7000000000000003E-2</v>
      </c>
      <c r="E19" s="586">
        <v>3</v>
      </c>
      <c r="G19" s="8"/>
      <c r="H19" s="614"/>
      <c r="I19" s="12"/>
      <c r="J19" s="614"/>
      <c r="K19" s="614"/>
      <c r="L19" s="614"/>
      <c r="M19" s="614"/>
      <c r="N19" s="614"/>
      <c r="R19" s="614"/>
      <c r="S19" s="614"/>
      <c r="T19" s="614"/>
      <c r="U19" s="614"/>
      <c r="V19" s="614"/>
      <c r="W19" s="614"/>
      <c r="X19" s="614"/>
    </row>
    <row r="20" spans="3:24" ht="15" customHeight="1" x14ac:dyDescent="0.25">
      <c r="C20" s="585" t="s">
        <v>742</v>
      </c>
      <c r="D20" s="642">
        <v>3.2000000000000001E-2</v>
      </c>
      <c r="E20" s="586">
        <v>1</v>
      </c>
      <c r="G20" s="8"/>
      <c r="H20" s="614"/>
      <c r="I20" s="12"/>
      <c r="J20" s="614"/>
      <c r="K20" s="614"/>
      <c r="L20" s="614"/>
      <c r="M20" s="614"/>
      <c r="N20" s="614"/>
      <c r="R20" s="614"/>
      <c r="S20" s="614"/>
      <c r="T20" s="614"/>
      <c r="U20" s="614"/>
      <c r="V20" s="614"/>
      <c r="W20" s="614"/>
      <c r="X20" s="614"/>
    </row>
    <row r="21" spans="3:24" ht="15" customHeight="1" x14ac:dyDescent="0.25">
      <c r="C21" s="585" t="s">
        <v>743</v>
      </c>
      <c r="D21" s="520"/>
      <c r="E21" s="643">
        <v>287.73</v>
      </c>
      <c r="G21" s="8"/>
      <c r="H21" s="614"/>
      <c r="I21" s="12"/>
      <c r="J21" s="614"/>
      <c r="K21" s="614"/>
      <c r="L21" s="614"/>
      <c r="M21" s="614"/>
      <c r="N21" s="614"/>
      <c r="R21" s="614"/>
      <c r="S21" s="614"/>
      <c r="T21" s="614"/>
      <c r="U21" s="614"/>
      <c r="V21" s="614"/>
      <c r="W21" s="614"/>
      <c r="X21" s="614"/>
    </row>
    <row r="22" spans="3:24" ht="15" customHeight="1" x14ac:dyDescent="0.25">
      <c r="C22" s="585" t="s">
        <v>744</v>
      </c>
      <c r="D22" s="520"/>
      <c r="E22" s="643">
        <v>223.4</v>
      </c>
      <c r="G22" s="8"/>
      <c r="H22" s="614"/>
      <c r="I22" s="12"/>
      <c r="J22" s="614"/>
      <c r="K22" s="614"/>
      <c r="L22" s="614"/>
      <c r="M22" s="614"/>
      <c r="N22" s="614"/>
      <c r="R22" s="614"/>
      <c r="S22" s="614"/>
      <c r="T22" s="614"/>
      <c r="U22" s="614"/>
      <c r="V22" s="614"/>
      <c r="W22" s="614"/>
      <c r="X22" s="614"/>
    </row>
    <row r="23" spans="3:24" ht="15" customHeight="1" x14ac:dyDescent="0.25">
      <c r="C23" s="587" t="s">
        <v>745</v>
      </c>
      <c r="D23" s="588"/>
      <c r="E23" s="644">
        <v>0.28799999999999998</v>
      </c>
      <c r="G23" s="8"/>
      <c r="H23" s="12"/>
      <c r="I23" s="16"/>
      <c r="J23" s="16"/>
      <c r="K23" s="9"/>
    </row>
    <row r="24" spans="3:24" ht="21" customHeight="1" x14ac:dyDescent="0.25">
      <c r="G24" s="8"/>
      <c r="H24" s="12"/>
      <c r="I24" s="16"/>
      <c r="J24" s="16"/>
      <c r="K24" s="9"/>
    </row>
    <row r="25" spans="3:24" ht="21" customHeight="1" x14ac:dyDescent="0.25">
      <c r="H25" s="1"/>
      <c r="I25" s="2"/>
      <c r="J25" s="2"/>
      <c r="K25" s="9"/>
    </row>
    <row r="26" spans="3:24" ht="21" customHeight="1" x14ac:dyDescent="0.25">
      <c r="H26" s="1"/>
      <c r="I26" s="2"/>
      <c r="J26" s="2"/>
      <c r="K26" s="9"/>
    </row>
  </sheetData>
  <mergeCells count="10">
    <mergeCell ref="C17:E17"/>
    <mergeCell ref="P4:X4"/>
    <mergeCell ref="P5:P6"/>
    <mergeCell ref="Q5:R5"/>
    <mergeCell ref="S5:T5"/>
    <mergeCell ref="U5:V5"/>
    <mergeCell ref="W5:X5"/>
    <mergeCell ref="B4:N4"/>
    <mergeCell ref="B5:B6"/>
    <mergeCell ref="C5:F5"/>
  </mergeCells>
  <pageMargins left="0.7" right="0.7" top="0.75" bottom="0.75"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FedEx Earnings Model</vt:lpstr>
      <vt:lpstr>Charts</vt:lpstr>
      <vt:lpstr>Guidance</vt:lpstr>
      <vt:lpstr>Std Dev &amp; Mean Return</vt:lpstr>
      <vt:lpstr>Forecast vs Actual (F3Q19)</vt:lpstr>
      <vt:lpstr>Consensus (Before F3Q19)</vt:lpstr>
      <vt:lpstr>Surprise</vt:lpstr>
      <vt:lpstr>Forecast vs Actual (F2Q19)</vt:lpstr>
      <vt:lpstr>Consensus (Before F2Q19)</vt:lpstr>
      <vt:lpstr>Forecast vs Actual (F1Q19)</vt:lpstr>
      <vt:lpstr>'FedEx Earnings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Admin</cp:lastModifiedBy>
  <cp:lastPrinted>2015-01-03T01:11:29Z</cp:lastPrinted>
  <dcterms:created xsi:type="dcterms:W3CDTF">2014-10-18T18:34:10Z</dcterms:created>
  <dcterms:modified xsi:type="dcterms:W3CDTF">2019-07-30T14:47:06Z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