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codeName="ThisWorkbook" defaultThemeVersion="124226"/>
  <mc:AlternateContent xmlns:mc="http://schemas.openxmlformats.org/markup-compatibility/2006">
    <mc:Choice Requires="x15">
      <x15ac:absPath xmlns:x15ac="http://schemas.microsoft.com/office/spreadsheetml/2010/11/ac" url="C:\Users\Admin\Documents\Gutenberg\~FIN MODELING Training Course\6-2-2018\Templates to Include with the Program\"/>
    </mc:Choice>
  </mc:AlternateContent>
  <xr:revisionPtr revIDLastSave="0" documentId="13_ncr:1_{F29DD180-F1CC-4C42-B307-B25CBCE63141}" xr6:coauthVersionLast="40" xr6:coauthVersionMax="40" xr10:uidLastSave="{00000000-0000-0000-0000-000000000000}"/>
  <bookViews>
    <workbookView xWindow="480" yWindow="168" windowWidth="8952" windowHeight="7356" tabRatio="717" xr2:uid="{00000000-000D-0000-FFFF-FFFF00000000}"/>
  </bookViews>
  <sheets>
    <sheet name="FedEx Earnings Model" sheetId="3" r:id="rId1"/>
    <sheet name="Guidance" sheetId="24" r:id="rId2"/>
    <sheet name="Consensus Est (Before F1Q19)" sheetId="20" r:id="rId3"/>
    <sheet name="Forecast vs Actual (F1Q19)" sheetId="26" r:id="rId4"/>
  </sheets>
  <definedNames>
    <definedName name="DATA" localSheetId="2">#REF!</definedName>
    <definedName name="DATA" localSheetId="3">#REF!</definedName>
    <definedName name="DATA">#REF!</definedName>
    <definedName name="_xlnm.Print_Area" localSheetId="0">'FedEx Earnings Model'!$B$2:$AQ$424</definedName>
  </definedNames>
  <calcPr calcId="181029" concurrentCalc="0"/>
</workbook>
</file>

<file path=xl/calcChain.xml><?xml version="1.0" encoding="utf-8"?>
<calcChain xmlns="http://schemas.openxmlformats.org/spreadsheetml/2006/main">
  <c r="C408" i="3" l="1"/>
  <c r="C407" i="3"/>
  <c r="C374" i="3"/>
  <c r="C367" i="3"/>
  <c r="C366" i="3"/>
  <c r="S348" i="3"/>
  <c r="AA148" i="3"/>
  <c r="Z148" i="3"/>
  <c r="Y148" i="3"/>
  <c r="X148" i="3"/>
  <c r="V237" i="3"/>
  <c r="U237" i="3"/>
  <c r="T237" i="3"/>
  <c r="S95" i="3"/>
  <c r="S93" i="3"/>
  <c r="S194" i="3"/>
  <c r="S153" i="3"/>
  <c r="F8" i="26"/>
  <c r="D41" i="26"/>
  <c r="D34" i="26"/>
  <c r="V236" i="3"/>
  <c r="U236" i="3"/>
  <c r="T236" i="3"/>
  <c r="T32" i="3"/>
  <c r="U32" i="3"/>
  <c r="V32" i="3"/>
  <c r="X32" i="3"/>
  <c r="Y32" i="3"/>
  <c r="Z32" i="3"/>
  <c r="AA32" i="3"/>
  <c r="AC32" i="3"/>
  <c r="AD32" i="3"/>
  <c r="AE32" i="3"/>
  <c r="AF32" i="3"/>
  <c r="AH32" i="3"/>
  <c r="H24" i="24"/>
  <c r="H23" i="24"/>
  <c r="AI32" i="3"/>
  <c r="AJ32" i="3"/>
  <c r="AK32" i="3"/>
  <c r="AM32" i="3"/>
  <c r="AG32" i="3"/>
  <c r="M241" i="3"/>
  <c r="M240" i="3"/>
  <c r="S200" i="3"/>
  <c r="Q23" i="3"/>
  <c r="P23" i="3"/>
  <c r="O23" i="3"/>
  <c r="N23" i="3"/>
  <c r="L23" i="3"/>
  <c r="K23" i="3"/>
  <c r="J23" i="3"/>
  <c r="I23" i="3"/>
  <c r="Q173" i="3"/>
  <c r="P173" i="3"/>
  <c r="O173" i="3"/>
  <c r="N173" i="3"/>
  <c r="L173" i="3"/>
  <c r="K173" i="3"/>
  <c r="J173" i="3"/>
  <c r="I173" i="3"/>
  <c r="Q164" i="3"/>
  <c r="P164" i="3"/>
  <c r="O164" i="3"/>
  <c r="N164" i="3"/>
  <c r="L164" i="3"/>
  <c r="K164" i="3"/>
  <c r="J164" i="3"/>
  <c r="I164" i="3"/>
  <c r="Q147" i="3"/>
  <c r="P147" i="3"/>
  <c r="O147" i="3"/>
  <c r="N147" i="3"/>
  <c r="L147" i="3"/>
  <c r="K147" i="3"/>
  <c r="J147" i="3"/>
  <c r="I147" i="3"/>
  <c r="I68" i="3"/>
  <c r="J68" i="3"/>
  <c r="K68" i="3"/>
  <c r="L68" i="3"/>
  <c r="N68" i="3"/>
  <c r="O68" i="3"/>
  <c r="P68" i="3"/>
  <c r="Q68" i="3"/>
  <c r="AB32" i="3"/>
  <c r="W32" i="3"/>
  <c r="H32" i="3"/>
  <c r="M32" i="3"/>
  <c r="R32" i="3"/>
  <c r="R33" i="3"/>
  <c r="G34" i="3"/>
  <c r="F34" i="3"/>
  <c r="E34" i="3"/>
  <c r="D34" i="3"/>
  <c r="L34" i="3"/>
  <c r="K34" i="3"/>
  <c r="J34" i="3"/>
  <c r="I34" i="3"/>
  <c r="Q34" i="3"/>
  <c r="P34" i="3"/>
  <c r="O34" i="3"/>
  <c r="N34" i="3"/>
  <c r="AN32" i="3"/>
  <c r="AO32" i="3"/>
  <c r="AP32" i="3"/>
  <c r="AL32" i="3"/>
  <c r="S31" i="3"/>
  <c r="R31" i="3"/>
  <c r="S303" i="3"/>
  <c r="S302" i="3"/>
  <c r="S299" i="3"/>
  <c r="S298" i="3"/>
  <c r="S296" i="3"/>
  <c r="S297" i="3"/>
  <c r="S295" i="3"/>
  <c r="S294" i="3"/>
  <c r="S292" i="3"/>
  <c r="S293" i="3"/>
  <c r="S357" i="3"/>
  <c r="S355" i="3"/>
  <c r="S354" i="3"/>
  <c r="S231" i="3"/>
  <c r="S229" i="3"/>
  <c r="S228" i="3"/>
  <c r="S177" i="3"/>
  <c r="S174" i="3"/>
  <c r="S170" i="3"/>
  <c r="S158" i="3"/>
  <c r="S156" i="3"/>
  <c r="S141" i="3"/>
  <c r="X141" i="3"/>
  <c r="Y141" i="3"/>
  <c r="Z141" i="3"/>
  <c r="AA141" i="3"/>
  <c r="S139" i="3"/>
  <c r="S137" i="3"/>
  <c r="S131" i="3"/>
  <c r="S129" i="3"/>
  <c r="S125" i="3"/>
  <c r="S123" i="3"/>
  <c r="S119" i="3"/>
  <c r="S117" i="3"/>
  <c r="S113" i="3"/>
  <c r="S111" i="3"/>
  <c r="S107" i="3"/>
  <c r="S105" i="3"/>
  <c r="S101" i="3"/>
  <c r="S99" i="3"/>
  <c r="S87" i="3"/>
  <c r="S89" i="3"/>
  <c r="S83" i="3"/>
  <c r="S81" i="3"/>
  <c r="S77" i="3"/>
  <c r="S75" i="3"/>
  <c r="S59" i="3"/>
  <c r="S47" i="3"/>
  <c r="S24" i="3"/>
  <c r="S25" i="3"/>
  <c r="AQ32" i="3"/>
  <c r="S34" i="3"/>
  <c r="S35" i="3"/>
  <c r="F12" i="26"/>
  <c r="D38" i="26"/>
  <c r="E21" i="26"/>
  <c r="T267" i="3"/>
  <c r="U267" i="3"/>
  <c r="V267" i="3"/>
  <c r="X267" i="3"/>
  <c r="Y267" i="3"/>
  <c r="Z267" i="3"/>
  <c r="AA267" i="3"/>
  <c r="AC267" i="3"/>
  <c r="AD267" i="3"/>
  <c r="AE267" i="3"/>
  <c r="AF267" i="3"/>
  <c r="AH267" i="3"/>
  <c r="AI267" i="3"/>
  <c r="AJ267" i="3"/>
  <c r="AK267" i="3"/>
  <c r="AM267" i="3"/>
  <c r="AN267" i="3"/>
  <c r="AO267" i="3"/>
  <c r="AP267" i="3"/>
  <c r="Q295" i="3"/>
  <c r="V295" i="3"/>
  <c r="AA295" i="3"/>
  <c r="AF295" i="3"/>
  <c r="AK295" i="3"/>
  <c r="AP295" i="3"/>
  <c r="P295" i="3"/>
  <c r="U295" i="3"/>
  <c r="Z295" i="3"/>
  <c r="AE295" i="3"/>
  <c r="AJ295" i="3"/>
  <c r="AO295" i="3"/>
  <c r="O295" i="3"/>
  <c r="T295" i="3"/>
  <c r="Y295" i="3"/>
  <c r="AD295" i="3"/>
  <c r="AI295" i="3"/>
  <c r="AN295" i="3"/>
  <c r="N295" i="3"/>
  <c r="X295" i="3"/>
  <c r="AC295" i="3"/>
  <c r="AH295" i="3"/>
  <c r="AM295" i="3"/>
  <c r="I295" i="3"/>
  <c r="J295" i="3"/>
  <c r="K295" i="3"/>
  <c r="L295" i="3"/>
  <c r="F295" i="3"/>
  <c r="G295" i="3"/>
  <c r="E295" i="3"/>
  <c r="T257" i="3"/>
  <c r="U257" i="3"/>
  <c r="V257" i="3"/>
  <c r="X257" i="3"/>
  <c r="Y257" i="3"/>
  <c r="Z257" i="3"/>
  <c r="AA257" i="3"/>
  <c r="AC257" i="3"/>
  <c r="AD257" i="3"/>
  <c r="AE257" i="3"/>
  <c r="AF257" i="3"/>
  <c r="AH257" i="3"/>
  <c r="AI257" i="3"/>
  <c r="AJ257" i="3"/>
  <c r="AK257" i="3"/>
  <c r="AM257" i="3"/>
  <c r="AN257" i="3"/>
  <c r="AO257" i="3"/>
  <c r="AP257" i="3"/>
  <c r="T256" i="3"/>
  <c r="U256" i="3"/>
  <c r="V256" i="3"/>
  <c r="X256" i="3"/>
  <c r="Y256" i="3"/>
  <c r="Z256" i="3"/>
  <c r="AA256" i="3"/>
  <c r="AC256" i="3"/>
  <c r="AD256" i="3"/>
  <c r="AE256" i="3"/>
  <c r="AF256" i="3"/>
  <c r="AH256" i="3"/>
  <c r="AI256" i="3"/>
  <c r="AJ256" i="3"/>
  <c r="AK256" i="3"/>
  <c r="AM256" i="3"/>
  <c r="AN256" i="3"/>
  <c r="AO256" i="3"/>
  <c r="AP256" i="3"/>
  <c r="W231" i="3"/>
  <c r="R42" i="26"/>
  <c r="S41" i="26"/>
  <c r="R41" i="26"/>
  <c r="R40" i="26"/>
  <c r="R39" i="26"/>
  <c r="R38" i="26"/>
  <c r="R37" i="26"/>
  <c r="R36" i="26"/>
  <c r="R35" i="26"/>
  <c r="R34" i="26"/>
  <c r="O42" i="26"/>
  <c r="P41" i="26"/>
  <c r="O41" i="26"/>
  <c r="O40" i="26"/>
  <c r="O39" i="26"/>
  <c r="O38" i="26"/>
  <c r="O37" i="26"/>
  <c r="O35" i="26"/>
  <c r="O34" i="26"/>
  <c r="L42" i="26"/>
  <c r="M41" i="26"/>
  <c r="L41" i="26"/>
  <c r="L40" i="26"/>
  <c r="L39" i="26"/>
  <c r="L38" i="26"/>
  <c r="L37" i="26"/>
  <c r="L35" i="26"/>
  <c r="L34" i="26"/>
  <c r="I42" i="26"/>
  <c r="J41" i="26"/>
  <c r="I41" i="26"/>
  <c r="I40" i="26"/>
  <c r="I39" i="26"/>
  <c r="I38" i="26"/>
  <c r="I37" i="26"/>
  <c r="I35" i="26"/>
  <c r="I34" i="26"/>
  <c r="C22" i="26"/>
  <c r="C23" i="26"/>
  <c r="C24" i="26"/>
  <c r="C25" i="26"/>
  <c r="C26" i="26"/>
  <c r="C27" i="26"/>
  <c r="C28" i="26"/>
  <c r="C29" i="26"/>
  <c r="C21" i="26"/>
  <c r="D22" i="26"/>
  <c r="D24" i="26"/>
  <c r="D25" i="26"/>
  <c r="D26" i="26"/>
  <c r="D27" i="26"/>
  <c r="D28" i="26"/>
  <c r="E41" i="26"/>
  <c r="D29" i="26"/>
  <c r="D21" i="26"/>
  <c r="O23" i="26"/>
  <c r="L23" i="26"/>
  <c r="I23" i="26"/>
  <c r="I36" i="26"/>
  <c r="G15" i="26"/>
  <c r="O10" i="26"/>
  <c r="L10" i="26"/>
  <c r="I10" i="26"/>
  <c r="D10" i="26"/>
  <c r="D23" i="26"/>
  <c r="T9" i="20"/>
  <c r="R9" i="20"/>
  <c r="P9" i="20"/>
  <c r="N9" i="20"/>
  <c r="J9" i="20"/>
  <c r="H9" i="20"/>
  <c r="F9" i="20"/>
  <c r="D9" i="20"/>
  <c r="L8" i="20"/>
  <c r="L9" i="20"/>
  <c r="L10" i="20"/>
  <c r="L11" i="20"/>
  <c r="L12" i="20"/>
  <c r="L13" i="20"/>
  <c r="L14" i="20"/>
  <c r="L15" i="20"/>
  <c r="L7" i="20"/>
  <c r="L36" i="26"/>
  <c r="O36" i="26"/>
  <c r="Q174" i="3"/>
  <c r="X357" i="3"/>
  <c r="Y357" i="3"/>
  <c r="Z357" i="3"/>
  <c r="AA357" i="3"/>
  <c r="AC357" i="3"/>
  <c r="AD357" i="3"/>
  <c r="AE357" i="3"/>
  <c r="E77" i="3"/>
  <c r="AF357" i="3"/>
  <c r="AA205" i="3"/>
  <c r="AQ205" i="3"/>
  <c r="AL205" i="3"/>
  <c r="AL214" i="3"/>
  <c r="AQ214" i="3"/>
  <c r="AG205" i="3"/>
  <c r="AB205" i="3"/>
  <c r="V204" i="3"/>
  <c r="W204" i="3"/>
  <c r="W213" i="3"/>
  <c r="V202" i="3"/>
  <c r="AH357" i="3"/>
  <c r="AI357" i="3"/>
  <c r="T230" i="3"/>
  <c r="U230" i="3"/>
  <c r="V230" i="3"/>
  <c r="X230" i="3"/>
  <c r="Y230" i="3"/>
  <c r="Z230" i="3"/>
  <c r="AA230" i="3"/>
  <c r="AC230" i="3"/>
  <c r="AD230" i="3"/>
  <c r="AE230" i="3"/>
  <c r="AF230" i="3"/>
  <c r="AH230" i="3"/>
  <c r="AI230" i="3"/>
  <c r="AJ230" i="3"/>
  <c r="AK230" i="3"/>
  <c r="AM230" i="3"/>
  <c r="AN230" i="3"/>
  <c r="AO230" i="3"/>
  <c r="AP230" i="3"/>
  <c r="AJ357" i="3"/>
  <c r="D299" i="3"/>
  <c r="H200" i="3"/>
  <c r="G206" i="3"/>
  <c r="AO26" i="3"/>
  <c r="AN26" i="3"/>
  <c r="AM26" i="3"/>
  <c r="AQ21" i="3"/>
  <c r="AJ26" i="3"/>
  <c r="AI26" i="3"/>
  <c r="AH26" i="3"/>
  <c r="AL21" i="3"/>
  <c r="AE26" i="3"/>
  <c r="AD26" i="3"/>
  <c r="AC26" i="3"/>
  <c r="AG21" i="3"/>
  <c r="Z26" i="3"/>
  <c r="Y26" i="3"/>
  <c r="X26" i="3"/>
  <c r="AB21" i="3"/>
  <c r="AQ242" i="3"/>
  <c r="AQ238" i="3"/>
  <c r="AQ236" i="3"/>
  <c r="AQ234" i="3"/>
  <c r="AL242" i="3"/>
  <c r="AL238" i="3"/>
  <c r="AL236" i="3"/>
  <c r="AL234" i="3"/>
  <c r="AG242" i="3"/>
  <c r="AG238" i="3"/>
  <c r="AG236" i="3"/>
  <c r="AG234" i="3"/>
  <c r="AB242" i="3"/>
  <c r="AB238" i="3"/>
  <c r="AB236" i="3"/>
  <c r="AB234" i="3"/>
  <c r="W242" i="3"/>
  <c r="T241" i="3"/>
  <c r="U241" i="3"/>
  <c r="W236" i="3"/>
  <c r="T235" i="3"/>
  <c r="U235" i="3"/>
  <c r="V235" i="3"/>
  <c r="W234" i="3"/>
  <c r="V46" i="3"/>
  <c r="AA46" i="3"/>
  <c r="AF46" i="3"/>
  <c r="AK46" i="3"/>
  <c r="AP46" i="3"/>
  <c r="U46" i="3"/>
  <c r="Z46" i="3"/>
  <c r="AE46" i="3"/>
  <c r="AJ46" i="3"/>
  <c r="AO46" i="3"/>
  <c r="T46" i="3"/>
  <c r="Y46" i="3"/>
  <c r="AD46" i="3"/>
  <c r="AI46" i="3"/>
  <c r="AN46" i="3"/>
  <c r="X46" i="3"/>
  <c r="X33" i="3"/>
  <c r="Y33" i="3"/>
  <c r="Z33" i="3"/>
  <c r="AA33" i="3"/>
  <c r="AC33" i="3"/>
  <c r="AD33" i="3"/>
  <c r="AE33" i="3"/>
  <c r="AF33" i="3"/>
  <c r="AH33" i="3"/>
  <c r="AI33" i="3"/>
  <c r="AJ33" i="3"/>
  <c r="AK33" i="3"/>
  <c r="AM33" i="3"/>
  <c r="AN33" i="3"/>
  <c r="AO33" i="3"/>
  <c r="AP33" i="3"/>
  <c r="AQ339" i="3"/>
  <c r="AQ337" i="3"/>
  <c r="AQ336" i="3"/>
  <c r="AQ333" i="3"/>
  <c r="AQ326" i="3"/>
  <c r="AO320" i="3"/>
  <c r="AN320" i="3"/>
  <c r="AM320" i="3"/>
  <c r="AQ316" i="3"/>
  <c r="AP314" i="3"/>
  <c r="AO314" i="3"/>
  <c r="AN314" i="3"/>
  <c r="AM314" i="3"/>
  <c r="AL339" i="3"/>
  <c r="AL337" i="3"/>
  <c r="AL336" i="3"/>
  <c r="AL333" i="3"/>
  <c r="AL326" i="3"/>
  <c r="AJ320" i="3"/>
  <c r="AI320" i="3"/>
  <c r="AH320" i="3"/>
  <c r="AL316" i="3"/>
  <c r="AK314" i="3"/>
  <c r="AJ314" i="3"/>
  <c r="AI314" i="3"/>
  <c r="AH314" i="3"/>
  <c r="AG339" i="3"/>
  <c r="AG337" i="3"/>
  <c r="AG336" i="3"/>
  <c r="AG333" i="3"/>
  <c r="AG326" i="3"/>
  <c r="AE320" i="3"/>
  <c r="AD320" i="3"/>
  <c r="AC320" i="3"/>
  <c r="AG316" i="3"/>
  <c r="AF314" i="3"/>
  <c r="AE314" i="3"/>
  <c r="AD314" i="3"/>
  <c r="AC314" i="3"/>
  <c r="AB339" i="3"/>
  <c r="AB337" i="3"/>
  <c r="AB336" i="3"/>
  <c r="AB333" i="3"/>
  <c r="AB326" i="3"/>
  <c r="Z320" i="3"/>
  <c r="Y320" i="3"/>
  <c r="X320" i="3"/>
  <c r="AB316" i="3"/>
  <c r="AA314" i="3"/>
  <c r="Z314" i="3"/>
  <c r="Y314" i="3"/>
  <c r="X314" i="3"/>
  <c r="AQ250" i="3"/>
  <c r="AL250" i="3"/>
  <c r="AG250" i="3"/>
  <c r="AB250" i="3"/>
  <c r="T320" i="3"/>
  <c r="U320" i="3"/>
  <c r="R189" i="3"/>
  <c r="R268" i="3"/>
  <c r="R285" i="3"/>
  <c r="T281" i="3"/>
  <c r="U281" i="3"/>
  <c r="V281" i="3"/>
  <c r="T277" i="3"/>
  <c r="U277" i="3"/>
  <c r="V277" i="3"/>
  <c r="X277" i="3"/>
  <c r="Y277" i="3"/>
  <c r="Z277" i="3"/>
  <c r="AA277" i="3"/>
  <c r="W281" i="3"/>
  <c r="AK357" i="3"/>
  <c r="W235" i="3"/>
  <c r="AB277" i="3"/>
  <c r="AC277" i="3"/>
  <c r="AD277" i="3"/>
  <c r="AE277" i="3"/>
  <c r="AF277" i="3"/>
  <c r="X239" i="3"/>
  <c r="X237" i="3"/>
  <c r="X235" i="3"/>
  <c r="Y224" i="3"/>
  <c r="AB46" i="3"/>
  <c r="AC46" i="3"/>
  <c r="T251" i="3"/>
  <c r="AB314" i="3"/>
  <c r="X241" i="3"/>
  <c r="AQ314" i="3"/>
  <c r="W237" i="3"/>
  <c r="AL314" i="3"/>
  <c r="AQ33" i="3"/>
  <c r="AL33" i="3"/>
  <c r="AG33" i="3"/>
  <c r="AG314" i="3"/>
  <c r="AB33" i="3"/>
  <c r="T271" i="3"/>
  <c r="U271" i="3"/>
  <c r="V271" i="3"/>
  <c r="X271" i="3"/>
  <c r="Y271" i="3"/>
  <c r="Z271" i="3"/>
  <c r="AA271" i="3"/>
  <c r="T314" i="3"/>
  <c r="U314" i="3"/>
  <c r="V314" i="3"/>
  <c r="D355" i="3"/>
  <c r="I354" i="3"/>
  <c r="N354" i="3"/>
  <c r="D354" i="3"/>
  <c r="Q303" i="3"/>
  <c r="Q302" i="3"/>
  <c r="Q296" i="3"/>
  <c r="V296" i="3"/>
  <c r="Q294" i="3"/>
  <c r="Q297" i="3"/>
  <c r="AA296" i="3"/>
  <c r="AM357" i="3"/>
  <c r="AN357" i="3"/>
  <c r="T239" i="3"/>
  <c r="X39" i="3"/>
  <c r="AG46" i="3"/>
  <c r="AG47" i="3"/>
  <c r="AH46" i="3"/>
  <c r="AG277" i="3"/>
  <c r="AH277" i="3"/>
  <c r="AI277" i="3"/>
  <c r="AJ277" i="3"/>
  <c r="AK277" i="3"/>
  <c r="AB271" i="3"/>
  <c r="AC271" i="3"/>
  <c r="AD271" i="3"/>
  <c r="AE271" i="3"/>
  <c r="AF271" i="3"/>
  <c r="Y237" i="3"/>
  <c r="Z224" i="3"/>
  <c r="Y235" i="3"/>
  <c r="Y241" i="3"/>
  <c r="Y239" i="3"/>
  <c r="T270" i="3"/>
  <c r="U270" i="3"/>
  <c r="V270" i="3"/>
  <c r="X270" i="3"/>
  <c r="Y270" i="3"/>
  <c r="Z270" i="3"/>
  <c r="AA270" i="3"/>
  <c r="I90" i="3"/>
  <c r="AO357" i="3"/>
  <c r="AP357" i="3"/>
  <c r="AA297" i="3"/>
  <c r="AF296" i="3"/>
  <c r="V239" i="3"/>
  <c r="U239" i="3"/>
  <c r="U39" i="3"/>
  <c r="Y39" i="3"/>
  <c r="Z235" i="3"/>
  <c r="Z241" i="3"/>
  <c r="AA224" i="3"/>
  <c r="AC224" i="3"/>
  <c r="Z239" i="3"/>
  <c r="Z237" i="3"/>
  <c r="AL277" i="3"/>
  <c r="AM277" i="3"/>
  <c r="AN277" i="3"/>
  <c r="AO277" i="3"/>
  <c r="AP277" i="3"/>
  <c r="AQ277" i="3"/>
  <c r="AB270" i="3"/>
  <c r="AC270" i="3"/>
  <c r="AD270" i="3"/>
  <c r="AE270" i="3"/>
  <c r="AF270" i="3"/>
  <c r="AG271" i="3"/>
  <c r="AH271" i="3"/>
  <c r="AI271" i="3"/>
  <c r="AJ271" i="3"/>
  <c r="AK271" i="3"/>
  <c r="AL46" i="3"/>
  <c r="AL47" i="3"/>
  <c r="AM46" i="3"/>
  <c r="AQ46" i="3"/>
  <c r="D26" i="3"/>
  <c r="E26" i="3"/>
  <c r="F26" i="3"/>
  <c r="G26" i="3"/>
  <c r="H26" i="3"/>
  <c r="D39" i="3"/>
  <c r="E39" i="3"/>
  <c r="F39" i="3"/>
  <c r="G39" i="3"/>
  <c r="H39" i="3"/>
  <c r="L239" i="3"/>
  <c r="L238" i="3"/>
  <c r="L26" i="3"/>
  <c r="R39" i="3"/>
  <c r="S39" i="3"/>
  <c r="T39" i="3"/>
  <c r="I39" i="3"/>
  <c r="J39" i="3"/>
  <c r="K39" i="3"/>
  <c r="L39" i="3"/>
  <c r="N39" i="3"/>
  <c r="O39" i="3"/>
  <c r="P39" i="3"/>
  <c r="S26" i="3"/>
  <c r="T26" i="3"/>
  <c r="U26" i="3"/>
  <c r="I26" i="3"/>
  <c r="J26" i="3"/>
  <c r="K26" i="3"/>
  <c r="N26" i="3"/>
  <c r="O26" i="3"/>
  <c r="P26" i="3"/>
  <c r="R26" i="3"/>
  <c r="Q39" i="3"/>
  <c r="Q26" i="3"/>
  <c r="M239" i="3"/>
  <c r="M39" i="3"/>
  <c r="M238" i="3"/>
  <c r="M26" i="3"/>
  <c r="E348" i="3"/>
  <c r="F348" i="3"/>
  <c r="G348" i="3"/>
  <c r="I348" i="3"/>
  <c r="J348" i="3"/>
  <c r="K348" i="3"/>
  <c r="L348" i="3"/>
  <c r="N348" i="3"/>
  <c r="O348" i="3"/>
  <c r="P348" i="3"/>
  <c r="Q348" i="3"/>
  <c r="D348" i="3"/>
  <c r="N231" i="3"/>
  <c r="P231" i="3"/>
  <c r="H231" i="3"/>
  <c r="G231" i="3"/>
  <c r="M231" i="3"/>
  <c r="M31" i="3"/>
  <c r="H31" i="3"/>
  <c r="R200" i="3"/>
  <c r="R197" i="3"/>
  <c r="R199" i="3"/>
  <c r="W199" i="3"/>
  <c r="Q198" i="3"/>
  <c r="R198" i="3"/>
  <c r="R192" i="3"/>
  <c r="R203" i="3"/>
  <c r="P133" i="3"/>
  <c r="O133" i="3"/>
  <c r="AF297" i="3"/>
  <c r="AK296" i="3"/>
  <c r="AQ47" i="3"/>
  <c r="W239" i="3"/>
  <c r="W238" i="3"/>
  <c r="AA239" i="3"/>
  <c r="AB239" i="3"/>
  <c r="AA237" i="3"/>
  <c r="AB237" i="3"/>
  <c r="AA235" i="3"/>
  <c r="AB235" i="3"/>
  <c r="AG270" i="3"/>
  <c r="AH270" i="3"/>
  <c r="AI270" i="3"/>
  <c r="AJ270" i="3"/>
  <c r="AK270" i="3"/>
  <c r="Z39" i="3"/>
  <c r="AL271" i="3"/>
  <c r="AM271" i="3"/>
  <c r="AN271" i="3"/>
  <c r="AO271" i="3"/>
  <c r="AP271" i="3"/>
  <c r="AQ271" i="3"/>
  <c r="R193" i="3"/>
  <c r="W192" i="3"/>
  <c r="G59" i="3"/>
  <c r="F59" i="3"/>
  <c r="E59" i="3"/>
  <c r="D59" i="3"/>
  <c r="G170" i="3"/>
  <c r="F170" i="3"/>
  <c r="E170" i="3"/>
  <c r="D170" i="3"/>
  <c r="G156" i="3"/>
  <c r="F156" i="3"/>
  <c r="E156" i="3"/>
  <c r="D156" i="3"/>
  <c r="G154" i="3"/>
  <c r="F154" i="3"/>
  <c r="E154" i="3"/>
  <c r="D154" i="3"/>
  <c r="G139" i="3"/>
  <c r="F139" i="3"/>
  <c r="E139" i="3"/>
  <c r="D139" i="3"/>
  <c r="G137" i="3"/>
  <c r="F137" i="3"/>
  <c r="E137" i="3"/>
  <c r="D137" i="3"/>
  <c r="G131" i="3"/>
  <c r="F131" i="3"/>
  <c r="E131" i="3"/>
  <c r="D131" i="3"/>
  <c r="G129" i="3"/>
  <c r="F129" i="3"/>
  <c r="E129" i="3"/>
  <c r="D129" i="3"/>
  <c r="G125" i="3"/>
  <c r="F125" i="3"/>
  <c r="E125" i="3"/>
  <c r="D125" i="3"/>
  <c r="G123" i="3"/>
  <c r="F123" i="3"/>
  <c r="E123" i="3"/>
  <c r="D123" i="3"/>
  <c r="G119" i="3"/>
  <c r="F119" i="3"/>
  <c r="E119" i="3"/>
  <c r="D119" i="3"/>
  <c r="G117" i="3"/>
  <c r="F117" i="3"/>
  <c r="E117" i="3"/>
  <c r="D117" i="3"/>
  <c r="G113" i="3"/>
  <c r="F113" i="3"/>
  <c r="E113" i="3"/>
  <c r="D113" i="3"/>
  <c r="G111" i="3"/>
  <c r="F111" i="3"/>
  <c r="E111" i="3"/>
  <c r="D111" i="3"/>
  <c r="AK297" i="3"/>
  <c r="AP296" i="3"/>
  <c r="AP297" i="3"/>
  <c r="W193" i="3"/>
  <c r="AL270" i="3"/>
  <c r="AM270" i="3"/>
  <c r="AN270" i="3"/>
  <c r="AO270" i="3"/>
  <c r="AP270" i="3"/>
  <c r="AQ270" i="3"/>
  <c r="AD224" i="3"/>
  <c r="AC237" i="3"/>
  <c r="AC235" i="3"/>
  <c r="AC241" i="3"/>
  <c r="AC239" i="3"/>
  <c r="G107" i="3"/>
  <c r="F107" i="3"/>
  <c r="E107" i="3"/>
  <c r="D107" i="3"/>
  <c r="G105" i="3"/>
  <c r="F105" i="3"/>
  <c r="E105" i="3"/>
  <c r="D105" i="3"/>
  <c r="G101" i="3"/>
  <c r="F101" i="3"/>
  <c r="E101" i="3"/>
  <c r="D101" i="3"/>
  <c r="G99" i="3"/>
  <c r="F99" i="3"/>
  <c r="E99" i="3"/>
  <c r="D99" i="3"/>
  <c r="G95" i="3"/>
  <c r="F95" i="3"/>
  <c r="E95" i="3"/>
  <c r="D95" i="3"/>
  <c r="G93" i="3"/>
  <c r="F93" i="3"/>
  <c r="E93" i="3"/>
  <c r="D93" i="3"/>
  <c r="G89" i="3"/>
  <c r="F89" i="3"/>
  <c r="E89" i="3"/>
  <c r="D89" i="3"/>
  <c r="G87" i="3"/>
  <c r="F87" i="3"/>
  <c r="E87" i="3"/>
  <c r="D87" i="3"/>
  <c r="G83" i="3"/>
  <c r="F83" i="3"/>
  <c r="E83" i="3"/>
  <c r="D83" i="3"/>
  <c r="G81" i="3"/>
  <c r="F81" i="3"/>
  <c r="E81" i="3"/>
  <c r="D81" i="3"/>
  <c r="G75" i="3"/>
  <c r="F75" i="3"/>
  <c r="E75" i="3"/>
  <c r="D75" i="3"/>
  <c r="G77" i="3"/>
  <c r="F77" i="3"/>
  <c r="D77" i="3"/>
  <c r="G47" i="3"/>
  <c r="F47" i="3"/>
  <c r="E47" i="3"/>
  <c r="D47" i="3"/>
  <c r="AE224" i="3"/>
  <c r="AF224" i="3"/>
  <c r="AH224" i="3"/>
  <c r="AI224" i="3"/>
  <c r="AJ224" i="3"/>
  <c r="AK224" i="3"/>
  <c r="AM224" i="3"/>
  <c r="AN224" i="3"/>
  <c r="AO224" i="3"/>
  <c r="AP224" i="3"/>
  <c r="AD235" i="3"/>
  <c r="AD241" i="3"/>
  <c r="AD239" i="3"/>
  <c r="AD237" i="3"/>
  <c r="AC39" i="3"/>
  <c r="H284" i="3"/>
  <c r="W250" i="3"/>
  <c r="W270" i="3"/>
  <c r="W271" i="3"/>
  <c r="R256" i="3"/>
  <c r="P286" i="3"/>
  <c r="W339" i="3"/>
  <c r="W336" i="3"/>
  <c r="W333" i="3"/>
  <c r="W326" i="3"/>
  <c r="W316" i="3"/>
  <c r="W314" i="3"/>
  <c r="Q336" i="3"/>
  <c r="R336" i="3"/>
  <c r="Q177" i="3"/>
  <c r="Q176" i="3"/>
  <c r="Q47" i="3"/>
  <c r="L47" i="3"/>
  <c r="D206" i="3"/>
  <c r="H202" i="3"/>
  <c r="AD39" i="3"/>
  <c r="AE241" i="3"/>
  <c r="AE239" i="3"/>
  <c r="AE237" i="3"/>
  <c r="AE235" i="3"/>
  <c r="D174" i="3"/>
  <c r="D177" i="3"/>
  <c r="D176" i="3"/>
  <c r="AE39" i="3"/>
  <c r="AF239" i="3"/>
  <c r="AG239" i="3"/>
  <c r="AF237" i="3"/>
  <c r="AG237" i="3"/>
  <c r="AF235" i="3"/>
  <c r="AG235" i="3"/>
  <c r="Q170" i="3"/>
  <c r="Q153" i="3"/>
  <c r="I153" i="3"/>
  <c r="I160" i="3"/>
  <c r="G160" i="3"/>
  <c r="F160" i="3"/>
  <c r="E160" i="3"/>
  <c r="E152" i="3"/>
  <c r="D160" i="3"/>
  <c r="Q143" i="3"/>
  <c r="P143" i="3"/>
  <c r="O143" i="3"/>
  <c r="N143" i="3"/>
  <c r="L143" i="3"/>
  <c r="K143" i="3"/>
  <c r="J143" i="3"/>
  <c r="I143" i="3"/>
  <c r="G143" i="3"/>
  <c r="F143" i="3"/>
  <c r="E143" i="3"/>
  <c r="D143" i="3"/>
  <c r="D149" i="3"/>
  <c r="D150" i="3"/>
  <c r="Q133" i="3"/>
  <c r="N133" i="3"/>
  <c r="L133" i="3"/>
  <c r="K133" i="3"/>
  <c r="J133" i="3"/>
  <c r="I133" i="3"/>
  <c r="G133" i="3"/>
  <c r="F133" i="3"/>
  <c r="E133" i="3"/>
  <c r="D133" i="3"/>
  <c r="Q126" i="3"/>
  <c r="P126" i="3"/>
  <c r="O126" i="3"/>
  <c r="N126" i="3"/>
  <c r="L126" i="3"/>
  <c r="K126" i="3"/>
  <c r="J126" i="3"/>
  <c r="I126" i="3"/>
  <c r="G126" i="3"/>
  <c r="F126" i="3"/>
  <c r="E126" i="3"/>
  <c r="D126" i="3"/>
  <c r="Q120" i="3"/>
  <c r="P120" i="3"/>
  <c r="O120" i="3"/>
  <c r="N120" i="3"/>
  <c r="L120" i="3"/>
  <c r="K120" i="3"/>
  <c r="J120" i="3"/>
  <c r="I120" i="3"/>
  <c r="G120" i="3"/>
  <c r="F120" i="3"/>
  <c r="E120" i="3"/>
  <c r="D120" i="3"/>
  <c r="Q114" i="3"/>
  <c r="P114" i="3"/>
  <c r="O114" i="3"/>
  <c r="N114" i="3"/>
  <c r="L114" i="3"/>
  <c r="K114" i="3"/>
  <c r="J114" i="3"/>
  <c r="I114" i="3"/>
  <c r="G114" i="3"/>
  <c r="F114" i="3"/>
  <c r="E114" i="3"/>
  <c r="D114" i="3"/>
  <c r="Q108" i="3"/>
  <c r="P108" i="3"/>
  <c r="O108" i="3"/>
  <c r="N108" i="3"/>
  <c r="L108" i="3"/>
  <c r="K108" i="3"/>
  <c r="J108" i="3"/>
  <c r="I108" i="3"/>
  <c r="G108" i="3"/>
  <c r="F108" i="3"/>
  <c r="E108" i="3"/>
  <c r="D108" i="3"/>
  <c r="Q102" i="3"/>
  <c r="P102" i="3"/>
  <c r="O102" i="3"/>
  <c r="N102" i="3"/>
  <c r="L102" i="3"/>
  <c r="K102" i="3"/>
  <c r="J102" i="3"/>
  <c r="I102" i="3"/>
  <c r="G102" i="3"/>
  <c r="F102" i="3"/>
  <c r="E102" i="3"/>
  <c r="D102" i="3"/>
  <c r="Q96" i="3"/>
  <c r="P96" i="3"/>
  <c r="O96" i="3"/>
  <c r="N96" i="3"/>
  <c r="L96" i="3"/>
  <c r="K96" i="3"/>
  <c r="J96" i="3"/>
  <c r="I96" i="3"/>
  <c r="G96" i="3"/>
  <c r="F96" i="3"/>
  <c r="E96" i="3"/>
  <c r="D96" i="3"/>
  <c r="Q90" i="3"/>
  <c r="P90" i="3"/>
  <c r="O90" i="3"/>
  <c r="N90" i="3"/>
  <c r="L90" i="3"/>
  <c r="K90" i="3"/>
  <c r="J90" i="3"/>
  <c r="G90" i="3"/>
  <c r="F90" i="3"/>
  <c r="E90" i="3"/>
  <c r="D90" i="3"/>
  <c r="Q84" i="3"/>
  <c r="P84" i="3"/>
  <c r="O84" i="3"/>
  <c r="N84" i="3"/>
  <c r="L84" i="3"/>
  <c r="K84" i="3"/>
  <c r="J84" i="3"/>
  <c r="I84" i="3"/>
  <c r="G84" i="3"/>
  <c r="F84" i="3"/>
  <c r="E84" i="3"/>
  <c r="D84" i="3"/>
  <c r="Q78" i="3"/>
  <c r="P78" i="3"/>
  <c r="O78" i="3"/>
  <c r="N78" i="3"/>
  <c r="L78" i="3"/>
  <c r="K78" i="3"/>
  <c r="J78" i="3"/>
  <c r="I78" i="3"/>
  <c r="G78" i="3"/>
  <c r="F78" i="3"/>
  <c r="E78" i="3"/>
  <c r="D78" i="3"/>
  <c r="Q141" i="3"/>
  <c r="P141" i="3"/>
  <c r="O141" i="3"/>
  <c r="N141" i="3"/>
  <c r="L141" i="3"/>
  <c r="J141" i="3"/>
  <c r="K141" i="3"/>
  <c r="I141" i="3"/>
  <c r="Q52" i="3"/>
  <c r="N52" i="3"/>
  <c r="L55" i="3"/>
  <c r="L52" i="3"/>
  <c r="K52" i="3"/>
  <c r="J55" i="3"/>
  <c r="J52" i="3"/>
  <c r="Q59" i="3"/>
  <c r="Q158" i="3"/>
  <c r="Q156" i="3"/>
  <c r="Q139" i="3"/>
  <c r="Q137" i="3"/>
  <c r="Q131" i="3"/>
  <c r="Q129" i="3"/>
  <c r="Q125" i="3"/>
  <c r="Q123" i="3"/>
  <c r="Q119" i="3"/>
  <c r="Q117" i="3"/>
  <c r="Q113" i="3"/>
  <c r="Q111" i="3"/>
  <c r="Q107" i="3"/>
  <c r="Q105" i="3"/>
  <c r="Q101" i="3"/>
  <c r="Q99" i="3"/>
  <c r="Q95" i="3"/>
  <c r="Q93" i="3"/>
  <c r="Q89" i="3"/>
  <c r="Q87" i="3"/>
  <c r="Q83" i="3"/>
  <c r="Q81" i="3"/>
  <c r="Q77" i="3"/>
  <c r="Q75" i="3"/>
  <c r="Q160" i="3"/>
  <c r="Q165" i="3"/>
  <c r="V165" i="3"/>
  <c r="AA165" i="3"/>
  <c r="AF165" i="3"/>
  <c r="AH235" i="3"/>
  <c r="AH241" i="3"/>
  <c r="AH239" i="3"/>
  <c r="AH237" i="3"/>
  <c r="D144" i="3"/>
  <c r="D135" i="3"/>
  <c r="D148" i="3"/>
  <c r="N299" i="3"/>
  <c r="X299" i="3"/>
  <c r="AC299" i="3"/>
  <c r="AH299" i="3"/>
  <c r="AM299" i="3"/>
  <c r="P299" i="3"/>
  <c r="U299" i="3"/>
  <c r="Z299" i="3"/>
  <c r="AE299" i="3"/>
  <c r="AJ299" i="3"/>
  <c r="AO299" i="3"/>
  <c r="O299" i="3"/>
  <c r="T299" i="3"/>
  <c r="Y299" i="3"/>
  <c r="AD299" i="3"/>
  <c r="AI299" i="3"/>
  <c r="AN299" i="3"/>
  <c r="I299" i="3"/>
  <c r="L299" i="3"/>
  <c r="K299" i="3"/>
  <c r="J299" i="3"/>
  <c r="F299" i="3"/>
  <c r="G299" i="3"/>
  <c r="E299" i="3"/>
  <c r="AK165" i="3"/>
  <c r="AP165" i="3"/>
  <c r="AH39" i="3"/>
  <c r="AI241" i="3"/>
  <c r="AI239" i="3"/>
  <c r="AI237" i="3"/>
  <c r="AI235" i="3"/>
  <c r="T140" i="3"/>
  <c r="AQ200" i="3"/>
  <c r="AQ197" i="3"/>
  <c r="AL200" i="3"/>
  <c r="AL197" i="3"/>
  <c r="AG200" i="3"/>
  <c r="AG197" i="3"/>
  <c r="AB200" i="3"/>
  <c r="AB197" i="3"/>
  <c r="AB199" i="3"/>
  <c r="AG199" i="3"/>
  <c r="W197" i="3"/>
  <c r="F200" i="3"/>
  <c r="E200" i="3"/>
  <c r="E197" i="3"/>
  <c r="F197" i="3"/>
  <c r="G197" i="3"/>
  <c r="D200" i="3"/>
  <c r="K197" i="3"/>
  <c r="L197" i="3"/>
  <c r="J200" i="3"/>
  <c r="O200" i="3"/>
  <c r="O197" i="3"/>
  <c r="P197" i="3"/>
  <c r="Q197" i="3"/>
  <c r="J194" i="3"/>
  <c r="O194" i="3"/>
  <c r="I200" i="3"/>
  <c r="N200" i="3"/>
  <c r="I194" i="3"/>
  <c r="R204" i="3"/>
  <c r="K200" i="3"/>
  <c r="P200" i="3"/>
  <c r="K194" i="3"/>
  <c r="P194" i="3"/>
  <c r="M192" i="3"/>
  <c r="M193" i="3"/>
  <c r="H192" i="3"/>
  <c r="H193" i="3"/>
  <c r="R283" i="3"/>
  <c r="R284" i="3"/>
  <c r="P298" i="3"/>
  <c r="U298" i="3"/>
  <c r="Z298" i="3"/>
  <c r="AE298" i="3"/>
  <c r="AJ298" i="3"/>
  <c r="AO298" i="3"/>
  <c r="O298" i="3"/>
  <c r="T298" i="3"/>
  <c r="Y298" i="3"/>
  <c r="AD298" i="3"/>
  <c r="AI298" i="3"/>
  <c r="AN298" i="3"/>
  <c r="N298" i="3"/>
  <c r="X298" i="3"/>
  <c r="AC298" i="3"/>
  <c r="AH298" i="3"/>
  <c r="AM298" i="3"/>
  <c r="I298" i="3"/>
  <c r="L298" i="3"/>
  <c r="K298" i="3"/>
  <c r="J298" i="3"/>
  <c r="F298" i="3"/>
  <c r="G298" i="3"/>
  <c r="E298" i="3"/>
  <c r="D298" i="3"/>
  <c r="I296" i="3"/>
  <c r="P303" i="3"/>
  <c r="T303" i="3"/>
  <c r="U303" i="3"/>
  <c r="V303" i="3"/>
  <c r="X303" i="3"/>
  <c r="Y303" i="3"/>
  <c r="Z303" i="3"/>
  <c r="AA303" i="3"/>
  <c r="AC303" i="3"/>
  <c r="AD303" i="3"/>
  <c r="AE303" i="3"/>
  <c r="AF303" i="3"/>
  <c r="AH303" i="3"/>
  <c r="AI303" i="3"/>
  <c r="AJ303" i="3"/>
  <c r="AK303" i="3"/>
  <c r="AM303" i="3"/>
  <c r="AN303" i="3"/>
  <c r="AO303" i="3"/>
  <c r="AP303" i="3"/>
  <c r="O303" i="3"/>
  <c r="N303" i="3"/>
  <c r="P302" i="3"/>
  <c r="T302" i="3"/>
  <c r="U302" i="3"/>
  <c r="V302" i="3"/>
  <c r="X302" i="3"/>
  <c r="Y302" i="3"/>
  <c r="Z302" i="3"/>
  <c r="AA302" i="3"/>
  <c r="AC302" i="3"/>
  <c r="AD302" i="3"/>
  <c r="AE302" i="3"/>
  <c r="AF302" i="3"/>
  <c r="AH302" i="3"/>
  <c r="AI302" i="3"/>
  <c r="AJ302" i="3"/>
  <c r="AK302" i="3"/>
  <c r="AM302" i="3"/>
  <c r="AN302" i="3"/>
  <c r="AO302" i="3"/>
  <c r="AP302" i="3"/>
  <c r="O302" i="3"/>
  <c r="N302" i="3"/>
  <c r="L303" i="3"/>
  <c r="K303" i="3"/>
  <c r="J303" i="3"/>
  <c r="I303" i="3"/>
  <c r="L302" i="3"/>
  <c r="K302" i="3"/>
  <c r="J302" i="3"/>
  <c r="I302" i="3"/>
  <c r="E302" i="3"/>
  <c r="F302" i="3"/>
  <c r="G302" i="3"/>
  <c r="E303" i="3"/>
  <c r="F303" i="3"/>
  <c r="G303" i="3"/>
  <c r="D303" i="3"/>
  <c r="D302" i="3"/>
  <c r="I357" i="3"/>
  <c r="N357" i="3"/>
  <c r="D357" i="3"/>
  <c r="G200" i="3"/>
  <c r="Q200" i="3"/>
  <c r="AI39" i="3"/>
  <c r="AJ239" i="3"/>
  <c r="AJ237" i="3"/>
  <c r="AJ235" i="3"/>
  <c r="AJ241" i="3"/>
  <c r="W283" i="3"/>
  <c r="AB283" i="3"/>
  <c r="AG283" i="3"/>
  <c r="AL283" i="3"/>
  <c r="AQ283" i="3"/>
  <c r="AB193" i="3"/>
  <c r="AG193" i="3"/>
  <c r="AL193" i="3"/>
  <c r="AQ193" i="3"/>
  <c r="U140" i="3"/>
  <c r="AL199" i="3"/>
  <c r="AQ199" i="3"/>
  <c r="H194" i="3"/>
  <c r="G194" i="3"/>
  <c r="R267" i="3"/>
  <c r="P294" i="3"/>
  <c r="O294" i="3"/>
  <c r="N294" i="3"/>
  <c r="L294" i="3"/>
  <c r="K294" i="3"/>
  <c r="J294" i="3"/>
  <c r="I294" i="3"/>
  <c r="E294" i="3"/>
  <c r="F294" i="3"/>
  <c r="G294" i="3"/>
  <c r="D294" i="3"/>
  <c r="P292" i="3"/>
  <c r="O292" i="3"/>
  <c r="T292" i="3"/>
  <c r="Y292" i="3"/>
  <c r="N292" i="3"/>
  <c r="X292" i="3"/>
  <c r="E292" i="3"/>
  <c r="D292" i="3"/>
  <c r="I292" i="3"/>
  <c r="I293" i="3"/>
  <c r="X293" i="3"/>
  <c r="AC292" i="3"/>
  <c r="Y293" i="3"/>
  <c r="AD292" i="3"/>
  <c r="P293" i="3"/>
  <c r="U292" i="3"/>
  <c r="Z292" i="3"/>
  <c r="AJ39" i="3"/>
  <c r="X281" i="3"/>
  <c r="W256" i="3"/>
  <c r="AK237" i="3"/>
  <c r="AL237" i="3"/>
  <c r="AK235" i="3"/>
  <c r="AL235" i="3"/>
  <c r="AK239" i="3"/>
  <c r="AL239" i="3"/>
  <c r="M282" i="3"/>
  <c r="AB192" i="3"/>
  <c r="M194" i="3"/>
  <c r="L194" i="3"/>
  <c r="R194" i="3"/>
  <c r="V140" i="3"/>
  <c r="W200" i="3"/>
  <c r="W187" i="3"/>
  <c r="T294" i="3"/>
  <c r="U294" i="3"/>
  <c r="V294" i="3"/>
  <c r="X294" i="3"/>
  <c r="Y294" i="3"/>
  <c r="Z294" i="3"/>
  <c r="AA294" i="3"/>
  <c r="AC294" i="3"/>
  <c r="AD294" i="3"/>
  <c r="AE294" i="3"/>
  <c r="AF294" i="3"/>
  <c r="AH294" i="3"/>
  <c r="AI294" i="3"/>
  <c r="AJ294" i="3"/>
  <c r="AK294" i="3"/>
  <c r="AM294" i="3"/>
  <c r="AN294" i="3"/>
  <c r="AO294" i="3"/>
  <c r="AP294" i="3"/>
  <c r="T313" i="3"/>
  <c r="D221" i="3"/>
  <c r="E221" i="3"/>
  <c r="F221" i="3"/>
  <c r="G221" i="3"/>
  <c r="I221" i="3"/>
  <c r="J221" i="3"/>
  <c r="K221" i="3"/>
  <c r="L221" i="3"/>
  <c r="N221" i="3"/>
  <c r="O221" i="3"/>
  <c r="P221" i="3"/>
  <c r="D222" i="3"/>
  <c r="E222" i="3"/>
  <c r="F222" i="3"/>
  <c r="G222" i="3"/>
  <c r="I222" i="3"/>
  <c r="J222" i="3"/>
  <c r="K222" i="3"/>
  <c r="L222" i="3"/>
  <c r="N222" i="3"/>
  <c r="O222" i="3"/>
  <c r="P222" i="3"/>
  <c r="D223" i="3"/>
  <c r="E223" i="3"/>
  <c r="F223" i="3"/>
  <c r="G223" i="3"/>
  <c r="I223" i="3"/>
  <c r="J223" i="3"/>
  <c r="K223" i="3"/>
  <c r="L223" i="3"/>
  <c r="N223" i="3"/>
  <c r="O223" i="3"/>
  <c r="P223" i="3"/>
  <c r="G217" i="3"/>
  <c r="F217" i="3"/>
  <c r="E217" i="3"/>
  <c r="D217" i="3"/>
  <c r="R34" i="3"/>
  <c r="M200" i="3"/>
  <c r="L200" i="3"/>
  <c r="W211" i="3"/>
  <c r="AB211" i="3"/>
  <c r="AG211" i="3"/>
  <c r="AL211" i="3"/>
  <c r="AQ211" i="3"/>
  <c r="AB212" i="3"/>
  <c r="AA204" i="3"/>
  <c r="W205" i="3"/>
  <c r="P206" i="3"/>
  <c r="O206" i="3"/>
  <c r="N206" i="3"/>
  <c r="R205" i="3"/>
  <c r="I206" i="3"/>
  <c r="J206" i="3"/>
  <c r="M204" i="3"/>
  <c r="M190" i="3"/>
  <c r="H190" i="3"/>
  <c r="M189" i="3"/>
  <c r="H189" i="3"/>
  <c r="L206" i="3"/>
  <c r="K206" i="3"/>
  <c r="F206" i="3"/>
  <c r="E206" i="3"/>
  <c r="H205" i="3"/>
  <c r="H204" i="3"/>
  <c r="M205" i="3"/>
  <c r="M202" i="3"/>
  <c r="P174" i="3"/>
  <c r="G177" i="3"/>
  <c r="G181" i="3"/>
  <c r="F177" i="3"/>
  <c r="F181" i="3"/>
  <c r="E177" i="3"/>
  <c r="E181" i="3"/>
  <c r="D181" i="3"/>
  <c r="G176" i="3"/>
  <c r="F176" i="3"/>
  <c r="E176" i="3"/>
  <c r="G174" i="3"/>
  <c r="F174" i="3"/>
  <c r="E174" i="3"/>
  <c r="L177" i="3"/>
  <c r="L181" i="3"/>
  <c r="K177" i="3"/>
  <c r="K181" i="3"/>
  <c r="J177" i="3"/>
  <c r="J181" i="3"/>
  <c r="I177" i="3"/>
  <c r="I181" i="3"/>
  <c r="L176" i="3"/>
  <c r="K176" i="3"/>
  <c r="J176" i="3"/>
  <c r="I176" i="3"/>
  <c r="L174" i="3"/>
  <c r="K174" i="3"/>
  <c r="J174" i="3"/>
  <c r="I174" i="3"/>
  <c r="O177" i="3"/>
  <c r="O181" i="3"/>
  <c r="N177" i="3"/>
  <c r="N181" i="3"/>
  <c r="O176" i="3"/>
  <c r="N176" i="3"/>
  <c r="O174" i="3"/>
  <c r="N174" i="3"/>
  <c r="P177" i="3"/>
  <c r="P176" i="3"/>
  <c r="P182" i="3"/>
  <c r="H206" i="3"/>
  <c r="AD293" i="3"/>
  <c r="AI292" i="3"/>
  <c r="Z293" i="3"/>
  <c r="AE292" i="3"/>
  <c r="AC293" i="3"/>
  <c r="AH292" i="3"/>
  <c r="AG212" i="3"/>
  <c r="AB204" i="3"/>
  <c r="AG192" i="3"/>
  <c r="AL192" i="3"/>
  <c r="AQ192" i="3"/>
  <c r="X327" i="3"/>
  <c r="AM241" i="3"/>
  <c r="AM239" i="3"/>
  <c r="AM237" i="3"/>
  <c r="AM235" i="3"/>
  <c r="Y281" i="3"/>
  <c r="M284" i="3"/>
  <c r="Q194" i="3"/>
  <c r="S284" i="3"/>
  <c r="U251" i="3"/>
  <c r="AB208" i="3"/>
  <c r="AB213" i="3"/>
  <c r="V194" i="3"/>
  <c r="U194" i="3"/>
  <c r="T194" i="3"/>
  <c r="X140" i="3"/>
  <c r="W188" i="3"/>
  <c r="U313" i="3"/>
  <c r="AB209" i="3"/>
  <c r="M206" i="3"/>
  <c r="P181" i="3"/>
  <c r="N182" i="3"/>
  <c r="K182" i="3"/>
  <c r="F182" i="3"/>
  <c r="L182" i="3"/>
  <c r="G182" i="3"/>
  <c r="I182" i="3"/>
  <c r="D182" i="3"/>
  <c r="O182" i="3"/>
  <c r="J182" i="3"/>
  <c r="E182" i="3"/>
  <c r="AH293" i="3"/>
  <c r="AM292" i="3"/>
  <c r="AM293" i="3"/>
  <c r="T174" i="3"/>
  <c r="U174" i="3"/>
  <c r="V174" i="3"/>
  <c r="X174" i="3"/>
  <c r="Y174" i="3"/>
  <c r="Z174" i="3"/>
  <c r="AI293" i="3"/>
  <c r="AN292" i="3"/>
  <c r="AN293" i="3"/>
  <c r="AE293" i="3"/>
  <c r="AJ292" i="3"/>
  <c r="AA202" i="3"/>
  <c r="AB202" i="3"/>
  <c r="AL212" i="3"/>
  <c r="AF204" i="3"/>
  <c r="AG204" i="3"/>
  <c r="Z281" i="3"/>
  <c r="AM39" i="3"/>
  <c r="AN239" i="3"/>
  <c r="AN237" i="3"/>
  <c r="AN235" i="3"/>
  <c r="AN241" i="3"/>
  <c r="Y327" i="3"/>
  <c r="T282" i="3"/>
  <c r="V251" i="3"/>
  <c r="AG208" i="3"/>
  <c r="W194" i="3"/>
  <c r="Y194" i="3"/>
  <c r="Y140" i="3"/>
  <c r="T206" i="3"/>
  <c r="T22" i="3"/>
  <c r="T315" i="3"/>
  <c r="AB188" i="3"/>
  <c r="Q206" i="3"/>
  <c r="AB187" i="3"/>
  <c r="AG187" i="3"/>
  <c r="AL187" i="3"/>
  <c r="AQ187" i="3"/>
  <c r="AG209" i="3"/>
  <c r="R190" i="3"/>
  <c r="AJ293" i="3"/>
  <c r="AO292" i="3"/>
  <c r="AO293" i="3"/>
  <c r="AL208" i="3"/>
  <c r="AG213" i="3"/>
  <c r="AF202" i="3"/>
  <c r="AG202" i="3"/>
  <c r="AQ212" i="3"/>
  <c r="AP204" i="3"/>
  <c r="AQ204" i="3"/>
  <c r="AK204" i="3"/>
  <c r="AL204" i="3"/>
  <c r="AO237" i="3"/>
  <c r="AO235" i="3"/>
  <c r="AO241" i="3"/>
  <c r="AO239" i="3"/>
  <c r="AN39" i="3"/>
  <c r="AA281" i="3"/>
  <c r="Z327" i="3"/>
  <c r="X251" i="3"/>
  <c r="U282" i="3"/>
  <c r="V282" i="3"/>
  <c r="T284" i="3"/>
  <c r="W267" i="3"/>
  <c r="V313" i="3"/>
  <c r="W313" i="3"/>
  <c r="W251" i="3"/>
  <c r="Z194" i="3"/>
  <c r="AA194" i="3"/>
  <c r="X194" i="3"/>
  <c r="Z140" i="3"/>
  <c r="AG188" i="3"/>
  <c r="Y206" i="3"/>
  <c r="Y22" i="3"/>
  <c r="Y315" i="3"/>
  <c r="S206" i="3"/>
  <c r="R202" i="3"/>
  <c r="R206" i="3"/>
  <c r="U206" i="3"/>
  <c r="U22" i="3"/>
  <c r="U315" i="3"/>
  <c r="AB189" i="3"/>
  <c r="AB190" i="3"/>
  <c r="AL209" i="3"/>
  <c r="W190" i="3"/>
  <c r="W189" i="3"/>
  <c r="AA174" i="3"/>
  <c r="W282" i="3"/>
  <c r="W284" i="3"/>
  <c r="V284" i="3"/>
  <c r="X282" i="3"/>
  <c r="X284" i="3"/>
  <c r="AA320" i="3"/>
  <c r="AQ208" i="3"/>
  <c r="AQ213" i="3"/>
  <c r="AL213" i="3"/>
  <c r="AK202" i="3"/>
  <c r="AL202" i="3"/>
  <c r="Y282" i="3"/>
  <c r="AB256" i="3"/>
  <c r="AA327" i="3"/>
  <c r="AB327" i="3"/>
  <c r="AO39" i="3"/>
  <c r="AB281" i="3"/>
  <c r="AP235" i="3"/>
  <c r="AP239" i="3"/>
  <c r="AQ239" i="3"/>
  <c r="AP237" i="3"/>
  <c r="AQ237" i="3"/>
  <c r="X313" i="3"/>
  <c r="V320" i="3"/>
  <c r="AB320" i="3"/>
  <c r="Y251" i="3"/>
  <c r="U284" i="3"/>
  <c r="AB194" i="3"/>
  <c r="Z206" i="3"/>
  <c r="Z22" i="3"/>
  <c r="Z315" i="3"/>
  <c r="AA140" i="3"/>
  <c r="AC141" i="3"/>
  <c r="V206" i="3"/>
  <c r="AQ209" i="3"/>
  <c r="W202" i="3"/>
  <c r="W206" i="3"/>
  <c r="X206" i="3"/>
  <c r="X22" i="3"/>
  <c r="AA206" i="3"/>
  <c r="AL188" i="3"/>
  <c r="AG190" i="3"/>
  <c r="AG189" i="3"/>
  <c r="AC206" i="3"/>
  <c r="AC22" i="3"/>
  <c r="AC174" i="3"/>
  <c r="AD174" i="3"/>
  <c r="AE174" i="3"/>
  <c r="AF174" i="3"/>
  <c r="V22" i="3"/>
  <c r="V240" i="3"/>
  <c r="AA22" i="3"/>
  <c r="AA315" i="3"/>
  <c r="AA240" i="3"/>
  <c r="AP202" i="3"/>
  <c r="AQ202" i="3"/>
  <c r="Z251" i="3"/>
  <c r="AA251" i="3"/>
  <c r="Z282" i="3"/>
  <c r="Y284" i="3"/>
  <c r="AC315" i="3"/>
  <c r="AC251" i="3"/>
  <c r="Y313" i="3"/>
  <c r="AQ235" i="3"/>
  <c r="AC327" i="3"/>
  <c r="AF320" i="3"/>
  <c r="AG320" i="3"/>
  <c r="X315" i="3"/>
  <c r="AB315" i="3"/>
  <c r="AB22" i="3"/>
  <c r="V315" i="3"/>
  <c r="W315" i="3"/>
  <c r="AC281" i="3"/>
  <c r="AE194" i="3"/>
  <c r="AF194" i="3"/>
  <c r="AD194" i="3"/>
  <c r="AC194" i="3"/>
  <c r="AC140" i="3"/>
  <c r="AD141" i="3"/>
  <c r="AL189" i="3"/>
  <c r="AQ188" i="3"/>
  <c r="AL190" i="3"/>
  <c r="AH206" i="3"/>
  <c r="AH22" i="3"/>
  <c r="AD206" i="3"/>
  <c r="AD22" i="3"/>
  <c r="AD315" i="3"/>
  <c r="AB206" i="3"/>
  <c r="AH174" i="3"/>
  <c r="V241" i="3"/>
  <c r="W240" i="3"/>
  <c r="W26" i="3"/>
  <c r="V26" i="3"/>
  <c r="AB240" i="3"/>
  <c r="AB26" i="3"/>
  <c r="AA26" i="3"/>
  <c r="AA241" i="3"/>
  <c r="AD281" i="3"/>
  <c r="AK320" i="3"/>
  <c r="AL320" i="3"/>
  <c r="AD251" i="3"/>
  <c r="AA282" i="3"/>
  <c r="Z284" i="3"/>
  <c r="AH315" i="3"/>
  <c r="AB267" i="3"/>
  <c r="AA313" i="3"/>
  <c r="AD327" i="3"/>
  <c r="Z313" i="3"/>
  <c r="AB251" i="3"/>
  <c r="AG194" i="3"/>
  <c r="AE141" i="3"/>
  <c r="AD140" i="3"/>
  <c r="AQ190" i="3"/>
  <c r="AQ189" i="3"/>
  <c r="AN206" i="3"/>
  <c r="AN22" i="3"/>
  <c r="AN315" i="3"/>
  <c r="AI174" i="3"/>
  <c r="AJ174" i="3"/>
  <c r="AK174" i="3"/>
  <c r="AA284" i="3"/>
  <c r="AB282" i="3"/>
  <c r="W241" i="3"/>
  <c r="W39" i="3"/>
  <c r="V39" i="3"/>
  <c r="AB241" i="3"/>
  <c r="AB39" i="3"/>
  <c r="AA39" i="3"/>
  <c r="AP320" i="3"/>
  <c r="AQ320" i="3"/>
  <c r="AE251" i="3"/>
  <c r="AB313" i="3"/>
  <c r="AE281" i="3"/>
  <c r="AC313" i="3"/>
  <c r="AE327" i="3"/>
  <c r="AH194" i="3"/>
  <c r="AJ194" i="3"/>
  <c r="AI194" i="3"/>
  <c r="AK194" i="3"/>
  <c r="AF141" i="3"/>
  <c r="AH141" i="3"/>
  <c r="AI141" i="3"/>
  <c r="AJ141" i="3"/>
  <c r="AK141" i="3"/>
  <c r="AM141" i="3"/>
  <c r="AN141" i="3"/>
  <c r="AO141" i="3"/>
  <c r="AP141" i="3"/>
  <c r="AE140" i="3"/>
  <c r="AM206" i="3"/>
  <c r="AM22" i="3"/>
  <c r="AI206" i="3"/>
  <c r="AI22" i="3"/>
  <c r="AJ206" i="3"/>
  <c r="AJ22" i="3"/>
  <c r="AJ315" i="3"/>
  <c r="AE206" i="3"/>
  <c r="AE22" i="3"/>
  <c r="AO206" i="3"/>
  <c r="AO22" i="3"/>
  <c r="AO315" i="3"/>
  <c r="AM174" i="3"/>
  <c r="P24" i="3"/>
  <c r="P178" i="3"/>
  <c r="P183" i="3"/>
  <c r="AB284" i="3"/>
  <c r="AC282" i="3"/>
  <c r="AF251" i="3"/>
  <c r="AI315" i="3"/>
  <c r="AM315" i="3"/>
  <c r="AD313" i="3"/>
  <c r="AE315" i="3"/>
  <c r="AG256" i="3"/>
  <c r="AF327" i="3"/>
  <c r="AG327" i="3"/>
  <c r="AF281" i="3"/>
  <c r="AL194" i="3"/>
  <c r="AF140" i="3"/>
  <c r="AL206" i="3"/>
  <c r="AP206" i="3"/>
  <c r="AG206" i="3"/>
  <c r="AF206" i="3"/>
  <c r="AN174" i="3"/>
  <c r="AO174" i="3"/>
  <c r="AP174" i="3"/>
  <c r="P25" i="3"/>
  <c r="H166" i="3"/>
  <c r="M166" i="3"/>
  <c r="AC284" i="3"/>
  <c r="AD282" i="3"/>
  <c r="AF22" i="3"/>
  <c r="AF315" i="3"/>
  <c r="AG315" i="3"/>
  <c r="AF240" i="3"/>
  <c r="P27" i="3"/>
  <c r="P218" i="3"/>
  <c r="AP22" i="3"/>
  <c r="AP315" i="3"/>
  <c r="AQ315" i="3"/>
  <c r="AP240" i="3"/>
  <c r="AG251" i="3"/>
  <c r="AH251" i="3"/>
  <c r="AI251" i="3"/>
  <c r="AG281" i="3"/>
  <c r="AH327" i="3"/>
  <c r="AE313" i="3"/>
  <c r="AO194" i="3"/>
  <c r="AN194" i="3"/>
  <c r="AM194" i="3"/>
  <c r="AP194" i="3"/>
  <c r="AK206" i="3"/>
  <c r="AH140" i="3"/>
  <c r="AQ206" i="3"/>
  <c r="Q181" i="3"/>
  <c r="AE282" i="3"/>
  <c r="AD284" i="3"/>
  <c r="AG22" i="3"/>
  <c r="P40" i="3"/>
  <c r="P45" i="3"/>
  <c r="P219" i="3"/>
  <c r="AQ22" i="3"/>
  <c r="AK22" i="3"/>
  <c r="AL22" i="3"/>
  <c r="AK240" i="3"/>
  <c r="AP26" i="3"/>
  <c r="AQ240" i="3"/>
  <c r="AQ26" i="3"/>
  <c r="AP241" i="3"/>
  <c r="AF26" i="3"/>
  <c r="AG240" i="3"/>
  <c r="AG26" i="3"/>
  <c r="AF241" i="3"/>
  <c r="AK315" i="3"/>
  <c r="AL315" i="3"/>
  <c r="AG267" i="3"/>
  <c r="AF313" i="3"/>
  <c r="AG313" i="3"/>
  <c r="AH281" i="3"/>
  <c r="AJ251" i="3"/>
  <c r="AK251" i="3"/>
  <c r="AI327" i="3"/>
  <c r="AQ194" i="3"/>
  <c r="AI140" i="3"/>
  <c r="AF282" i="3"/>
  <c r="AE284" i="3"/>
  <c r="AG241" i="3"/>
  <c r="AG39" i="3"/>
  <c r="AF39" i="3"/>
  <c r="AK26" i="3"/>
  <c r="AL240" i="3"/>
  <c r="AL26" i="3"/>
  <c r="AK241" i="3"/>
  <c r="AQ241" i="3"/>
  <c r="AQ39" i="3"/>
  <c r="AP39" i="3"/>
  <c r="AJ327" i="3"/>
  <c r="AI281" i="3"/>
  <c r="AL251" i="3"/>
  <c r="AM251" i="3"/>
  <c r="AH313" i="3"/>
  <c r="AJ140" i="3"/>
  <c r="AG282" i="3"/>
  <c r="AF284" i="3"/>
  <c r="AL241" i="3"/>
  <c r="AL39" i="3"/>
  <c r="AK39" i="3"/>
  <c r="AN251" i="3"/>
  <c r="AO251" i="3"/>
  <c r="AP251" i="3"/>
  <c r="AQ251" i="3"/>
  <c r="AL256" i="3"/>
  <c r="AK327" i="3"/>
  <c r="AL327" i="3"/>
  <c r="AI313" i="3"/>
  <c r="AJ281" i="3"/>
  <c r="AK140" i="3"/>
  <c r="AH282" i="3"/>
  <c r="AG284" i="3"/>
  <c r="AM327" i="3"/>
  <c r="AK281" i="3"/>
  <c r="AJ313" i="3"/>
  <c r="AM140" i="3"/>
  <c r="G64" i="3"/>
  <c r="G65" i="3"/>
  <c r="F64" i="3"/>
  <c r="F65" i="3"/>
  <c r="E64" i="3"/>
  <c r="E65" i="3"/>
  <c r="D64" i="3"/>
  <c r="D65" i="3"/>
  <c r="L64" i="3"/>
  <c r="L65" i="3"/>
  <c r="K64" i="3"/>
  <c r="K65" i="3"/>
  <c r="J64" i="3"/>
  <c r="J65" i="3"/>
  <c r="I64" i="3"/>
  <c r="I65" i="3"/>
  <c r="O64" i="3"/>
  <c r="O65" i="3"/>
  <c r="P64" i="3"/>
  <c r="P65" i="3"/>
  <c r="N64" i="3"/>
  <c r="N65" i="3"/>
  <c r="P170" i="3"/>
  <c r="O170" i="3"/>
  <c r="N170" i="3"/>
  <c r="L170" i="3"/>
  <c r="K170" i="3"/>
  <c r="J170" i="3"/>
  <c r="I170" i="3"/>
  <c r="P158" i="3"/>
  <c r="O158" i="3"/>
  <c r="N158" i="3"/>
  <c r="L158" i="3"/>
  <c r="K158" i="3"/>
  <c r="J158" i="3"/>
  <c r="I158" i="3"/>
  <c r="P156" i="3"/>
  <c r="O156" i="3"/>
  <c r="N156" i="3"/>
  <c r="L156" i="3"/>
  <c r="K156" i="3"/>
  <c r="J156" i="3"/>
  <c r="I156" i="3"/>
  <c r="L153" i="3"/>
  <c r="L160" i="3"/>
  <c r="K153" i="3"/>
  <c r="K160" i="3"/>
  <c r="J153" i="3"/>
  <c r="P153" i="3"/>
  <c r="P160" i="3"/>
  <c r="O153" i="3"/>
  <c r="O160" i="3"/>
  <c r="N153" i="3"/>
  <c r="P129" i="3"/>
  <c r="F73" i="3"/>
  <c r="M261" i="3"/>
  <c r="F286" i="3"/>
  <c r="F301" i="3"/>
  <c r="G286" i="3"/>
  <c r="G301" i="3"/>
  <c r="D286" i="3"/>
  <c r="D301" i="3"/>
  <c r="E286" i="3"/>
  <c r="E301" i="3"/>
  <c r="I286" i="3"/>
  <c r="I301" i="3"/>
  <c r="J286" i="3"/>
  <c r="J301" i="3"/>
  <c r="K286" i="3"/>
  <c r="K301" i="3"/>
  <c r="N286" i="3"/>
  <c r="N301" i="3"/>
  <c r="O286" i="3"/>
  <c r="O301" i="3"/>
  <c r="R278" i="3"/>
  <c r="R271" i="3"/>
  <c r="R270" i="3"/>
  <c r="H285" i="3"/>
  <c r="H279" i="3"/>
  <c r="H278" i="3"/>
  <c r="H277" i="3"/>
  <c r="H272" i="3"/>
  <c r="H271" i="3"/>
  <c r="H270" i="3"/>
  <c r="H269" i="3"/>
  <c r="H268" i="3"/>
  <c r="H195" i="3"/>
  <c r="H196" i="3"/>
  <c r="H267" i="3"/>
  <c r="H266" i="3"/>
  <c r="H264" i="3"/>
  <c r="H263" i="3"/>
  <c r="H262" i="3"/>
  <c r="H261" i="3"/>
  <c r="H348" i="3"/>
  <c r="H257" i="3"/>
  <c r="H256" i="3"/>
  <c r="H254" i="3"/>
  <c r="H253" i="3"/>
  <c r="I300" i="3"/>
  <c r="H251" i="3"/>
  <c r="H250" i="3"/>
  <c r="H249" i="3"/>
  <c r="H248" i="3"/>
  <c r="L286" i="3"/>
  <c r="L301" i="3"/>
  <c r="M272" i="3"/>
  <c r="M249" i="3"/>
  <c r="M254" i="3"/>
  <c r="M262" i="3"/>
  <c r="M267" i="3"/>
  <c r="M268" i="3"/>
  <c r="M195" i="3"/>
  <c r="M196" i="3"/>
  <c r="M269" i="3"/>
  <c r="M270" i="3"/>
  <c r="M271" i="3"/>
  <c r="M278" i="3"/>
  <c r="M285" i="3"/>
  <c r="P301" i="3"/>
  <c r="D265" i="3"/>
  <c r="E265" i="3"/>
  <c r="E273" i="3"/>
  <c r="F265" i="3"/>
  <c r="G265" i="3"/>
  <c r="I265" i="3"/>
  <c r="J265" i="3"/>
  <c r="K265" i="3"/>
  <c r="L265" i="3"/>
  <c r="L273" i="3"/>
  <c r="N265" i="3"/>
  <c r="O265" i="3"/>
  <c r="D255" i="3"/>
  <c r="E255" i="3"/>
  <c r="F255" i="3"/>
  <c r="G255" i="3"/>
  <c r="I255" i="3"/>
  <c r="J255" i="3"/>
  <c r="K255" i="3"/>
  <c r="L255" i="3"/>
  <c r="N255" i="3"/>
  <c r="O255" i="3"/>
  <c r="P255" i="3"/>
  <c r="O339" i="3"/>
  <c r="O337" i="3"/>
  <c r="P337" i="3"/>
  <c r="Q337" i="3"/>
  <c r="R337" i="3"/>
  <c r="O335" i="3"/>
  <c r="P335" i="3"/>
  <c r="Q335" i="3"/>
  <c r="R335" i="3"/>
  <c r="O334" i="3"/>
  <c r="O333" i="3"/>
  <c r="O331" i="3"/>
  <c r="O330" i="3"/>
  <c r="P330" i="3"/>
  <c r="Q330" i="3"/>
  <c r="R330" i="3"/>
  <c r="O327" i="3"/>
  <c r="P327" i="3"/>
  <c r="Q327" i="3"/>
  <c r="O326" i="3"/>
  <c r="P326" i="3"/>
  <c r="Q326" i="3"/>
  <c r="O325" i="3"/>
  <c r="O322" i="3"/>
  <c r="O321" i="3"/>
  <c r="P321" i="3"/>
  <c r="Q321" i="3"/>
  <c r="R321" i="3"/>
  <c r="O319" i="3"/>
  <c r="O318" i="3"/>
  <c r="O313" i="3"/>
  <c r="O312" i="3"/>
  <c r="O311" i="3"/>
  <c r="O354" i="3"/>
  <c r="O310" i="3"/>
  <c r="O300" i="3"/>
  <c r="J339" i="3"/>
  <c r="K339" i="3"/>
  <c r="L339" i="3"/>
  <c r="J335" i="3"/>
  <c r="K335" i="3"/>
  <c r="L335" i="3"/>
  <c r="J334" i="3"/>
  <c r="K334" i="3"/>
  <c r="L334" i="3"/>
  <c r="J333" i="3"/>
  <c r="K333" i="3"/>
  <c r="L333" i="3"/>
  <c r="J331" i="3"/>
  <c r="K331" i="3"/>
  <c r="L331" i="3"/>
  <c r="J327" i="3"/>
  <c r="K327" i="3"/>
  <c r="L327" i="3"/>
  <c r="J325" i="3"/>
  <c r="J322" i="3"/>
  <c r="K322" i="3"/>
  <c r="L322" i="3"/>
  <c r="J321" i="3"/>
  <c r="K321" i="3"/>
  <c r="L321" i="3"/>
  <c r="J319" i="3"/>
  <c r="K319" i="3"/>
  <c r="L319" i="3"/>
  <c r="J318" i="3"/>
  <c r="K318" i="3"/>
  <c r="L318" i="3"/>
  <c r="J316" i="3"/>
  <c r="K316" i="3"/>
  <c r="L316" i="3"/>
  <c r="J313" i="3"/>
  <c r="K313" i="3"/>
  <c r="L313" i="3"/>
  <c r="J312" i="3"/>
  <c r="K312" i="3"/>
  <c r="L312" i="3"/>
  <c r="J311" i="3"/>
  <c r="J310" i="3"/>
  <c r="J300" i="3"/>
  <c r="I337" i="3"/>
  <c r="J337" i="3"/>
  <c r="K337" i="3"/>
  <c r="L337" i="3"/>
  <c r="E339" i="3"/>
  <c r="F339" i="3"/>
  <c r="G339" i="3"/>
  <c r="E337" i="3"/>
  <c r="F337" i="3"/>
  <c r="G337" i="3"/>
  <c r="E335" i="3"/>
  <c r="F335" i="3"/>
  <c r="G335" i="3"/>
  <c r="E334" i="3"/>
  <c r="F334" i="3"/>
  <c r="G334" i="3"/>
  <c r="E333" i="3"/>
  <c r="F333" i="3"/>
  <c r="G333" i="3"/>
  <c r="E332" i="3"/>
  <c r="F332" i="3"/>
  <c r="G332" i="3"/>
  <c r="E331" i="3"/>
  <c r="F331" i="3"/>
  <c r="G331" i="3"/>
  <c r="E327" i="3"/>
  <c r="F327" i="3"/>
  <c r="G327" i="3"/>
  <c r="E325" i="3"/>
  <c r="E322" i="3"/>
  <c r="F322" i="3"/>
  <c r="G322" i="3"/>
  <c r="E321" i="3"/>
  <c r="F321" i="3"/>
  <c r="G321" i="3"/>
  <c r="E319" i="3"/>
  <c r="F319" i="3"/>
  <c r="G319" i="3"/>
  <c r="E318" i="3"/>
  <c r="F318" i="3"/>
  <c r="G318" i="3"/>
  <c r="E313" i="3"/>
  <c r="F313" i="3"/>
  <c r="G313" i="3"/>
  <c r="E312" i="3"/>
  <c r="F312" i="3"/>
  <c r="G312" i="3"/>
  <c r="E311" i="3"/>
  <c r="E310" i="3"/>
  <c r="E300" i="3"/>
  <c r="D338" i="3"/>
  <c r="N338" i="3"/>
  <c r="J336" i="3"/>
  <c r="K336" i="3"/>
  <c r="O332" i="3"/>
  <c r="J332" i="3"/>
  <c r="K332" i="3"/>
  <c r="L332" i="3"/>
  <c r="J330" i="3"/>
  <c r="J326" i="3"/>
  <c r="E326" i="3"/>
  <c r="O320" i="3"/>
  <c r="O316" i="3"/>
  <c r="O315" i="3"/>
  <c r="P315" i="3"/>
  <c r="Q315" i="3"/>
  <c r="R315" i="3"/>
  <c r="O314" i="3"/>
  <c r="P314" i="3"/>
  <c r="Q314" i="3"/>
  <c r="R314" i="3"/>
  <c r="J320" i="3"/>
  <c r="J315" i="3"/>
  <c r="J314" i="3"/>
  <c r="E320" i="3"/>
  <c r="E316" i="3"/>
  <c r="E315" i="3"/>
  <c r="E314" i="3"/>
  <c r="AI282" i="3"/>
  <c r="AH284" i="3"/>
  <c r="N160" i="3"/>
  <c r="N165" i="3"/>
  <c r="S154" i="3"/>
  <c r="AM313" i="3"/>
  <c r="AN327" i="3"/>
  <c r="AL267" i="3"/>
  <c r="AK313" i="3"/>
  <c r="AL313" i="3"/>
  <c r="AN313" i="3"/>
  <c r="AL281" i="3"/>
  <c r="F311" i="3"/>
  <c r="E354" i="3"/>
  <c r="K311" i="3"/>
  <c r="J354" i="3"/>
  <c r="H286" i="3"/>
  <c r="P320" i="3"/>
  <c r="Q320" i="3"/>
  <c r="P313" i="3"/>
  <c r="Q313" i="3"/>
  <c r="P322" i="3"/>
  <c r="Q322" i="3"/>
  <c r="P318" i="3"/>
  <c r="Q318" i="3"/>
  <c r="P331" i="3"/>
  <c r="Q331" i="3"/>
  <c r="J154" i="3"/>
  <c r="J160" i="3"/>
  <c r="P316" i="3"/>
  <c r="Q316" i="3"/>
  <c r="P312" i="3"/>
  <c r="Q312" i="3"/>
  <c r="P334" i="3"/>
  <c r="Q334" i="3"/>
  <c r="P311" i="3"/>
  <c r="P319" i="3"/>
  <c r="Q319" i="3"/>
  <c r="P333" i="3"/>
  <c r="Q333" i="3"/>
  <c r="P339" i="3"/>
  <c r="Q339" i="3"/>
  <c r="R339" i="3"/>
  <c r="I154" i="3"/>
  <c r="AN140" i="3"/>
  <c r="P135" i="3"/>
  <c r="P149" i="3"/>
  <c r="P144" i="3"/>
  <c r="P148" i="3"/>
  <c r="L154" i="3"/>
  <c r="Q154" i="3"/>
  <c r="K325" i="3"/>
  <c r="J357" i="3"/>
  <c r="F310" i="3"/>
  <c r="F300" i="3"/>
  <c r="F325" i="3"/>
  <c r="E357" i="3"/>
  <c r="K310" i="3"/>
  <c r="K300" i="3"/>
  <c r="P310" i="3"/>
  <c r="P300" i="3"/>
  <c r="P325" i="3"/>
  <c r="O357" i="3"/>
  <c r="P152" i="3"/>
  <c r="I338" i="3"/>
  <c r="O154" i="3"/>
  <c r="Q64" i="3"/>
  <c r="Q65" i="3"/>
  <c r="N154" i="3"/>
  <c r="K154" i="3"/>
  <c r="P154" i="3"/>
  <c r="O338" i="3"/>
  <c r="P332" i="3"/>
  <c r="H255" i="3"/>
  <c r="H265" i="3"/>
  <c r="H273" i="3"/>
  <c r="E287" i="3"/>
  <c r="J338" i="3"/>
  <c r="L336" i="3"/>
  <c r="M336" i="3"/>
  <c r="K330" i="3"/>
  <c r="K326" i="3"/>
  <c r="L326" i="3"/>
  <c r="M326" i="3"/>
  <c r="F326" i="3"/>
  <c r="G326" i="3"/>
  <c r="K314" i="3"/>
  <c r="L314" i="3"/>
  <c r="K315" i="3"/>
  <c r="L315" i="3"/>
  <c r="K320" i="3"/>
  <c r="L320" i="3"/>
  <c r="F314" i="3"/>
  <c r="G314" i="3"/>
  <c r="F315" i="3"/>
  <c r="G315" i="3"/>
  <c r="F316" i="3"/>
  <c r="G316" i="3"/>
  <c r="F320" i="3"/>
  <c r="G320" i="3"/>
  <c r="P139" i="3"/>
  <c r="O139" i="3"/>
  <c r="N139" i="3"/>
  <c r="P137" i="3"/>
  <c r="O137" i="3"/>
  <c r="N137" i="3"/>
  <c r="L139" i="3"/>
  <c r="K139" i="3"/>
  <c r="J139" i="3"/>
  <c r="I139" i="3"/>
  <c r="L137" i="3"/>
  <c r="K137" i="3"/>
  <c r="J137" i="3"/>
  <c r="I137" i="3"/>
  <c r="N59" i="3"/>
  <c r="P59" i="3"/>
  <c r="O59" i="3"/>
  <c r="L59" i="3"/>
  <c r="K59" i="3"/>
  <c r="J59" i="3"/>
  <c r="I59" i="3"/>
  <c r="O129" i="3"/>
  <c r="T129" i="3"/>
  <c r="U129" i="3"/>
  <c r="V129" i="3"/>
  <c r="X129" i="3"/>
  <c r="Y129" i="3"/>
  <c r="Z129" i="3"/>
  <c r="AA129" i="3"/>
  <c r="N129" i="3"/>
  <c r="L129" i="3"/>
  <c r="K129" i="3"/>
  <c r="J129" i="3"/>
  <c r="I129" i="3"/>
  <c r="P123" i="3"/>
  <c r="O123" i="3"/>
  <c r="N123" i="3"/>
  <c r="L123" i="3"/>
  <c r="K123" i="3"/>
  <c r="J123" i="3"/>
  <c r="I123" i="3"/>
  <c r="P117" i="3"/>
  <c r="O117" i="3"/>
  <c r="N117" i="3"/>
  <c r="L117" i="3"/>
  <c r="K117" i="3"/>
  <c r="J117" i="3"/>
  <c r="I117" i="3"/>
  <c r="P111" i="3"/>
  <c r="O111" i="3"/>
  <c r="N111" i="3"/>
  <c r="L111" i="3"/>
  <c r="K111" i="3"/>
  <c r="J111" i="3"/>
  <c r="I111" i="3"/>
  <c r="P105" i="3"/>
  <c r="T105" i="3"/>
  <c r="U105" i="3"/>
  <c r="V105" i="3"/>
  <c r="X105" i="3"/>
  <c r="Y105" i="3"/>
  <c r="Z105" i="3"/>
  <c r="AA105" i="3"/>
  <c r="O105" i="3"/>
  <c r="N105" i="3"/>
  <c r="L105" i="3"/>
  <c r="K105" i="3"/>
  <c r="J105" i="3"/>
  <c r="I105" i="3"/>
  <c r="P99" i="3"/>
  <c r="O99" i="3"/>
  <c r="N99" i="3"/>
  <c r="L99" i="3"/>
  <c r="K99" i="3"/>
  <c r="J99" i="3"/>
  <c r="I99" i="3"/>
  <c r="P93" i="3"/>
  <c r="O93" i="3"/>
  <c r="N93" i="3"/>
  <c r="L93" i="3"/>
  <c r="K93" i="3"/>
  <c r="J93" i="3"/>
  <c r="I93" i="3"/>
  <c r="P87" i="3"/>
  <c r="O87" i="3"/>
  <c r="N87" i="3"/>
  <c r="L87" i="3"/>
  <c r="K87" i="3"/>
  <c r="J87" i="3"/>
  <c r="I87" i="3"/>
  <c r="P131" i="3"/>
  <c r="T131" i="3"/>
  <c r="U131" i="3"/>
  <c r="V131" i="3"/>
  <c r="X131" i="3"/>
  <c r="Y131" i="3"/>
  <c r="Z131" i="3"/>
  <c r="AA131" i="3"/>
  <c r="O131" i="3"/>
  <c r="N131" i="3"/>
  <c r="L131" i="3"/>
  <c r="K131" i="3"/>
  <c r="J131" i="3"/>
  <c r="I131" i="3"/>
  <c r="P125" i="3"/>
  <c r="O125" i="3"/>
  <c r="N125" i="3"/>
  <c r="L125" i="3"/>
  <c r="K125" i="3"/>
  <c r="J125" i="3"/>
  <c r="I125" i="3"/>
  <c r="P119" i="3"/>
  <c r="O119" i="3"/>
  <c r="N119" i="3"/>
  <c r="L119" i="3"/>
  <c r="K119" i="3"/>
  <c r="J119" i="3"/>
  <c r="I119" i="3"/>
  <c r="P113" i="3"/>
  <c r="T113" i="3"/>
  <c r="O113" i="3"/>
  <c r="N113" i="3"/>
  <c r="L113" i="3"/>
  <c r="K113" i="3"/>
  <c r="J113" i="3"/>
  <c r="I113" i="3"/>
  <c r="P107" i="3"/>
  <c r="T107" i="3"/>
  <c r="U107" i="3"/>
  <c r="V107" i="3"/>
  <c r="X107" i="3"/>
  <c r="Y107" i="3"/>
  <c r="Z107" i="3"/>
  <c r="AA107" i="3"/>
  <c r="O107" i="3"/>
  <c r="N107" i="3"/>
  <c r="L107" i="3"/>
  <c r="K107" i="3"/>
  <c r="J107" i="3"/>
  <c r="I107" i="3"/>
  <c r="P101" i="3"/>
  <c r="O101" i="3"/>
  <c r="N101" i="3"/>
  <c r="L101" i="3"/>
  <c r="K101" i="3"/>
  <c r="J101" i="3"/>
  <c r="I101" i="3"/>
  <c r="P95" i="3"/>
  <c r="O95" i="3"/>
  <c r="N95" i="3"/>
  <c r="L95" i="3"/>
  <c r="K95" i="3"/>
  <c r="J95" i="3"/>
  <c r="I95" i="3"/>
  <c r="P89" i="3"/>
  <c r="T89" i="3"/>
  <c r="O89" i="3"/>
  <c r="N89" i="3"/>
  <c r="L89" i="3"/>
  <c r="K89" i="3"/>
  <c r="J89" i="3"/>
  <c r="I89" i="3"/>
  <c r="P83" i="3"/>
  <c r="O83" i="3"/>
  <c r="N83" i="3"/>
  <c r="L83" i="3"/>
  <c r="K83" i="3"/>
  <c r="J83" i="3"/>
  <c r="I83" i="3"/>
  <c r="P81" i="3"/>
  <c r="O81" i="3"/>
  <c r="N81" i="3"/>
  <c r="L81" i="3"/>
  <c r="K81" i="3"/>
  <c r="J81" i="3"/>
  <c r="I81" i="3"/>
  <c r="P75" i="3"/>
  <c r="L75" i="3"/>
  <c r="O75" i="3"/>
  <c r="N75" i="3"/>
  <c r="K75" i="3"/>
  <c r="J75" i="3"/>
  <c r="I75" i="3"/>
  <c r="I77" i="3"/>
  <c r="L77" i="3"/>
  <c r="K77" i="3"/>
  <c r="J77" i="3"/>
  <c r="N77" i="3"/>
  <c r="O77" i="3"/>
  <c r="P77" i="3"/>
  <c r="P73" i="3"/>
  <c r="O73" i="3"/>
  <c r="N73" i="3"/>
  <c r="P55" i="3"/>
  <c r="P56" i="3"/>
  <c r="O55" i="3"/>
  <c r="O56" i="3"/>
  <c r="N55" i="3"/>
  <c r="P52" i="3"/>
  <c r="O52" i="3"/>
  <c r="N53" i="3"/>
  <c r="I57" i="3"/>
  <c r="K73" i="3"/>
  <c r="I73" i="3"/>
  <c r="L56" i="3"/>
  <c r="K55" i="3"/>
  <c r="K56" i="3"/>
  <c r="J56" i="3"/>
  <c r="I55" i="3"/>
  <c r="I56" i="3"/>
  <c r="L53" i="3"/>
  <c r="K53" i="3"/>
  <c r="J53" i="3"/>
  <c r="I52" i="3"/>
  <c r="I53" i="3"/>
  <c r="G57" i="3"/>
  <c r="G73" i="3"/>
  <c r="E73" i="3"/>
  <c r="G55" i="3"/>
  <c r="G56" i="3"/>
  <c r="F55" i="3"/>
  <c r="F56" i="3"/>
  <c r="E55" i="3"/>
  <c r="E56" i="3"/>
  <c r="D55" i="3"/>
  <c r="D56" i="3"/>
  <c r="G52" i="3"/>
  <c r="G53" i="3"/>
  <c r="F52" i="3"/>
  <c r="F53" i="3"/>
  <c r="E52" i="3"/>
  <c r="E53" i="3"/>
  <c r="D52" i="3"/>
  <c r="D53" i="3"/>
  <c r="T101" i="3"/>
  <c r="U101" i="3"/>
  <c r="V101" i="3"/>
  <c r="X101" i="3"/>
  <c r="Y101" i="3"/>
  <c r="Z101" i="3"/>
  <c r="AA101" i="3"/>
  <c r="T125" i="3"/>
  <c r="U125" i="3"/>
  <c r="V125" i="3"/>
  <c r="X125" i="3"/>
  <c r="Y125" i="3"/>
  <c r="Z125" i="3"/>
  <c r="AA125" i="3"/>
  <c r="T99" i="3"/>
  <c r="U99" i="3"/>
  <c r="V99" i="3"/>
  <c r="X99" i="3"/>
  <c r="Y99" i="3"/>
  <c r="Z99" i="3"/>
  <c r="AA99" i="3"/>
  <c r="T123" i="3"/>
  <c r="U123" i="3"/>
  <c r="V123" i="3"/>
  <c r="X123" i="3"/>
  <c r="Y123" i="3"/>
  <c r="Z123" i="3"/>
  <c r="AA123" i="3"/>
  <c r="U148" i="3"/>
  <c r="AE148" i="3"/>
  <c r="AJ148" i="3"/>
  <c r="AO148" i="3"/>
  <c r="T95" i="3"/>
  <c r="U95" i="3"/>
  <c r="V95" i="3"/>
  <c r="X95" i="3"/>
  <c r="Y95" i="3"/>
  <c r="Z95" i="3"/>
  <c r="AA95" i="3"/>
  <c r="T119" i="3"/>
  <c r="U119" i="3"/>
  <c r="V119" i="3"/>
  <c r="X119" i="3"/>
  <c r="Y119" i="3"/>
  <c r="Z119" i="3"/>
  <c r="AA119" i="3"/>
  <c r="T93" i="3"/>
  <c r="U93" i="3"/>
  <c r="V93" i="3"/>
  <c r="X93" i="3"/>
  <c r="Y93" i="3"/>
  <c r="Z93" i="3"/>
  <c r="AA93" i="3"/>
  <c r="T117" i="3"/>
  <c r="U117" i="3"/>
  <c r="V117" i="3"/>
  <c r="X117" i="3"/>
  <c r="Y117" i="3"/>
  <c r="Z117" i="3"/>
  <c r="AA117" i="3"/>
  <c r="AJ282" i="3"/>
  <c r="AI284" i="3"/>
  <c r="O53" i="3"/>
  <c r="T59" i="3"/>
  <c r="U59" i="3"/>
  <c r="V59" i="3"/>
  <c r="X59" i="3"/>
  <c r="Y59" i="3"/>
  <c r="Z59" i="3"/>
  <c r="T137" i="3"/>
  <c r="U137" i="3"/>
  <c r="V137" i="3"/>
  <c r="X137" i="3"/>
  <c r="Y137" i="3"/>
  <c r="Z137" i="3"/>
  <c r="AA137" i="3"/>
  <c r="P53" i="3"/>
  <c r="N56" i="3"/>
  <c r="T83" i="3"/>
  <c r="T77" i="3"/>
  <c r="U77" i="3"/>
  <c r="AM281" i="3"/>
  <c r="AO327" i="3"/>
  <c r="AO313" i="3"/>
  <c r="Q311" i="3"/>
  <c r="Q354" i="3"/>
  <c r="P354" i="3"/>
  <c r="L311" i="3"/>
  <c r="L354" i="3"/>
  <c r="K354" i="3"/>
  <c r="G311" i="3"/>
  <c r="G354" i="3"/>
  <c r="F354" i="3"/>
  <c r="R333" i="3"/>
  <c r="R312" i="3"/>
  <c r="R318" i="3"/>
  <c r="R320" i="3"/>
  <c r="R319" i="3"/>
  <c r="R334" i="3"/>
  <c r="R316" i="3"/>
  <c r="R331" i="3"/>
  <c r="P357" i="3"/>
  <c r="Q325" i="3"/>
  <c r="P150" i="3"/>
  <c r="R322" i="3"/>
  <c r="Q310" i="3"/>
  <c r="P338" i="3"/>
  <c r="Q332" i="3"/>
  <c r="R332" i="3"/>
  <c r="R313" i="3"/>
  <c r="AP140" i="3"/>
  <c r="AO140" i="3"/>
  <c r="K166" i="3"/>
  <c r="K161" i="3"/>
  <c r="K152" i="3"/>
  <c r="O149" i="3"/>
  <c r="O144" i="3"/>
  <c r="O148" i="3"/>
  <c r="O135" i="3"/>
  <c r="N148" i="3"/>
  <c r="N149" i="3"/>
  <c r="N144" i="3"/>
  <c r="N135" i="3"/>
  <c r="L149" i="3"/>
  <c r="L144" i="3"/>
  <c r="L135" i="3"/>
  <c r="L148" i="3"/>
  <c r="K149" i="3"/>
  <c r="K144" i="3"/>
  <c r="K135" i="3"/>
  <c r="K148" i="3"/>
  <c r="J148" i="3"/>
  <c r="J135" i="3"/>
  <c r="J149" i="3"/>
  <c r="J144" i="3"/>
  <c r="I148" i="3"/>
  <c r="I135" i="3"/>
  <c r="I149" i="3"/>
  <c r="I144" i="3"/>
  <c r="G148" i="3"/>
  <c r="G135" i="3"/>
  <c r="G149" i="3"/>
  <c r="F149" i="3"/>
  <c r="F135" i="3"/>
  <c r="F148" i="3"/>
  <c r="E149" i="3"/>
  <c r="E135" i="3"/>
  <c r="E148" i="3"/>
  <c r="O57" i="3"/>
  <c r="D73" i="3"/>
  <c r="D54" i="3"/>
  <c r="L310" i="3"/>
  <c r="L300" i="3"/>
  <c r="G310" i="3"/>
  <c r="G300" i="3"/>
  <c r="G325" i="3"/>
  <c r="G357" i="3"/>
  <c r="F357" i="3"/>
  <c r="L325" i="3"/>
  <c r="L357" i="3"/>
  <c r="K357" i="3"/>
  <c r="T172" i="3"/>
  <c r="T173" i="3"/>
  <c r="P165" i="3"/>
  <c r="U165" i="3"/>
  <c r="Z165" i="3"/>
  <c r="AE165" i="3"/>
  <c r="P166" i="3"/>
  <c r="P161" i="3"/>
  <c r="K165" i="3"/>
  <c r="T158" i="3"/>
  <c r="T157" i="3"/>
  <c r="L54" i="3"/>
  <c r="L73" i="3"/>
  <c r="J57" i="3"/>
  <c r="E57" i="3"/>
  <c r="J54" i="3"/>
  <c r="J73" i="3"/>
  <c r="H287" i="3"/>
  <c r="L330" i="3"/>
  <c r="L338" i="3"/>
  <c r="K338" i="3"/>
  <c r="H336" i="3"/>
  <c r="H321" i="3"/>
  <c r="M327" i="3"/>
  <c r="M337" i="3"/>
  <c r="H335" i="3"/>
  <c r="M331" i="3"/>
  <c r="H333" i="3"/>
  <c r="M339" i="3"/>
  <c r="H339" i="3"/>
  <c r="M334" i="3"/>
  <c r="M332" i="3"/>
  <c r="M335" i="3"/>
  <c r="M333" i="3"/>
  <c r="H332" i="3"/>
  <c r="H331" i="3"/>
  <c r="H337" i="3"/>
  <c r="H334" i="3"/>
  <c r="H327" i="3"/>
  <c r="H326" i="3"/>
  <c r="M318" i="3"/>
  <c r="M312" i="3"/>
  <c r="M314" i="3"/>
  <c r="M313" i="3"/>
  <c r="M319" i="3"/>
  <c r="M320" i="3"/>
  <c r="M315" i="3"/>
  <c r="M322" i="3"/>
  <c r="M321" i="3"/>
  <c r="M316" i="3"/>
  <c r="H312" i="3"/>
  <c r="H314" i="3"/>
  <c r="H313" i="3"/>
  <c r="H319" i="3"/>
  <c r="H320" i="3"/>
  <c r="H315" i="3"/>
  <c r="H322" i="3"/>
  <c r="H316" i="3"/>
  <c r="L57" i="3"/>
  <c r="N54" i="3"/>
  <c r="O54" i="3"/>
  <c r="N57" i="3"/>
  <c r="P54" i="3"/>
  <c r="P57" i="3"/>
  <c r="I54" i="3"/>
  <c r="G54" i="3"/>
  <c r="F57" i="3"/>
  <c r="D57" i="3"/>
  <c r="K57" i="3"/>
  <c r="E54" i="3"/>
  <c r="K54" i="3"/>
  <c r="F54" i="3"/>
  <c r="N47" i="3"/>
  <c r="O47" i="3"/>
  <c r="P47" i="3"/>
  <c r="K47" i="3"/>
  <c r="J47" i="3"/>
  <c r="I47" i="3"/>
  <c r="M46" i="3"/>
  <c r="H46" i="3"/>
  <c r="H47" i="3"/>
  <c r="M37" i="3"/>
  <c r="H37" i="3"/>
  <c r="W33" i="3"/>
  <c r="M33" i="3"/>
  <c r="M34" i="3"/>
  <c r="H33" i="3"/>
  <c r="H34" i="3"/>
  <c r="W22" i="3"/>
  <c r="R22" i="3"/>
  <c r="M23" i="3"/>
  <c r="M22" i="3"/>
  <c r="M21" i="3"/>
  <c r="M20" i="3"/>
  <c r="M19" i="3"/>
  <c r="M18" i="3"/>
  <c r="M17" i="3"/>
  <c r="M16" i="3"/>
  <c r="M15" i="3"/>
  <c r="M13" i="3"/>
  <c r="H23" i="3"/>
  <c r="H22" i="3"/>
  <c r="H21" i="3"/>
  <c r="H20" i="3"/>
  <c r="H19" i="3"/>
  <c r="H18" i="3"/>
  <c r="H17" i="3"/>
  <c r="H16" i="3"/>
  <c r="H15" i="3"/>
  <c r="D24" i="3"/>
  <c r="D178" i="3"/>
  <c r="D183" i="3"/>
  <c r="E24" i="3"/>
  <c r="E178" i="3"/>
  <c r="E183" i="3"/>
  <c r="F24" i="3"/>
  <c r="G24" i="3"/>
  <c r="I24" i="3"/>
  <c r="I25" i="3"/>
  <c r="J24" i="3"/>
  <c r="K24" i="3"/>
  <c r="L24" i="3"/>
  <c r="N24" i="3"/>
  <c r="O24" i="3"/>
  <c r="T148" i="3"/>
  <c r="AD148" i="3"/>
  <c r="AI148" i="3"/>
  <c r="AN148" i="3"/>
  <c r="AK282" i="3"/>
  <c r="AJ284" i="3"/>
  <c r="AJ165" i="3"/>
  <c r="AO165" i="3"/>
  <c r="H325" i="3"/>
  <c r="R311" i="3"/>
  <c r="AQ256" i="3"/>
  <c r="AP327" i="3"/>
  <c r="AQ327" i="3"/>
  <c r="H311" i="3"/>
  <c r="AN281" i="3"/>
  <c r="M311" i="3"/>
  <c r="R310" i="3"/>
  <c r="Q300" i="3"/>
  <c r="M310" i="3"/>
  <c r="O180" i="3"/>
  <c r="J180" i="3"/>
  <c r="F180" i="3"/>
  <c r="K180" i="3"/>
  <c r="M325" i="3"/>
  <c r="M357" i="3"/>
  <c r="P180" i="3"/>
  <c r="G150" i="3"/>
  <c r="G144" i="3"/>
  <c r="N150" i="3"/>
  <c r="O150" i="3"/>
  <c r="E180" i="3"/>
  <c r="G180" i="3"/>
  <c r="N180" i="3"/>
  <c r="J150" i="3"/>
  <c r="L150" i="3"/>
  <c r="E150" i="3"/>
  <c r="E144" i="3"/>
  <c r="I180" i="3"/>
  <c r="L180" i="3"/>
  <c r="D180" i="3"/>
  <c r="F150" i="3"/>
  <c r="F144" i="3"/>
  <c r="I150" i="3"/>
  <c r="K150" i="3"/>
  <c r="K167" i="3"/>
  <c r="O166" i="3"/>
  <c r="O161" i="3"/>
  <c r="O152" i="3"/>
  <c r="N166" i="3"/>
  <c r="N161" i="3"/>
  <c r="N152" i="3"/>
  <c r="I166" i="3"/>
  <c r="I161" i="3"/>
  <c r="I152" i="3"/>
  <c r="E166" i="3"/>
  <c r="E161" i="3"/>
  <c r="H310" i="3"/>
  <c r="M221" i="3"/>
  <c r="M223" i="3"/>
  <c r="M222" i="3"/>
  <c r="L25" i="3"/>
  <c r="L178" i="3"/>
  <c r="L183" i="3"/>
  <c r="Q182" i="3"/>
  <c r="O25" i="3"/>
  <c r="O178" i="3"/>
  <c r="O183" i="3"/>
  <c r="J25" i="3"/>
  <c r="J178" i="3"/>
  <c r="J183" i="3"/>
  <c r="N25" i="3"/>
  <c r="N178" i="3"/>
  <c r="N183" i="3"/>
  <c r="I178" i="3"/>
  <c r="I183" i="3"/>
  <c r="G25" i="3"/>
  <c r="G218" i="3"/>
  <c r="G178" i="3"/>
  <c r="G183" i="3"/>
  <c r="K25" i="3"/>
  <c r="K178" i="3"/>
  <c r="K183" i="3"/>
  <c r="F25" i="3"/>
  <c r="F178" i="3"/>
  <c r="F183" i="3"/>
  <c r="D25" i="3"/>
  <c r="R19" i="3"/>
  <c r="U172" i="3"/>
  <c r="U173" i="3"/>
  <c r="P69" i="3"/>
  <c r="U69" i="3"/>
  <c r="Z69" i="3"/>
  <c r="AE69" i="3"/>
  <c r="T156" i="3"/>
  <c r="P167" i="3"/>
  <c r="I165" i="3"/>
  <c r="U158" i="3"/>
  <c r="V158" i="3"/>
  <c r="X158" i="3"/>
  <c r="Y158" i="3"/>
  <c r="Z158" i="3"/>
  <c r="AA158" i="3"/>
  <c r="O165" i="3"/>
  <c r="T165" i="3"/>
  <c r="Y165" i="3"/>
  <c r="AD165" i="3"/>
  <c r="E165" i="3"/>
  <c r="T170" i="3"/>
  <c r="K70" i="3"/>
  <c r="K69" i="3"/>
  <c r="E69" i="3"/>
  <c r="E70" i="3"/>
  <c r="P70" i="3"/>
  <c r="P184" i="3"/>
  <c r="T154" i="3"/>
  <c r="D69" i="3"/>
  <c r="D70" i="3"/>
  <c r="G70" i="3"/>
  <c r="G69" i="3"/>
  <c r="O69" i="3"/>
  <c r="T69" i="3"/>
  <c r="Y69" i="3"/>
  <c r="AD69" i="3"/>
  <c r="O70" i="3"/>
  <c r="N69" i="3"/>
  <c r="N70" i="3"/>
  <c r="F70" i="3"/>
  <c r="F69" i="3"/>
  <c r="I69" i="3"/>
  <c r="I70" i="3"/>
  <c r="J70" i="3"/>
  <c r="J69" i="3"/>
  <c r="L70" i="3"/>
  <c r="L69" i="3"/>
  <c r="M330" i="3"/>
  <c r="M338" i="3"/>
  <c r="T58" i="3"/>
  <c r="Y58" i="3"/>
  <c r="X58" i="3"/>
  <c r="Q135" i="3"/>
  <c r="T139" i="3"/>
  <c r="U58" i="3"/>
  <c r="M47" i="3"/>
  <c r="P35" i="3"/>
  <c r="P224" i="3"/>
  <c r="M24" i="3"/>
  <c r="M25" i="3"/>
  <c r="M27" i="3"/>
  <c r="H24" i="3"/>
  <c r="AL282" i="3"/>
  <c r="AK284" i="3"/>
  <c r="M40" i="3"/>
  <c r="M45" i="3"/>
  <c r="M219" i="3"/>
  <c r="S160" i="3"/>
  <c r="S165" i="3"/>
  <c r="AI165" i="3"/>
  <c r="AN165" i="3"/>
  <c r="AJ69" i="3"/>
  <c r="AO69" i="3"/>
  <c r="D27" i="3"/>
  <c r="D218" i="3"/>
  <c r="K27" i="3"/>
  <c r="K218" i="3"/>
  <c r="I27" i="3"/>
  <c r="I218" i="3"/>
  <c r="J27" i="3"/>
  <c r="J218" i="3"/>
  <c r="L27" i="3"/>
  <c r="L218" i="3"/>
  <c r="M218" i="3"/>
  <c r="F27" i="3"/>
  <c r="F219" i="3"/>
  <c r="F218" i="3"/>
  <c r="N27" i="3"/>
  <c r="N218" i="3"/>
  <c r="O27" i="3"/>
  <c r="O218" i="3"/>
  <c r="M70" i="3"/>
  <c r="AI69" i="3"/>
  <c r="AN69" i="3"/>
  <c r="AQ267" i="3"/>
  <c r="AP313" i="3"/>
  <c r="AQ313" i="3"/>
  <c r="AO281" i="3"/>
  <c r="T354" i="3"/>
  <c r="E167" i="3"/>
  <c r="G35" i="3"/>
  <c r="G27" i="3"/>
  <c r="I184" i="3"/>
  <c r="S78" i="3"/>
  <c r="O167" i="3"/>
  <c r="N167" i="3"/>
  <c r="I167" i="3"/>
  <c r="U113" i="3"/>
  <c r="V113" i="3"/>
  <c r="X113" i="3"/>
  <c r="Y113" i="3"/>
  <c r="Z113" i="3"/>
  <c r="AA113" i="3"/>
  <c r="T112" i="3"/>
  <c r="L166" i="3"/>
  <c r="L161" i="3"/>
  <c r="L152" i="3"/>
  <c r="J166" i="3"/>
  <c r="J161" i="3"/>
  <c r="J152" i="3"/>
  <c r="G166" i="3"/>
  <c r="G167" i="3"/>
  <c r="G152" i="3"/>
  <c r="F166" i="3"/>
  <c r="F184" i="3"/>
  <c r="F152" i="3"/>
  <c r="D166" i="3"/>
  <c r="D167" i="3"/>
  <c r="D152" i="3"/>
  <c r="V58" i="3"/>
  <c r="O35" i="3"/>
  <c r="O224" i="3"/>
  <c r="O184" i="3"/>
  <c r="K35" i="3"/>
  <c r="K38" i="3"/>
  <c r="K184" i="3"/>
  <c r="N184" i="3"/>
  <c r="J35" i="3"/>
  <c r="J224" i="3"/>
  <c r="I35" i="3"/>
  <c r="I38" i="3"/>
  <c r="L35" i="3"/>
  <c r="L38" i="3"/>
  <c r="P38" i="3"/>
  <c r="D35" i="3"/>
  <c r="N35" i="3"/>
  <c r="F35" i="3"/>
  <c r="U157" i="3"/>
  <c r="V172" i="3"/>
  <c r="V173" i="3"/>
  <c r="F71" i="3"/>
  <c r="O71" i="3"/>
  <c r="L71" i="3"/>
  <c r="D71" i="3"/>
  <c r="P71" i="3"/>
  <c r="K71" i="3"/>
  <c r="I71" i="3"/>
  <c r="G71" i="3"/>
  <c r="J71" i="3"/>
  <c r="N71" i="3"/>
  <c r="E71" i="3"/>
  <c r="J165" i="3"/>
  <c r="L165" i="3"/>
  <c r="D165" i="3"/>
  <c r="U156" i="3"/>
  <c r="T155" i="3"/>
  <c r="F165" i="3"/>
  <c r="G165" i="3"/>
  <c r="T169" i="3"/>
  <c r="U170" i="3"/>
  <c r="T153" i="3"/>
  <c r="T160" i="3"/>
  <c r="U154" i="3"/>
  <c r="V157" i="3"/>
  <c r="T75" i="3"/>
  <c r="U75" i="3"/>
  <c r="S133" i="3"/>
  <c r="U89" i="3"/>
  <c r="T88" i="3"/>
  <c r="Q53" i="3"/>
  <c r="T87" i="3"/>
  <c r="U87" i="3"/>
  <c r="V87" i="3"/>
  <c r="X87" i="3"/>
  <c r="Y87" i="3"/>
  <c r="Z87" i="3"/>
  <c r="AA87" i="3"/>
  <c r="S90" i="3"/>
  <c r="U139" i="3"/>
  <c r="T138" i="3"/>
  <c r="T130" i="3"/>
  <c r="Q55" i="3"/>
  <c r="T128" i="3"/>
  <c r="T81" i="3"/>
  <c r="S84" i="3"/>
  <c r="T104" i="3"/>
  <c r="T136" i="3"/>
  <c r="T111" i="3"/>
  <c r="S114" i="3"/>
  <c r="AA59" i="3"/>
  <c r="Z58" i="3"/>
  <c r="M35" i="3"/>
  <c r="C375" i="3"/>
  <c r="C382" i="3"/>
  <c r="O40" i="3"/>
  <c r="O45" i="3"/>
  <c r="O219" i="3"/>
  <c r="L40" i="3"/>
  <c r="L45" i="3"/>
  <c r="L219" i="3"/>
  <c r="G40" i="3"/>
  <c r="G45" i="3"/>
  <c r="G219" i="3"/>
  <c r="I40" i="3"/>
  <c r="I45" i="3"/>
  <c r="I219" i="3"/>
  <c r="D40" i="3"/>
  <c r="D45" i="3"/>
  <c r="D219" i="3"/>
  <c r="N40" i="3"/>
  <c r="N45" i="3"/>
  <c r="N219" i="3"/>
  <c r="J40" i="3"/>
  <c r="J45" i="3"/>
  <c r="J219" i="3"/>
  <c r="K40" i="3"/>
  <c r="K45" i="3"/>
  <c r="K219" i="3"/>
  <c r="X165" i="3"/>
  <c r="AC165" i="3"/>
  <c r="AH165" i="3"/>
  <c r="AM165" i="3"/>
  <c r="AM282" i="3"/>
  <c r="AL284" i="3"/>
  <c r="F40" i="3"/>
  <c r="F45" i="3"/>
  <c r="S143" i="3"/>
  <c r="S148" i="3"/>
  <c r="T145" i="3"/>
  <c r="T162" i="3"/>
  <c r="Q56" i="3"/>
  <c r="AP281" i="3"/>
  <c r="U354" i="3"/>
  <c r="S126" i="3"/>
  <c r="T143" i="3"/>
  <c r="S102" i="3"/>
  <c r="S96" i="3"/>
  <c r="L167" i="3"/>
  <c r="J184" i="3"/>
  <c r="G184" i="3"/>
  <c r="G161" i="3"/>
  <c r="F167" i="3"/>
  <c r="F161" i="3"/>
  <c r="D184" i="3"/>
  <c r="D161" i="3"/>
  <c r="T133" i="3"/>
  <c r="J38" i="3"/>
  <c r="S108" i="3"/>
  <c r="I224" i="3"/>
  <c r="L184" i="3"/>
  <c r="U112" i="3"/>
  <c r="S120" i="3"/>
  <c r="J167" i="3"/>
  <c r="O38" i="3"/>
  <c r="K224" i="3"/>
  <c r="L224" i="3"/>
  <c r="D38" i="3"/>
  <c r="D224" i="3"/>
  <c r="N38" i="3"/>
  <c r="N224" i="3"/>
  <c r="G38" i="3"/>
  <c r="G224" i="3"/>
  <c r="F38" i="3"/>
  <c r="F224" i="3"/>
  <c r="M38" i="3"/>
  <c r="M224" i="3"/>
  <c r="X172" i="3"/>
  <c r="X173" i="3"/>
  <c r="U155" i="3"/>
  <c r="V156" i="3"/>
  <c r="X156" i="3"/>
  <c r="Y156" i="3"/>
  <c r="Z156" i="3"/>
  <c r="AA156" i="3"/>
  <c r="T74" i="3"/>
  <c r="V170" i="3"/>
  <c r="U169" i="3"/>
  <c r="X157" i="3"/>
  <c r="U153" i="3"/>
  <c r="U160" i="3"/>
  <c r="V154" i="3"/>
  <c r="X154" i="3"/>
  <c r="Y154" i="3"/>
  <c r="Z154" i="3"/>
  <c r="AA154" i="3"/>
  <c r="T76" i="3"/>
  <c r="T86" i="3"/>
  <c r="T90" i="3"/>
  <c r="T100" i="3"/>
  <c r="T98" i="3"/>
  <c r="U136" i="3"/>
  <c r="T118" i="3"/>
  <c r="U83" i="3"/>
  <c r="T82" i="3"/>
  <c r="T124" i="3"/>
  <c r="U128" i="3"/>
  <c r="S52" i="3"/>
  <c r="U138" i="3"/>
  <c r="V139" i="3"/>
  <c r="X139" i="3"/>
  <c r="Y139" i="3"/>
  <c r="Z139" i="3"/>
  <c r="AA139" i="3"/>
  <c r="T116" i="3"/>
  <c r="S55" i="3"/>
  <c r="S56" i="3"/>
  <c r="U81" i="3"/>
  <c r="T80" i="3"/>
  <c r="T94" i="3"/>
  <c r="U130" i="3"/>
  <c r="U111" i="3"/>
  <c r="V111" i="3"/>
  <c r="X111" i="3"/>
  <c r="Y111" i="3"/>
  <c r="Z111" i="3"/>
  <c r="AA111" i="3"/>
  <c r="T110" i="3"/>
  <c r="T114" i="3"/>
  <c r="U74" i="3"/>
  <c r="V75" i="3"/>
  <c r="X75" i="3"/>
  <c r="Y75" i="3"/>
  <c r="Z75" i="3"/>
  <c r="AA75" i="3"/>
  <c r="U104" i="3"/>
  <c r="Q57" i="3"/>
  <c r="T106" i="3"/>
  <c r="T108" i="3"/>
  <c r="T92" i="3"/>
  <c r="V89" i="3"/>
  <c r="X89" i="3"/>
  <c r="Y89" i="3"/>
  <c r="Z89" i="3"/>
  <c r="AA89" i="3"/>
  <c r="U88" i="3"/>
  <c r="T122" i="3"/>
  <c r="V77" i="3"/>
  <c r="X77" i="3"/>
  <c r="Y77" i="3"/>
  <c r="Z77" i="3"/>
  <c r="AA77" i="3"/>
  <c r="U76" i="3"/>
  <c r="Q54" i="3"/>
  <c r="AA58" i="3"/>
  <c r="AC59" i="3"/>
  <c r="P296" i="3"/>
  <c r="AC148" i="3"/>
  <c r="AH148" i="3"/>
  <c r="AM148" i="3"/>
  <c r="AN282" i="3"/>
  <c r="AM284" i="3"/>
  <c r="T84" i="3"/>
  <c r="U296" i="3"/>
  <c r="Z296" i="3"/>
  <c r="U162" i="3"/>
  <c r="U145" i="3"/>
  <c r="S53" i="3"/>
  <c r="AQ281" i="3"/>
  <c r="V354" i="3"/>
  <c r="X354" i="3"/>
  <c r="T126" i="3"/>
  <c r="T96" i="3"/>
  <c r="T120" i="3"/>
  <c r="U143" i="3"/>
  <c r="U78" i="3"/>
  <c r="T78" i="3"/>
  <c r="V112" i="3"/>
  <c r="T102" i="3"/>
  <c r="U133" i="3"/>
  <c r="Q152" i="3"/>
  <c r="Q13" i="3"/>
  <c r="Q292" i="3"/>
  <c r="V292" i="3"/>
  <c r="AA292" i="3"/>
  <c r="Q69" i="3"/>
  <c r="V69" i="3"/>
  <c r="AA69" i="3"/>
  <c r="AF69" i="3"/>
  <c r="Y172" i="3"/>
  <c r="Y173" i="3"/>
  <c r="V169" i="3"/>
  <c r="X170" i="3"/>
  <c r="V155" i="3"/>
  <c r="Q166" i="3"/>
  <c r="Q161" i="3"/>
  <c r="V153" i="3"/>
  <c r="V160" i="3"/>
  <c r="Y157" i="3"/>
  <c r="S54" i="3"/>
  <c r="U94" i="3"/>
  <c r="U124" i="3"/>
  <c r="U122" i="3"/>
  <c r="U106" i="3"/>
  <c r="U108" i="3"/>
  <c r="T55" i="3"/>
  <c r="T56" i="3"/>
  <c r="V130" i="3"/>
  <c r="T52" i="3"/>
  <c r="T62" i="3"/>
  <c r="U116" i="3"/>
  <c r="U118" i="3"/>
  <c r="U98" i="3"/>
  <c r="U86" i="3"/>
  <c r="U90" i="3"/>
  <c r="V104" i="3"/>
  <c r="U110" i="3"/>
  <c r="U114" i="3"/>
  <c r="V81" i="3"/>
  <c r="X81" i="3"/>
  <c r="Y81" i="3"/>
  <c r="Z81" i="3"/>
  <c r="AA81" i="3"/>
  <c r="U80" i="3"/>
  <c r="V138" i="3"/>
  <c r="V128" i="3"/>
  <c r="V83" i="3"/>
  <c r="X83" i="3"/>
  <c r="Y83" i="3"/>
  <c r="Z83" i="3"/>
  <c r="AA83" i="3"/>
  <c r="U82" i="3"/>
  <c r="V76" i="3"/>
  <c r="V88" i="3"/>
  <c r="U92" i="3"/>
  <c r="V74" i="3"/>
  <c r="S57" i="3"/>
  <c r="V136" i="3"/>
  <c r="U100" i="3"/>
  <c r="AC58" i="3"/>
  <c r="AD59" i="3"/>
  <c r="C379" i="3"/>
  <c r="C381" i="3"/>
  <c r="O296" i="3"/>
  <c r="T296" i="3"/>
  <c r="O293" i="3"/>
  <c r="P355" i="3"/>
  <c r="O217" i="3"/>
  <c r="N217" i="3"/>
  <c r="L217" i="3"/>
  <c r="K217" i="3"/>
  <c r="I217" i="3"/>
  <c r="R272" i="3"/>
  <c r="N355" i="3"/>
  <c r="I355" i="3"/>
  <c r="N296" i="3"/>
  <c r="N293" i="3"/>
  <c r="L296" i="3"/>
  <c r="L292" i="3"/>
  <c r="K296" i="3"/>
  <c r="K297" i="3"/>
  <c r="K292" i="3"/>
  <c r="K293" i="3"/>
  <c r="K232" i="3"/>
  <c r="I232" i="3"/>
  <c r="I228" i="3"/>
  <c r="J296" i="3"/>
  <c r="J297" i="3"/>
  <c r="J292" i="3"/>
  <c r="J293" i="3"/>
  <c r="I297" i="3"/>
  <c r="P297" i="3"/>
  <c r="G292" i="3"/>
  <c r="G293" i="3"/>
  <c r="N228" i="3"/>
  <c r="F292" i="3"/>
  <c r="F293" i="3"/>
  <c r="F232" i="3"/>
  <c r="W344" i="3"/>
  <c r="AB344" i="3"/>
  <c r="AG344" i="3"/>
  <c r="AL344" i="3"/>
  <c r="AQ344" i="3"/>
  <c r="D293" i="3"/>
  <c r="E275" i="3"/>
  <c r="F275" i="3"/>
  <c r="G275" i="3"/>
  <c r="J232" i="3"/>
  <c r="J229" i="3"/>
  <c r="D232" i="3"/>
  <c r="E232" i="3"/>
  <c r="E228" i="3"/>
  <c r="J250" i="3"/>
  <c r="K250" i="3"/>
  <c r="L250" i="3"/>
  <c r="M250" i="3"/>
  <c r="N250" i="3"/>
  <c r="R250" i="3"/>
  <c r="M257" i="3"/>
  <c r="M277" i="3"/>
  <c r="M264" i="3"/>
  <c r="M256" i="3"/>
  <c r="M266" i="3"/>
  <c r="M348" i="3"/>
  <c r="M251" i="3"/>
  <c r="D328" i="3"/>
  <c r="D273" i="3"/>
  <c r="M253" i="3"/>
  <c r="I328" i="3"/>
  <c r="M248" i="3"/>
  <c r="M263" i="3"/>
  <c r="N328" i="3"/>
  <c r="M279" i="3"/>
  <c r="P217" i="3"/>
  <c r="AO282" i="3"/>
  <c r="AN284" i="3"/>
  <c r="S69" i="3"/>
  <c r="AE296" i="3"/>
  <c r="AE297" i="3"/>
  <c r="Z297" i="3"/>
  <c r="V145" i="3"/>
  <c r="AK69" i="3"/>
  <c r="AP69" i="3"/>
  <c r="V162" i="3"/>
  <c r="O297" i="3"/>
  <c r="Y296" i="3"/>
  <c r="T53" i="3"/>
  <c r="N297" i="3"/>
  <c r="X296" i="3"/>
  <c r="S64" i="3"/>
  <c r="AA293" i="3"/>
  <c r="AF292" i="3"/>
  <c r="U96" i="3"/>
  <c r="Y354" i="3"/>
  <c r="Q180" i="3"/>
  <c r="Q299" i="3"/>
  <c r="V299" i="3"/>
  <c r="AA299" i="3"/>
  <c r="AF299" i="3"/>
  <c r="AK299" i="3"/>
  <c r="AP299" i="3"/>
  <c r="Q298" i="3"/>
  <c r="V298" i="3"/>
  <c r="AA298" i="3"/>
  <c r="AF298" i="3"/>
  <c r="AK298" i="3"/>
  <c r="AP298" i="3"/>
  <c r="Q293" i="3"/>
  <c r="Q355" i="3"/>
  <c r="Q357" i="3"/>
  <c r="M255" i="3"/>
  <c r="N300" i="3"/>
  <c r="M226" i="3"/>
  <c r="F228" i="3"/>
  <c r="G232" i="3"/>
  <c r="G230" i="3"/>
  <c r="D229" i="3"/>
  <c r="D228" i="3"/>
  <c r="V78" i="3"/>
  <c r="M286" i="3"/>
  <c r="Q167" i="3"/>
  <c r="V143" i="3"/>
  <c r="V133" i="3"/>
  <c r="U84" i="3"/>
  <c r="U102" i="3"/>
  <c r="U120" i="3"/>
  <c r="U126" i="3"/>
  <c r="X112" i="3"/>
  <c r="R269" i="3"/>
  <c r="R264" i="3"/>
  <c r="Q223" i="3"/>
  <c r="Z172" i="3"/>
  <c r="Z173" i="3"/>
  <c r="Y170" i="3"/>
  <c r="X169" i="3"/>
  <c r="Q70" i="3"/>
  <c r="R70" i="3"/>
  <c r="T164" i="3"/>
  <c r="X155" i="3"/>
  <c r="Z157" i="3"/>
  <c r="X153" i="3"/>
  <c r="X160" i="3"/>
  <c r="H275" i="3"/>
  <c r="I275" i="3"/>
  <c r="J275" i="3"/>
  <c r="K275" i="3"/>
  <c r="L275" i="3"/>
  <c r="M275" i="3"/>
  <c r="N275" i="3"/>
  <c r="O275" i="3"/>
  <c r="P275" i="3"/>
  <c r="Q275" i="3"/>
  <c r="R257" i="3"/>
  <c r="R251" i="3"/>
  <c r="E330" i="3"/>
  <c r="U52" i="3"/>
  <c r="O273" i="3"/>
  <c r="O287" i="3"/>
  <c r="T54" i="3"/>
  <c r="V92" i="3"/>
  <c r="X128" i="3"/>
  <c r="X104" i="3"/>
  <c r="V118" i="3"/>
  <c r="O355" i="3"/>
  <c r="V100" i="3"/>
  <c r="V116" i="3"/>
  <c r="T57" i="3"/>
  <c r="V106" i="3"/>
  <c r="V108" i="3"/>
  <c r="X76" i="3"/>
  <c r="V80" i="3"/>
  <c r="V86" i="3"/>
  <c r="V90" i="3"/>
  <c r="X74" i="3"/>
  <c r="X88" i="3"/>
  <c r="V82" i="3"/>
  <c r="X138" i="3"/>
  <c r="V110" i="3"/>
  <c r="V114" i="3"/>
  <c r="V98" i="3"/>
  <c r="X130" i="3"/>
  <c r="U55" i="3"/>
  <c r="U56" i="3"/>
  <c r="V124" i="3"/>
  <c r="V94" i="3"/>
  <c r="X136" i="3"/>
  <c r="V122" i="3"/>
  <c r="AE59" i="3"/>
  <c r="AD58" i="3"/>
  <c r="N273" i="3"/>
  <c r="N287" i="3"/>
  <c r="L287" i="3"/>
  <c r="J273" i="3"/>
  <c r="J287" i="3"/>
  <c r="R326" i="3"/>
  <c r="G273" i="3"/>
  <c r="G287" i="3"/>
  <c r="J328" i="3"/>
  <c r="F229" i="3"/>
  <c r="F273" i="3"/>
  <c r="F287" i="3"/>
  <c r="K273" i="3"/>
  <c r="K287" i="3"/>
  <c r="E328" i="3"/>
  <c r="R327" i="3"/>
  <c r="I229" i="3"/>
  <c r="H13" i="3"/>
  <c r="H357" i="3"/>
  <c r="E25" i="3"/>
  <c r="E218" i="3"/>
  <c r="O328" i="3"/>
  <c r="I273" i="3"/>
  <c r="I287" i="3"/>
  <c r="L43" i="3"/>
  <c r="D287" i="3"/>
  <c r="E229" i="3"/>
  <c r="T272" i="3"/>
  <c r="N36" i="3"/>
  <c r="L355" i="3"/>
  <c r="L293" i="3"/>
  <c r="J355" i="3"/>
  <c r="J228" i="3"/>
  <c r="O36" i="3"/>
  <c r="K229" i="3"/>
  <c r="K228" i="3"/>
  <c r="L297" i="3"/>
  <c r="N229" i="3"/>
  <c r="P229" i="3"/>
  <c r="P228" i="3"/>
  <c r="E293" i="3"/>
  <c r="E355" i="3"/>
  <c r="J217" i="3"/>
  <c r="X69" i="3"/>
  <c r="AC69" i="3"/>
  <c r="AH69" i="3"/>
  <c r="AM69" i="3"/>
  <c r="U62" i="3"/>
  <c r="AP282" i="3"/>
  <c r="AO284" i="3"/>
  <c r="AJ296" i="3"/>
  <c r="AJ297" i="3"/>
  <c r="X162" i="3"/>
  <c r="X145" i="3"/>
  <c r="Y297" i="3"/>
  <c r="AD296" i="3"/>
  <c r="G8" i="26"/>
  <c r="AF293" i="3"/>
  <c r="AK292" i="3"/>
  <c r="AO296" i="3"/>
  <c r="AO297" i="3"/>
  <c r="U272" i="3"/>
  <c r="T64" i="3"/>
  <c r="U53" i="3"/>
  <c r="X297" i="3"/>
  <c r="AC296" i="3"/>
  <c r="T355" i="3"/>
  <c r="U355" i="3"/>
  <c r="V355" i="3"/>
  <c r="X355" i="3"/>
  <c r="Y355" i="3"/>
  <c r="Z355" i="3"/>
  <c r="AA355" i="3"/>
  <c r="AC355" i="3"/>
  <c r="AD355" i="3"/>
  <c r="AE355" i="3"/>
  <c r="AF355" i="3"/>
  <c r="AH355" i="3"/>
  <c r="AI355" i="3"/>
  <c r="AJ355" i="3"/>
  <c r="AK355" i="3"/>
  <c r="AM355" i="3"/>
  <c r="AN355" i="3"/>
  <c r="AO355" i="3"/>
  <c r="AP355" i="3"/>
  <c r="W257" i="3"/>
  <c r="Z354" i="3"/>
  <c r="S180" i="3"/>
  <c r="E184" i="3"/>
  <c r="E27" i="3"/>
  <c r="G229" i="3"/>
  <c r="G228" i="3"/>
  <c r="V120" i="3"/>
  <c r="V126" i="3"/>
  <c r="V102" i="3"/>
  <c r="V96" i="3"/>
  <c r="V84" i="3"/>
  <c r="X143" i="3"/>
  <c r="X78" i="3"/>
  <c r="X133" i="3"/>
  <c r="Y112" i="3"/>
  <c r="T13" i="3"/>
  <c r="S223" i="3"/>
  <c r="H25" i="3"/>
  <c r="H218" i="3"/>
  <c r="H217" i="3"/>
  <c r="H221" i="3"/>
  <c r="H223" i="3"/>
  <c r="H222" i="3"/>
  <c r="AA172" i="3"/>
  <c r="AA173" i="3"/>
  <c r="Q71" i="3"/>
  <c r="Z170" i="3"/>
  <c r="Y169" i="3"/>
  <c r="E35" i="3"/>
  <c r="Y155" i="3"/>
  <c r="U164" i="3"/>
  <c r="T68" i="3"/>
  <c r="AA157" i="3"/>
  <c r="AC158" i="3"/>
  <c r="Y153" i="3"/>
  <c r="Y160" i="3"/>
  <c r="R275" i="3"/>
  <c r="S275" i="3"/>
  <c r="T275" i="3"/>
  <c r="U275" i="3"/>
  <c r="V275" i="3"/>
  <c r="W275" i="3"/>
  <c r="X275" i="3"/>
  <c r="Y275" i="3"/>
  <c r="Z275" i="3"/>
  <c r="AA275" i="3"/>
  <c r="AB275" i="3"/>
  <c r="AC275" i="3"/>
  <c r="AD275" i="3"/>
  <c r="AE275" i="3"/>
  <c r="AF275" i="3"/>
  <c r="AG275" i="3"/>
  <c r="AH275" i="3"/>
  <c r="AI275" i="3"/>
  <c r="AJ275" i="3"/>
  <c r="AK275" i="3"/>
  <c r="AL275" i="3"/>
  <c r="AM275" i="3"/>
  <c r="AN275" i="3"/>
  <c r="AO275" i="3"/>
  <c r="AP275" i="3"/>
  <c r="AQ275" i="3"/>
  <c r="M265" i="3"/>
  <c r="M273" i="3"/>
  <c r="M287" i="3"/>
  <c r="F330" i="3"/>
  <c r="E338" i="3"/>
  <c r="U54" i="3"/>
  <c r="Y88" i="3"/>
  <c r="Y76" i="3"/>
  <c r="Y136" i="3"/>
  <c r="X124" i="3"/>
  <c r="V55" i="3"/>
  <c r="V56" i="3"/>
  <c r="Y74" i="3"/>
  <c r="X86" i="3"/>
  <c r="X90" i="3"/>
  <c r="X116" i="3"/>
  <c r="V52" i="3"/>
  <c r="V62" i="3"/>
  <c r="X100" i="3"/>
  <c r="X118" i="3"/>
  <c r="Y128" i="3"/>
  <c r="X98" i="3"/>
  <c r="X122" i="3"/>
  <c r="Y130" i="3"/>
  <c r="X110" i="3"/>
  <c r="X114" i="3"/>
  <c r="X82" i="3"/>
  <c r="X106" i="3"/>
  <c r="X108" i="3"/>
  <c r="U57" i="3"/>
  <c r="Y138" i="3"/>
  <c r="X94" i="3"/>
  <c r="X80" i="3"/>
  <c r="Y104" i="3"/>
  <c r="X92" i="3"/>
  <c r="AF59" i="3"/>
  <c r="AE58" i="3"/>
  <c r="L44" i="3"/>
  <c r="L309" i="3"/>
  <c r="L323" i="3"/>
  <c r="P36" i="3"/>
  <c r="D36" i="3"/>
  <c r="F328" i="3"/>
  <c r="I36" i="3"/>
  <c r="G328" i="3"/>
  <c r="J36" i="3"/>
  <c r="K355" i="3"/>
  <c r="F44" i="3"/>
  <c r="F309" i="3"/>
  <c r="F43" i="3"/>
  <c r="P328" i="3"/>
  <c r="K36" i="3"/>
  <c r="L328" i="3"/>
  <c r="K328" i="3"/>
  <c r="F355" i="3"/>
  <c r="L36" i="3"/>
  <c r="F36" i="3"/>
  <c r="O44" i="3"/>
  <c r="O309" i="3"/>
  <c r="O323" i="3"/>
  <c r="O340" i="3"/>
  <c r="O43" i="3"/>
  <c r="N309" i="3"/>
  <c r="N323" i="3"/>
  <c r="N340" i="3"/>
  <c r="N44" i="3"/>
  <c r="N43" i="3"/>
  <c r="M217" i="3"/>
  <c r="T327" i="3"/>
  <c r="AQ282" i="3"/>
  <c r="AQ284" i="3"/>
  <c r="AP284" i="3"/>
  <c r="E40" i="3"/>
  <c r="E45" i="3"/>
  <c r="E219" i="3"/>
  <c r="E29" i="26"/>
  <c r="F16" i="26"/>
  <c r="D42" i="26"/>
  <c r="E34" i="26"/>
  <c r="T269" i="3"/>
  <c r="T264" i="3"/>
  <c r="Y145" i="3"/>
  <c r="Y162" i="3"/>
  <c r="AH296" i="3"/>
  <c r="AC297" i="3"/>
  <c r="U64" i="3"/>
  <c r="AK293" i="3"/>
  <c r="AP292" i="3"/>
  <c r="AP293" i="3"/>
  <c r="V272" i="3"/>
  <c r="V53" i="3"/>
  <c r="AD297" i="3"/>
  <c r="AI296" i="3"/>
  <c r="J21" i="26"/>
  <c r="AA354" i="3"/>
  <c r="T312" i="3"/>
  <c r="AB257" i="3"/>
  <c r="T180" i="3"/>
  <c r="N304" i="3"/>
  <c r="H35" i="3"/>
  <c r="H224" i="3"/>
  <c r="H27" i="3"/>
  <c r="X84" i="3"/>
  <c r="P304" i="3"/>
  <c r="O304" i="3"/>
  <c r="Y78" i="3"/>
  <c r="X126" i="3"/>
  <c r="X96" i="3"/>
  <c r="Y133" i="3"/>
  <c r="X120" i="3"/>
  <c r="X102" i="3"/>
  <c r="Y143" i="3"/>
  <c r="Z112" i="3"/>
  <c r="U13" i="3"/>
  <c r="T293" i="3"/>
  <c r="T325" i="3"/>
  <c r="E38" i="3"/>
  <c r="E224" i="3"/>
  <c r="AC172" i="3"/>
  <c r="AC173" i="3"/>
  <c r="AA170" i="3"/>
  <c r="Z169" i="3"/>
  <c r="U68" i="3"/>
  <c r="Z155" i="3"/>
  <c r="V164" i="3"/>
  <c r="AD158" i="3"/>
  <c r="AC157" i="3"/>
  <c r="Z153" i="3"/>
  <c r="Z160" i="3"/>
  <c r="G330" i="3"/>
  <c r="G338" i="3"/>
  <c r="F338" i="3"/>
  <c r="H318" i="3"/>
  <c r="L340" i="3"/>
  <c r="X52" i="3"/>
  <c r="V57" i="3"/>
  <c r="V54" i="3"/>
  <c r="Y122" i="3"/>
  <c r="Y118" i="3"/>
  <c r="Y80" i="3"/>
  <c r="Y100" i="3"/>
  <c r="Z76" i="3"/>
  <c r="Y110" i="3"/>
  <c r="Y114" i="3"/>
  <c r="Y116" i="3"/>
  <c r="Y124" i="3"/>
  <c r="Z104" i="3"/>
  <c r="Y94" i="3"/>
  <c r="Z138" i="3"/>
  <c r="Y82" i="3"/>
  <c r="Z130" i="3"/>
  <c r="Y98" i="3"/>
  <c r="Z128" i="3"/>
  <c r="Z74" i="3"/>
  <c r="Z136" i="3"/>
  <c r="Y92" i="3"/>
  <c r="Y106" i="3"/>
  <c r="Y108" i="3"/>
  <c r="X55" i="3"/>
  <c r="X56" i="3"/>
  <c r="Y86" i="3"/>
  <c r="Y90" i="3"/>
  <c r="Z88" i="3"/>
  <c r="AF58" i="3"/>
  <c r="AH59" i="3"/>
  <c r="H328" i="3"/>
  <c r="D44" i="3"/>
  <c r="D309" i="3"/>
  <c r="D323" i="3"/>
  <c r="D43" i="3"/>
  <c r="Q328" i="3"/>
  <c r="F323" i="3"/>
  <c r="M328" i="3"/>
  <c r="G309" i="3"/>
  <c r="G323" i="3"/>
  <c r="G43" i="3"/>
  <c r="G44" i="3"/>
  <c r="G36" i="3"/>
  <c r="M36" i="3"/>
  <c r="G355" i="3"/>
  <c r="R325" i="3"/>
  <c r="E36" i="3"/>
  <c r="U327" i="3"/>
  <c r="P43" i="3"/>
  <c r="P44" i="3"/>
  <c r="P309" i="3"/>
  <c r="H40" i="3"/>
  <c r="H45" i="3"/>
  <c r="M220" i="3"/>
  <c r="H219" i="3"/>
  <c r="X62" i="3"/>
  <c r="U269" i="3"/>
  <c r="Z145" i="3"/>
  <c r="U264" i="3"/>
  <c r="Z162" i="3"/>
  <c r="Z143" i="3"/>
  <c r="AH297" i="3"/>
  <c r="AM296" i="3"/>
  <c r="AM297" i="3"/>
  <c r="AI297" i="3"/>
  <c r="AN296" i="3"/>
  <c r="AN297" i="3"/>
  <c r="X53" i="3"/>
  <c r="W272" i="3"/>
  <c r="X272" i="3"/>
  <c r="Y272" i="3"/>
  <c r="Z272" i="3"/>
  <c r="AA272" i="3"/>
  <c r="R328" i="3"/>
  <c r="V64" i="3"/>
  <c r="J34" i="26"/>
  <c r="T253" i="3"/>
  <c r="T310" i="3"/>
  <c r="T18" i="3"/>
  <c r="J29" i="26"/>
  <c r="M21" i="26"/>
  <c r="G16" i="26"/>
  <c r="E42" i="26"/>
  <c r="Y102" i="3"/>
  <c r="Y96" i="3"/>
  <c r="Z133" i="3"/>
  <c r="T248" i="3"/>
  <c r="AG257" i="3"/>
  <c r="AC354" i="3"/>
  <c r="U180" i="3"/>
  <c r="H38" i="3"/>
  <c r="Y120" i="3"/>
  <c r="Y84" i="3"/>
  <c r="Y126" i="3"/>
  <c r="Z78" i="3"/>
  <c r="U293" i="3"/>
  <c r="AC113" i="3"/>
  <c r="AA112" i="3"/>
  <c r="V13" i="3"/>
  <c r="U325" i="3"/>
  <c r="AD172" i="3"/>
  <c r="AD173" i="3"/>
  <c r="AA169" i="3"/>
  <c r="AC170" i="3"/>
  <c r="X164" i="3"/>
  <c r="AC156" i="3"/>
  <c r="AA155" i="3"/>
  <c r="F340" i="3"/>
  <c r="AA153" i="3"/>
  <c r="AA160" i="3"/>
  <c r="AC154" i="3"/>
  <c r="AE158" i="3"/>
  <c r="AD157" i="3"/>
  <c r="V68" i="3"/>
  <c r="X54" i="3"/>
  <c r="H330" i="3"/>
  <c r="H338" i="3"/>
  <c r="G340" i="3"/>
  <c r="D340" i="3"/>
  <c r="X57" i="3"/>
  <c r="AA74" i="3"/>
  <c r="AC75" i="3"/>
  <c r="Y55" i="3"/>
  <c r="Y56" i="3"/>
  <c r="Z86" i="3"/>
  <c r="Z90" i="3"/>
  <c r="Z92" i="3"/>
  <c r="Z98" i="3"/>
  <c r="Z82" i="3"/>
  <c r="Z94" i="3"/>
  <c r="Z124" i="3"/>
  <c r="Z110" i="3"/>
  <c r="Z114" i="3"/>
  <c r="AA76" i="3"/>
  <c r="AC77" i="3"/>
  <c r="Y52" i="3"/>
  <c r="Z80" i="3"/>
  <c r="Z118" i="3"/>
  <c r="AA88" i="3"/>
  <c r="AC89" i="3"/>
  <c r="Z106" i="3"/>
  <c r="Z108" i="3"/>
  <c r="AC137" i="3"/>
  <c r="AA136" i="3"/>
  <c r="Z100" i="3"/>
  <c r="Z122" i="3"/>
  <c r="S328" i="3"/>
  <c r="AA128" i="3"/>
  <c r="AC129" i="3"/>
  <c r="AA130" i="3"/>
  <c r="AC131" i="3"/>
  <c r="AC139" i="3"/>
  <c r="AA138" i="3"/>
  <c r="AA104" i="3"/>
  <c r="AC105" i="3"/>
  <c r="Z116" i="3"/>
  <c r="AH58" i="3"/>
  <c r="AI59" i="3"/>
  <c r="T328" i="3"/>
  <c r="I309" i="3"/>
  <c r="I323" i="3"/>
  <c r="I43" i="3"/>
  <c r="I44" i="3"/>
  <c r="J44" i="3"/>
  <c r="J309" i="3"/>
  <c r="J323" i="3"/>
  <c r="J340" i="3"/>
  <c r="J43" i="3"/>
  <c r="L356" i="3"/>
  <c r="T297" i="3"/>
  <c r="K44" i="3"/>
  <c r="K43" i="3"/>
  <c r="K309" i="3"/>
  <c r="K323" i="3"/>
  <c r="K340" i="3"/>
  <c r="H36" i="3"/>
  <c r="V327" i="3"/>
  <c r="W327" i="3"/>
  <c r="P323" i="3"/>
  <c r="Y62" i="3"/>
  <c r="AA162" i="3"/>
  <c r="V269" i="3"/>
  <c r="V264" i="3"/>
  <c r="AA145" i="3"/>
  <c r="Y53" i="3"/>
  <c r="X64" i="3"/>
  <c r="AB272" i="3"/>
  <c r="AC272" i="3"/>
  <c r="AD272" i="3"/>
  <c r="AE272" i="3"/>
  <c r="AF272" i="3"/>
  <c r="J42" i="26"/>
  <c r="M29" i="26"/>
  <c r="P21" i="26"/>
  <c r="M34" i="26"/>
  <c r="AD354" i="3"/>
  <c r="AE354" i="3"/>
  <c r="X13" i="3"/>
  <c r="AL257" i="3"/>
  <c r="AQ257" i="3"/>
  <c r="I340" i="3"/>
  <c r="I356" i="3"/>
  <c r="V180" i="3"/>
  <c r="U248" i="3"/>
  <c r="Z126" i="3"/>
  <c r="Z84" i="3"/>
  <c r="Z120" i="3"/>
  <c r="Z102" i="3"/>
  <c r="AA78" i="3"/>
  <c r="AA133" i="3"/>
  <c r="Z96" i="3"/>
  <c r="AA143" i="3"/>
  <c r="AD113" i="3"/>
  <c r="AC112" i="3"/>
  <c r="V325" i="3"/>
  <c r="AE172" i="3"/>
  <c r="AE173" i="3"/>
  <c r="AD170" i="3"/>
  <c r="AC169" i="3"/>
  <c r="AD156" i="3"/>
  <c r="AC155" i="3"/>
  <c r="Y164" i="3"/>
  <c r="X68" i="3"/>
  <c r="AF158" i="3"/>
  <c r="AH158" i="3"/>
  <c r="AI158" i="3"/>
  <c r="AJ158" i="3"/>
  <c r="AK158" i="3"/>
  <c r="AM158" i="3"/>
  <c r="AN158" i="3"/>
  <c r="AO158" i="3"/>
  <c r="AP158" i="3"/>
  <c r="AE157" i="3"/>
  <c r="AC153" i="3"/>
  <c r="AC160" i="3"/>
  <c r="AD154" i="3"/>
  <c r="Y54" i="3"/>
  <c r="AA86" i="3"/>
  <c r="AA90" i="3"/>
  <c r="AC87" i="3"/>
  <c r="AD129" i="3"/>
  <c r="AC128" i="3"/>
  <c r="AA100" i="3"/>
  <c r="AC101" i="3"/>
  <c r="AA106" i="3"/>
  <c r="AA108" i="3"/>
  <c r="AC107" i="3"/>
  <c r="AA118" i="3"/>
  <c r="AC119" i="3"/>
  <c r="AA110" i="3"/>
  <c r="AA114" i="3"/>
  <c r="AC111" i="3"/>
  <c r="AA94" i="3"/>
  <c r="AC95" i="3"/>
  <c r="AA98" i="3"/>
  <c r="AC99" i="3"/>
  <c r="AA92" i="3"/>
  <c r="AC93" i="3"/>
  <c r="Y57" i="3"/>
  <c r="Z55" i="3"/>
  <c r="Z56" i="3"/>
  <c r="AD75" i="3"/>
  <c r="AC74" i="3"/>
  <c r="AA116" i="3"/>
  <c r="AC117" i="3"/>
  <c r="AD139" i="3"/>
  <c r="AC138" i="3"/>
  <c r="AA122" i="3"/>
  <c r="AC123" i="3"/>
  <c r="AD89" i="3"/>
  <c r="AC88" i="3"/>
  <c r="AA80" i="3"/>
  <c r="AC81" i="3"/>
  <c r="AD77" i="3"/>
  <c r="AC76" i="3"/>
  <c r="AD105" i="3"/>
  <c r="AC104" i="3"/>
  <c r="AD131" i="3"/>
  <c r="AC130" i="3"/>
  <c r="Z52" i="3"/>
  <c r="AD137" i="3"/>
  <c r="AC136" i="3"/>
  <c r="AA124" i="3"/>
  <c r="AC125" i="3"/>
  <c r="AA82" i="3"/>
  <c r="AC83" i="3"/>
  <c r="AJ59" i="3"/>
  <c r="AI58" i="3"/>
  <c r="N356" i="3"/>
  <c r="O356" i="3"/>
  <c r="K356" i="3"/>
  <c r="U297" i="3"/>
  <c r="M309" i="3"/>
  <c r="M323" i="3"/>
  <c r="M343" i="3"/>
  <c r="M44" i="3"/>
  <c r="M43" i="3"/>
  <c r="P356" i="3"/>
  <c r="E43" i="3"/>
  <c r="E44" i="3"/>
  <c r="E309" i="3"/>
  <c r="E323" i="3"/>
  <c r="E340" i="3"/>
  <c r="Z62" i="3"/>
  <c r="AC145" i="3"/>
  <c r="AC162" i="3"/>
  <c r="X269" i="3"/>
  <c r="X264" i="3"/>
  <c r="Z53" i="3"/>
  <c r="Y64" i="3"/>
  <c r="AG272" i="3"/>
  <c r="AH272" i="3"/>
  <c r="AI272" i="3"/>
  <c r="AJ272" i="3"/>
  <c r="AK272" i="3"/>
  <c r="M42" i="26"/>
  <c r="W325" i="3"/>
  <c r="W328" i="3"/>
  <c r="P29" i="26"/>
  <c r="X325" i="3"/>
  <c r="S21" i="26"/>
  <c r="P34" i="26"/>
  <c r="AA96" i="3"/>
  <c r="X312" i="3"/>
  <c r="T146" i="3"/>
  <c r="S181" i="3"/>
  <c r="V293" i="3"/>
  <c r="Y13" i="3"/>
  <c r="AF354" i="3"/>
  <c r="T163" i="3"/>
  <c r="S166" i="3"/>
  <c r="S167" i="3"/>
  <c r="V248" i="3"/>
  <c r="X248" i="3"/>
  <c r="T67" i="3"/>
  <c r="T177" i="3"/>
  <c r="X180" i="3"/>
  <c r="W269" i="3"/>
  <c r="M340" i="3"/>
  <c r="AA120" i="3"/>
  <c r="AA102" i="3"/>
  <c r="AA84" i="3"/>
  <c r="AA126" i="3"/>
  <c r="AC78" i="3"/>
  <c r="AE113" i="3"/>
  <c r="AD112" i="3"/>
  <c r="AC143" i="3"/>
  <c r="AC133" i="3"/>
  <c r="R249" i="3"/>
  <c r="R254" i="3"/>
  <c r="AF172" i="3"/>
  <c r="AF173" i="3"/>
  <c r="AE170" i="3"/>
  <c r="AD169" i="3"/>
  <c r="AE156" i="3"/>
  <c r="AD155" i="3"/>
  <c r="Z164" i="3"/>
  <c r="Y68" i="3"/>
  <c r="AE154" i="3"/>
  <c r="AD153" i="3"/>
  <c r="AD160" i="3"/>
  <c r="AF157" i="3"/>
  <c r="R253" i="3"/>
  <c r="S300" i="3"/>
  <c r="Z57" i="3"/>
  <c r="Z54" i="3"/>
  <c r="AD125" i="3"/>
  <c r="AC124" i="3"/>
  <c r="AE139" i="3"/>
  <c r="AD138" i="3"/>
  <c r="AA55" i="3"/>
  <c r="AA56" i="3"/>
  <c r="AD87" i="3"/>
  <c r="AC86" i="3"/>
  <c r="AC90" i="3"/>
  <c r="AE77" i="3"/>
  <c r="AD76" i="3"/>
  <c r="AE89" i="3"/>
  <c r="AD88" i="3"/>
  <c r="AD117" i="3"/>
  <c r="AC116" i="3"/>
  <c r="AD93" i="3"/>
  <c r="AC92" i="3"/>
  <c r="AD95" i="3"/>
  <c r="AC94" i="3"/>
  <c r="AD107" i="3"/>
  <c r="AC106" i="3"/>
  <c r="AC108" i="3"/>
  <c r="AE75" i="3"/>
  <c r="AD74" i="3"/>
  <c r="AE129" i="3"/>
  <c r="AD128" i="3"/>
  <c r="AD83" i="3"/>
  <c r="AC82" i="3"/>
  <c r="AE131" i="3"/>
  <c r="AD130" i="3"/>
  <c r="AD81" i="3"/>
  <c r="AC80" i="3"/>
  <c r="AE105" i="3"/>
  <c r="AD104" i="3"/>
  <c r="AD123" i="3"/>
  <c r="AC122" i="3"/>
  <c r="AE137" i="3"/>
  <c r="AD136" i="3"/>
  <c r="AA52" i="3"/>
  <c r="AD99" i="3"/>
  <c r="AC98" i="3"/>
  <c r="AD111" i="3"/>
  <c r="AC110" i="3"/>
  <c r="AC114" i="3"/>
  <c r="AD119" i="3"/>
  <c r="AC118" i="3"/>
  <c r="AD101" i="3"/>
  <c r="AC100" i="3"/>
  <c r="AK59" i="3"/>
  <c r="AJ58" i="3"/>
  <c r="U328" i="3"/>
  <c r="V297" i="3"/>
  <c r="H309" i="3"/>
  <c r="H323" i="3"/>
  <c r="H343" i="3"/>
  <c r="H44" i="3"/>
  <c r="H43" i="3"/>
  <c r="J356" i="3"/>
  <c r="AA62" i="3"/>
  <c r="AD162" i="3"/>
  <c r="AD145" i="3"/>
  <c r="AC84" i="3"/>
  <c r="AD78" i="3"/>
  <c r="Y264" i="3"/>
  <c r="Y269" i="3"/>
  <c r="AA53" i="3"/>
  <c r="Z64" i="3"/>
  <c r="AL272" i="3"/>
  <c r="AM272" i="3"/>
  <c r="AN272" i="3"/>
  <c r="AO272" i="3"/>
  <c r="AP272" i="3"/>
  <c r="AQ272" i="3"/>
  <c r="S29" i="26"/>
  <c r="X328" i="3"/>
  <c r="P42" i="26"/>
  <c r="S34" i="26"/>
  <c r="AH354" i="3"/>
  <c r="T166" i="3"/>
  <c r="T167" i="3"/>
  <c r="T181" i="3"/>
  <c r="Y325" i="3"/>
  <c r="Y312" i="3"/>
  <c r="Y248" i="3"/>
  <c r="Z13" i="3"/>
  <c r="Y180" i="3"/>
  <c r="U253" i="3"/>
  <c r="T254" i="3"/>
  <c r="H340" i="3"/>
  <c r="AC126" i="3"/>
  <c r="AC96" i="3"/>
  <c r="AD143" i="3"/>
  <c r="AD133" i="3"/>
  <c r="AF113" i="3"/>
  <c r="AH113" i="3"/>
  <c r="AI113" i="3"/>
  <c r="AJ113" i="3"/>
  <c r="AK113" i="3"/>
  <c r="AM113" i="3"/>
  <c r="AN113" i="3"/>
  <c r="AO113" i="3"/>
  <c r="AP113" i="3"/>
  <c r="AE112" i="3"/>
  <c r="AC102" i="3"/>
  <c r="AC120" i="3"/>
  <c r="Q255" i="3"/>
  <c r="R255" i="3"/>
  <c r="AH172" i="3"/>
  <c r="AH173" i="3"/>
  <c r="AF170" i="3"/>
  <c r="AH170" i="3"/>
  <c r="AI170" i="3"/>
  <c r="AJ170" i="3"/>
  <c r="AK170" i="3"/>
  <c r="AM170" i="3"/>
  <c r="AN170" i="3"/>
  <c r="AO170" i="3"/>
  <c r="AP170" i="3"/>
  <c r="AE169" i="3"/>
  <c r="AF156" i="3"/>
  <c r="AH156" i="3"/>
  <c r="AI156" i="3"/>
  <c r="AJ156" i="3"/>
  <c r="AK156" i="3"/>
  <c r="AM156" i="3"/>
  <c r="AN156" i="3"/>
  <c r="AO156" i="3"/>
  <c r="AP156" i="3"/>
  <c r="AE155" i="3"/>
  <c r="AA164" i="3"/>
  <c r="Z68" i="3"/>
  <c r="AH157" i="3"/>
  <c r="AF154" i="3"/>
  <c r="AH154" i="3"/>
  <c r="AI154" i="3"/>
  <c r="AJ154" i="3"/>
  <c r="AK154" i="3"/>
  <c r="AM154" i="3"/>
  <c r="AN154" i="3"/>
  <c r="AO154" i="3"/>
  <c r="AP154" i="3"/>
  <c r="AE153" i="3"/>
  <c r="AE160" i="3"/>
  <c r="AA54" i="3"/>
  <c r="AE119" i="3"/>
  <c r="AD118" i="3"/>
  <c r="AF75" i="3"/>
  <c r="AH75" i="3"/>
  <c r="AI75" i="3"/>
  <c r="AJ75" i="3"/>
  <c r="AK75" i="3"/>
  <c r="AM75" i="3"/>
  <c r="AN75" i="3"/>
  <c r="AO75" i="3"/>
  <c r="AP75" i="3"/>
  <c r="AE74" i="3"/>
  <c r="AC55" i="3"/>
  <c r="AC56" i="3"/>
  <c r="AE95" i="3"/>
  <c r="AD94" i="3"/>
  <c r="AE117" i="3"/>
  <c r="AD116" i="3"/>
  <c r="AE87" i="3"/>
  <c r="AD86" i="3"/>
  <c r="AD90" i="3"/>
  <c r="AF139" i="3"/>
  <c r="AH139" i="3"/>
  <c r="AI139" i="3"/>
  <c r="AJ139" i="3"/>
  <c r="AK139" i="3"/>
  <c r="AM139" i="3"/>
  <c r="AN139" i="3"/>
  <c r="AO139" i="3"/>
  <c r="AP139" i="3"/>
  <c r="AE138" i="3"/>
  <c r="AE123" i="3"/>
  <c r="AD122" i="3"/>
  <c r="AE83" i="3"/>
  <c r="AD82" i="3"/>
  <c r="AF89" i="3"/>
  <c r="AH89" i="3"/>
  <c r="AI89" i="3"/>
  <c r="AJ89" i="3"/>
  <c r="AK89" i="3"/>
  <c r="AM89" i="3"/>
  <c r="AN89" i="3"/>
  <c r="AO89" i="3"/>
  <c r="AP89" i="3"/>
  <c r="AE88" i="3"/>
  <c r="AE101" i="3"/>
  <c r="AD100" i="3"/>
  <c r="AE111" i="3"/>
  <c r="AD110" i="3"/>
  <c r="AD114" i="3"/>
  <c r="AF137" i="3"/>
  <c r="AH137" i="3"/>
  <c r="AI137" i="3"/>
  <c r="AJ137" i="3"/>
  <c r="AK137" i="3"/>
  <c r="AM137" i="3"/>
  <c r="AN137" i="3"/>
  <c r="AO137" i="3"/>
  <c r="AP137" i="3"/>
  <c r="AE136" i="3"/>
  <c r="AE143" i="3"/>
  <c r="AF105" i="3"/>
  <c r="AH105" i="3"/>
  <c r="AI105" i="3"/>
  <c r="AJ105" i="3"/>
  <c r="AK105" i="3"/>
  <c r="AM105" i="3"/>
  <c r="AN105" i="3"/>
  <c r="AO105" i="3"/>
  <c r="AP105" i="3"/>
  <c r="AE104" i="3"/>
  <c r="AE81" i="3"/>
  <c r="AD80" i="3"/>
  <c r="AF129" i="3"/>
  <c r="AH129" i="3"/>
  <c r="AI129" i="3"/>
  <c r="AJ129" i="3"/>
  <c r="AK129" i="3"/>
  <c r="AM129" i="3"/>
  <c r="AN129" i="3"/>
  <c r="AO129" i="3"/>
  <c r="AP129" i="3"/>
  <c r="AE128" i="3"/>
  <c r="AF77" i="3"/>
  <c r="AH77" i="3"/>
  <c r="AI77" i="3"/>
  <c r="AJ77" i="3"/>
  <c r="AK77" i="3"/>
  <c r="AM77" i="3"/>
  <c r="AN77" i="3"/>
  <c r="AO77" i="3"/>
  <c r="AP77" i="3"/>
  <c r="AE76" i="3"/>
  <c r="AE99" i="3"/>
  <c r="AD98" i="3"/>
  <c r="AF131" i="3"/>
  <c r="AH131" i="3"/>
  <c r="AI131" i="3"/>
  <c r="AJ131" i="3"/>
  <c r="AK131" i="3"/>
  <c r="AM131" i="3"/>
  <c r="AN131" i="3"/>
  <c r="AO131" i="3"/>
  <c r="AP131" i="3"/>
  <c r="AE130" i="3"/>
  <c r="AC52" i="3"/>
  <c r="AE107" i="3"/>
  <c r="AD106" i="3"/>
  <c r="AD108" i="3"/>
  <c r="AE93" i="3"/>
  <c r="AD92" i="3"/>
  <c r="AA57" i="3"/>
  <c r="AE125" i="3"/>
  <c r="AD124" i="3"/>
  <c r="AK58" i="3"/>
  <c r="AM59" i="3"/>
  <c r="M356" i="3"/>
  <c r="AC62" i="3"/>
  <c r="AD84" i="3"/>
  <c r="AE145" i="3"/>
  <c r="AE162" i="3"/>
  <c r="Z269" i="3"/>
  <c r="Z264" i="3"/>
  <c r="AC53" i="3"/>
  <c r="AA64" i="3"/>
  <c r="S42" i="26"/>
  <c r="AI354" i="3"/>
  <c r="AJ354" i="3"/>
  <c r="AA13" i="3"/>
  <c r="Z325" i="3"/>
  <c r="Z328" i="3"/>
  <c r="Z312" i="3"/>
  <c r="Z248" i="3"/>
  <c r="Y328" i="3"/>
  <c r="V253" i="3"/>
  <c r="U310" i="3"/>
  <c r="AD96" i="3"/>
  <c r="AD120" i="3"/>
  <c r="AD102" i="3"/>
  <c r="AE133" i="3"/>
  <c r="AD126" i="3"/>
  <c r="Z180" i="3"/>
  <c r="AF112" i="3"/>
  <c r="AE78" i="3"/>
  <c r="S255" i="3"/>
  <c r="T255" i="3"/>
  <c r="T249" i="3"/>
  <c r="T319" i="3"/>
  <c r="AI172" i="3"/>
  <c r="AI173" i="3"/>
  <c r="AF169" i="3"/>
  <c r="AC164" i="3"/>
  <c r="AF155" i="3"/>
  <c r="D342" i="3"/>
  <c r="D247" i="3"/>
  <c r="D347" i="3"/>
  <c r="D349" i="3"/>
  <c r="AA68" i="3"/>
  <c r="AF153" i="3"/>
  <c r="AF160" i="3"/>
  <c r="AI157" i="3"/>
  <c r="AC54" i="3"/>
  <c r="AF107" i="3"/>
  <c r="AH107" i="3"/>
  <c r="AI107" i="3"/>
  <c r="AJ107" i="3"/>
  <c r="AK107" i="3"/>
  <c r="AM107" i="3"/>
  <c r="AN107" i="3"/>
  <c r="AO107" i="3"/>
  <c r="AP107" i="3"/>
  <c r="AE106" i="3"/>
  <c r="AE108" i="3"/>
  <c r="AF136" i="3"/>
  <c r="AD52" i="3"/>
  <c r="AF130" i="3"/>
  <c r="AD55" i="3"/>
  <c r="AD56" i="3"/>
  <c r="AF83" i="3"/>
  <c r="AH83" i="3"/>
  <c r="AI83" i="3"/>
  <c r="AJ83" i="3"/>
  <c r="AK83" i="3"/>
  <c r="AM83" i="3"/>
  <c r="AN83" i="3"/>
  <c r="AO83" i="3"/>
  <c r="AP83" i="3"/>
  <c r="AE82" i="3"/>
  <c r="AF95" i="3"/>
  <c r="AH95" i="3"/>
  <c r="AI95" i="3"/>
  <c r="AJ95" i="3"/>
  <c r="AK95" i="3"/>
  <c r="AM95" i="3"/>
  <c r="AN95" i="3"/>
  <c r="AO95" i="3"/>
  <c r="AP95" i="3"/>
  <c r="AE94" i="3"/>
  <c r="AF74" i="3"/>
  <c r="AF81" i="3"/>
  <c r="AH81" i="3"/>
  <c r="AI81" i="3"/>
  <c r="AJ81" i="3"/>
  <c r="AK81" i="3"/>
  <c r="AM81" i="3"/>
  <c r="AN81" i="3"/>
  <c r="AO81" i="3"/>
  <c r="AP81" i="3"/>
  <c r="AE80" i="3"/>
  <c r="AF101" i="3"/>
  <c r="AH101" i="3"/>
  <c r="AI101" i="3"/>
  <c r="AJ101" i="3"/>
  <c r="AK101" i="3"/>
  <c r="AM101" i="3"/>
  <c r="AN101" i="3"/>
  <c r="AO101" i="3"/>
  <c r="AP101" i="3"/>
  <c r="AE100" i="3"/>
  <c r="AF87" i="3"/>
  <c r="AH87" i="3"/>
  <c r="AI87" i="3"/>
  <c r="AJ87" i="3"/>
  <c r="AK87" i="3"/>
  <c r="AM87" i="3"/>
  <c r="AN87" i="3"/>
  <c r="AO87" i="3"/>
  <c r="AP87" i="3"/>
  <c r="AE86" i="3"/>
  <c r="AE90" i="3"/>
  <c r="AF125" i="3"/>
  <c r="AH125" i="3"/>
  <c r="AI125" i="3"/>
  <c r="AJ125" i="3"/>
  <c r="AK125" i="3"/>
  <c r="AM125" i="3"/>
  <c r="AN125" i="3"/>
  <c r="AO125" i="3"/>
  <c r="AP125" i="3"/>
  <c r="AE124" i="3"/>
  <c r="AF93" i="3"/>
  <c r="AH93" i="3"/>
  <c r="AI93" i="3"/>
  <c r="AJ93" i="3"/>
  <c r="AK93" i="3"/>
  <c r="AM93" i="3"/>
  <c r="AN93" i="3"/>
  <c r="AO93" i="3"/>
  <c r="AP93" i="3"/>
  <c r="AE92" i="3"/>
  <c r="AF76" i="3"/>
  <c r="AF128" i="3"/>
  <c r="AF104" i="3"/>
  <c r="AF111" i="3"/>
  <c r="AH111" i="3"/>
  <c r="AI111" i="3"/>
  <c r="AJ111" i="3"/>
  <c r="AK111" i="3"/>
  <c r="AM111" i="3"/>
  <c r="AN111" i="3"/>
  <c r="AO111" i="3"/>
  <c r="AP111" i="3"/>
  <c r="AE110" i="3"/>
  <c r="AE114" i="3"/>
  <c r="AF138" i="3"/>
  <c r="AC57" i="3"/>
  <c r="AF99" i="3"/>
  <c r="AH99" i="3"/>
  <c r="AI99" i="3"/>
  <c r="AJ99" i="3"/>
  <c r="AK99" i="3"/>
  <c r="AM99" i="3"/>
  <c r="AN99" i="3"/>
  <c r="AO99" i="3"/>
  <c r="AP99" i="3"/>
  <c r="AE98" i="3"/>
  <c r="AF88" i="3"/>
  <c r="AF123" i="3"/>
  <c r="AH123" i="3"/>
  <c r="AI123" i="3"/>
  <c r="AJ123" i="3"/>
  <c r="AK123" i="3"/>
  <c r="AM123" i="3"/>
  <c r="AN123" i="3"/>
  <c r="AO123" i="3"/>
  <c r="AP123" i="3"/>
  <c r="AE122" i="3"/>
  <c r="AF117" i="3"/>
  <c r="AH117" i="3"/>
  <c r="AI117" i="3"/>
  <c r="AJ117" i="3"/>
  <c r="AK117" i="3"/>
  <c r="AM117" i="3"/>
  <c r="AN117" i="3"/>
  <c r="AO117" i="3"/>
  <c r="AP117" i="3"/>
  <c r="AE116" i="3"/>
  <c r="AF119" i="3"/>
  <c r="AH119" i="3"/>
  <c r="AI119" i="3"/>
  <c r="AJ119" i="3"/>
  <c r="AK119" i="3"/>
  <c r="AM119" i="3"/>
  <c r="AN119" i="3"/>
  <c r="AO119" i="3"/>
  <c r="AP119" i="3"/>
  <c r="AE118" i="3"/>
  <c r="AM58" i="3"/>
  <c r="AN59" i="3"/>
  <c r="V328" i="3"/>
  <c r="AD62" i="3"/>
  <c r="AF162" i="3"/>
  <c r="AF145" i="3"/>
  <c r="AA264" i="3"/>
  <c r="AA269" i="3"/>
  <c r="AA325" i="3"/>
  <c r="AA328" i="3"/>
  <c r="AC64" i="3"/>
  <c r="AD53" i="3"/>
  <c r="AE96" i="3"/>
  <c r="AB13" i="3"/>
  <c r="AA248" i="3"/>
  <c r="AB248" i="3"/>
  <c r="AA312" i="3"/>
  <c r="AB312" i="3"/>
  <c r="X253" i="3"/>
  <c r="X310" i="3"/>
  <c r="AK354" i="3"/>
  <c r="AC13" i="3"/>
  <c r="U254" i="3"/>
  <c r="U18" i="3"/>
  <c r="W253" i="3"/>
  <c r="V310" i="3"/>
  <c r="AA180" i="3"/>
  <c r="AE126" i="3"/>
  <c r="AE102" i="3"/>
  <c r="AF78" i="3"/>
  <c r="AE84" i="3"/>
  <c r="AF143" i="3"/>
  <c r="AE120" i="3"/>
  <c r="AF133" i="3"/>
  <c r="AH112" i="3"/>
  <c r="AJ172" i="3"/>
  <c r="AJ173" i="3"/>
  <c r="AH169" i="3"/>
  <c r="AH155" i="3"/>
  <c r="AD164" i="3"/>
  <c r="E341" i="3"/>
  <c r="E342" i="3"/>
  <c r="F341" i="3"/>
  <c r="F342" i="3"/>
  <c r="AC68" i="3"/>
  <c r="AJ157" i="3"/>
  <c r="AH153" i="3"/>
  <c r="AH160" i="3"/>
  <c r="D252" i="3"/>
  <c r="D258" i="3"/>
  <c r="D288" i="3"/>
  <c r="AD54" i="3"/>
  <c r="AF116" i="3"/>
  <c r="AH128" i="3"/>
  <c r="AF80" i="3"/>
  <c r="AH88" i="3"/>
  <c r="AF98" i="3"/>
  <c r="AF110" i="3"/>
  <c r="AF114" i="3"/>
  <c r="AF94" i="3"/>
  <c r="AD57" i="3"/>
  <c r="AH130" i="3"/>
  <c r="AH136" i="3"/>
  <c r="AE55" i="3"/>
  <c r="AE56" i="3"/>
  <c r="AF92" i="3"/>
  <c r="AF86" i="3"/>
  <c r="AF90" i="3"/>
  <c r="AF82" i="3"/>
  <c r="AF118" i="3"/>
  <c r="AH104" i="3"/>
  <c r="AH76" i="3"/>
  <c r="AF124" i="3"/>
  <c r="AF100" i="3"/>
  <c r="AH74" i="3"/>
  <c r="AF122" i="3"/>
  <c r="AH138" i="3"/>
  <c r="AE52" i="3"/>
  <c r="AF106" i="3"/>
  <c r="AF108" i="3"/>
  <c r="AO59" i="3"/>
  <c r="AN58" i="3"/>
  <c r="AB325" i="3"/>
  <c r="AB328" i="3"/>
  <c r="AE62" i="3"/>
  <c r="AH145" i="3"/>
  <c r="AH162" i="3"/>
  <c r="AC269" i="3"/>
  <c r="AC264" i="3"/>
  <c r="AE53" i="3"/>
  <c r="AD64" i="3"/>
  <c r="AB269" i="3"/>
  <c r="AF96" i="3"/>
  <c r="AD13" i="3"/>
  <c r="U177" i="3"/>
  <c r="U146" i="3"/>
  <c r="U67" i="3"/>
  <c r="U163" i="3"/>
  <c r="AM354" i="3"/>
  <c r="X18" i="3"/>
  <c r="V18" i="3"/>
  <c r="W18" i="3"/>
  <c r="AC325" i="3"/>
  <c r="AC312" i="3"/>
  <c r="AC248" i="3"/>
  <c r="Y253" i="3"/>
  <c r="X249" i="3"/>
  <c r="AC180" i="3"/>
  <c r="V254" i="3"/>
  <c r="W254" i="3"/>
  <c r="W255" i="3"/>
  <c r="AF102" i="3"/>
  <c r="AF120" i="3"/>
  <c r="AH78" i="3"/>
  <c r="AH133" i="3"/>
  <c r="AF84" i="3"/>
  <c r="AF126" i="3"/>
  <c r="AH143" i="3"/>
  <c r="AI112" i="3"/>
  <c r="U255" i="3"/>
  <c r="U249" i="3"/>
  <c r="U319" i="3"/>
  <c r="AK172" i="3"/>
  <c r="AK173" i="3"/>
  <c r="AI169" i="3"/>
  <c r="AE164" i="3"/>
  <c r="AI155" i="3"/>
  <c r="E247" i="3"/>
  <c r="E347" i="3"/>
  <c r="E349" i="3"/>
  <c r="AD68" i="3"/>
  <c r="AK157" i="3"/>
  <c r="AI153" i="3"/>
  <c r="AI160" i="3"/>
  <c r="G341" i="3"/>
  <c r="G342" i="3"/>
  <c r="H342" i="3"/>
  <c r="F247" i="3"/>
  <c r="F347" i="3"/>
  <c r="F349" i="3"/>
  <c r="AE57" i="3"/>
  <c r="AF52" i="3"/>
  <c r="AE54" i="3"/>
  <c r="AH122" i="3"/>
  <c r="AI104" i="3"/>
  <c r="AF55" i="3"/>
  <c r="AF56" i="3"/>
  <c r="AH100" i="3"/>
  <c r="AI76" i="3"/>
  <c r="AH118" i="3"/>
  <c r="AH82" i="3"/>
  <c r="AH92" i="3"/>
  <c r="AI130" i="3"/>
  <c r="AH98" i="3"/>
  <c r="AH106" i="3"/>
  <c r="AH108" i="3"/>
  <c r="AI74" i="3"/>
  <c r="AI88" i="3"/>
  <c r="AH116" i="3"/>
  <c r="AI138" i="3"/>
  <c r="AH124" i="3"/>
  <c r="AH86" i="3"/>
  <c r="AH90" i="3"/>
  <c r="AI136" i="3"/>
  <c r="AH94" i="3"/>
  <c r="AH110" i="3"/>
  <c r="AH114" i="3"/>
  <c r="AH80" i="3"/>
  <c r="AI128" i="3"/>
  <c r="AP59" i="3"/>
  <c r="AP58" i="3"/>
  <c r="AO58" i="3"/>
  <c r="AF62" i="3"/>
  <c r="AI162" i="3"/>
  <c r="AI145" i="3"/>
  <c r="AD264" i="3"/>
  <c r="AD269" i="3"/>
  <c r="AD325" i="3"/>
  <c r="AD328" i="3"/>
  <c r="AF53" i="3"/>
  <c r="AE64" i="3"/>
  <c r="AN354" i="3"/>
  <c r="AO354" i="3"/>
  <c r="AD312" i="3"/>
  <c r="AD248" i="3"/>
  <c r="X254" i="3"/>
  <c r="X255" i="3"/>
  <c r="V163" i="3"/>
  <c r="V166" i="3"/>
  <c r="V167" i="3"/>
  <c r="U166" i="3"/>
  <c r="U167" i="3"/>
  <c r="Z253" i="3"/>
  <c r="Y249" i="3"/>
  <c r="Y319" i="3"/>
  <c r="V177" i="3"/>
  <c r="V67" i="3"/>
  <c r="U181" i="3"/>
  <c r="AE13" i="3"/>
  <c r="Y310" i="3"/>
  <c r="AC328" i="3"/>
  <c r="V146" i="3"/>
  <c r="AD180" i="3"/>
  <c r="AH84" i="3"/>
  <c r="AI133" i="3"/>
  <c r="AH120" i="3"/>
  <c r="AH102" i="3"/>
  <c r="AH126" i="3"/>
  <c r="AJ112" i="3"/>
  <c r="AI143" i="3"/>
  <c r="AI78" i="3"/>
  <c r="AH96" i="3"/>
  <c r="AM172" i="3"/>
  <c r="AM173" i="3"/>
  <c r="AJ169" i="3"/>
  <c r="E252" i="3"/>
  <c r="E258" i="3"/>
  <c r="E288" i="3"/>
  <c r="AJ155" i="3"/>
  <c r="AF164" i="3"/>
  <c r="AE68" i="3"/>
  <c r="AM157" i="3"/>
  <c r="AJ153" i="3"/>
  <c r="AJ160" i="3"/>
  <c r="G247" i="3"/>
  <c r="G347" i="3"/>
  <c r="G349" i="3"/>
  <c r="F252" i="3"/>
  <c r="F258" i="3"/>
  <c r="F288" i="3"/>
  <c r="AF54" i="3"/>
  <c r="AI124" i="3"/>
  <c r="AJ74" i="3"/>
  <c r="AI92" i="3"/>
  <c r="AI100" i="3"/>
  <c r="AJ128" i="3"/>
  <c r="AH55" i="3"/>
  <c r="AH56" i="3"/>
  <c r="AI106" i="3"/>
  <c r="AI108" i="3"/>
  <c r="AJ104" i="3"/>
  <c r="AI80" i="3"/>
  <c r="AI110" i="3"/>
  <c r="AI114" i="3"/>
  <c r="AJ136" i="3"/>
  <c r="AH52" i="3"/>
  <c r="AH62" i="3"/>
  <c r="AI116" i="3"/>
  <c r="AJ130" i="3"/>
  <c r="AI82" i="3"/>
  <c r="AJ76" i="3"/>
  <c r="AJ138" i="3"/>
  <c r="AJ88" i="3"/>
  <c r="AI118" i="3"/>
  <c r="AI94" i="3"/>
  <c r="AI86" i="3"/>
  <c r="AI90" i="3"/>
  <c r="AI98" i="3"/>
  <c r="AF57" i="3"/>
  <c r="AI122" i="3"/>
  <c r="V249" i="3"/>
  <c r="X319" i="3"/>
  <c r="AJ145" i="3"/>
  <c r="AJ162" i="3"/>
  <c r="AE269" i="3"/>
  <c r="AE264" i="3"/>
  <c r="AH53" i="3"/>
  <c r="AF64" i="3"/>
  <c r="AF13" i="3"/>
  <c r="Y254" i="3"/>
  <c r="Y255" i="3"/>
  <c r="X67" i="3"/>
  <c r="X163" i="3"/>
  <c r="X166" i="3"/>
  <c r="X167" i="3"/>
  <c r="X146" i="3"/>
  <c r="X177" i="3"/>
  <c r="Z310" i="3"/>
  <c r="Z18" i="3"/>
  <c r="Z249" i="3"/>
  <c r="Z319" i="3"/>
  <c r="AA253" i="3"/>
  <c r="AE312" i="3"/>
  <c r="AE325" i="3"/>
  <c r="AE248" i="3"/>
  <c r="Y18" i="3"/>
  <c r="V181" i="3"/>
  <c r="AP354" i="3"/>
  <c r="W249" i="3"/>
  <c r="V319" i="3"/>
  <c r="W319" i="3"/>
  <c r="AI126" i="3"/>
  <c r="AJ78" i="3"/>
  <c r="AE180" i="3"/>
  <c r="AI102" i="3"/>
  <c r="AJ133" i="3"/>
  <c r="AI96" i="3"/>
  <c r="AI120" i="3"/>
  <c r="AJ143" i="3"/>
  <c r="AI84" i="3"/>
  <c r="AK112" i="3"/>
  <c r="AN172" i="3"/>
  <c r="AN173" i="3"/>
  <c r="AK169" i="3"/>
  <c r="AK155" i="3"/>
  <c r="AH164" i="3"/>
  <c r="AF68" i="3"/>
  <c r="AK153" i="3"/>
  <c r="AK160" i="3"/>
  <c r="AN157" i="3"/>
  <c r="AI52" i="3"/>
  <c r="V255" i="3"/>
  <c r="H247" i="3"/>
  <c r="H347" i="3"/>
  <c r="H349" i="3"/>
  <c r="G252" i="3"/>
  <c r="G258" i="3"/>
  <c r="G288" i="3"/>
  <c r="M341" i="3"/>
  <c r="M342" i="3"/>
  <c r="I341" i="3"/>
  <c r="I342" i="3"/>
  <c r="AH54" i="3"/>
  <c r="AH57" i="3"/>
  <c r="AK130" i="3"/>
  <c r="AJ110" i="3"/>
  <c r="AJ114" i="3"/>
  <c r="AK128" i="3"/>
  <c r="AJ122" i="3"/>
  <c r="AJ98" i="3"/>
  <c r="AJ94" i="3"/>
  <c r="AK88" i="3"/>
  <c r="AJ92" i="3"/>
  <c r="AJ124" i="3"/>
  <c r="AJ106" i="3"/>
  <c r="AJ108" i="3"/>
  <c r="AJ82" i="3"/>
  <c r="AK136" i="3"/>
  <c r="AJ80" i="3"/>
  <c r="AK76" i="3"/>
  <c r="AJ86" i="3"/>
  <c r="AJ90" i="3"/>
  <c r="AJ118" i="3"/>
  <c r="AK138" i="3"/>
  <c r="AJ116" i="3"/>
  <c r="AI55" i="3"/>
  <c r="AI56" i="3"/>
  <c r="AK104" i="3"/>
  <c r="AJ100" i="3"/>
  <c r="AK74" i="3"/>
  <c r="R13" i="3"/>
  <c r="R357" i="3"/>
  <c r="S217" i="3"/>
  <c r="Q217" i="3"/>
  <c r="R248" i="3"/>
  <c r="AI62" i="3"/>
  <c r="AK162" i="3"/>
  <c r="AK145" i="3"/>
  <c r="AF269" i="3"/>
  <c r="AG269" i="3"/>
  <c r="AF264" i="3"/>
  <c r="AF312" i="3"/>
  <c r="AG312" i="3"/>
  <c r="AI53" i="3"/>
  <c r="AK133" i="3"/>
  <c r="AJ84" i="3"/>
  <c r="AH64" i="3"/>
  <c r="AJ120" i="3"/>
  <c r="AG13" i="3"/>
  <c r="AF325" i="3"/>
  <c r="AF328" i="3"/>
  <c r="AJ96" i="3"/>
  <c r="X181" i="3"/>
  <c r="Y146" i="3"/>
  <c r="AF248" i="3"/>
  <c r="AH13" i="3"/>
  <c r="AE328" i="3"/>
  <c r="Y163" i="3"/>
  <c r="Y166" i="3"/>
  <c r="Y167" i="3"/>
  <c r="Y177" i="3"/>
  <c r="Y67" i="3"/>
  <c r="AB253" i="3"/>
  <c r="AC253" i="3"/>
  <c r="AC310" i="3"/>
  <c r="AA249" i="3"/>
  <c r="AA310" i="3"/>
  <c r="AA18" i="3"/>
  <c r="AB18" i="3"/>
  <c r="Z254" i="3"/>
  <c r="AF180" i="3"/>
  <c r="AK78" i="3"/>
  <c r="AJ102" i="3"/>
  <c r="AK143" i="3"/>
  <c r="AJ126" i="3"/>
  <c r="AM112" i="3"/>
  <c r="R223" i="3"/>
  <c r="AO172" i="3"/>
  <c r="AO173" i="3"/>
  <c r="AM169" i="3"/>
  <c r="AI164" i="3"/>
  <c r="AM155" i="3"/>
  <c r="AH68" i="3"/>
  <c r="AM153" i="3"/>
  <c r="AM160" i="3"/>
  <c r="AP157" i="3"/>
  <c r="AO157" i="3"/>
  <c r="I247" i="3"/>
  <c r="I347" i="3"/>
  <c r="I349" i="3"/>
  <c r="J341" i="3"/>
  <c r="J342" i="3"/>
  <c r="R341" i="3"/>
  <c r="N341" i="3"/>
  <c r="N342" i="3"/>
  <c r="H252" i="3"/>
  <c r="H258" i="3"/>
  <c r="H288" i="3"/>
  <c r="AI54" i="3"/>
  <c r="AK116" i="3"/>
  <c r="AM88" i="3"/>
  <c r="AK100" i="3"/>
  <c r="AI57" i="3"/>
  <c r="AM76" i="3"/>
  <c r="AJ52" i="3"/>
  <c r="AK98" i="3"/>
  <c r="AM128" i="3"/>
  <c r="AM130" i="3"/>
  <c r="AM138" i="3"/>
  <c r="AK80" i="3"/>
  <c r="AK124" i="3"/>
  <c r="AM74" i="3"/>
  <c r="AM104" i="3"/>
  <c r="AK118" i="3"/>
  <c r="AM136" i="3"/>
  <c r="AK82" i="3"/>
  <c r="AK106" i="3"/>
  <c r="AK108" i="3"/>
  <c r="AK92" i="3"/>
  <c r="AK86" i="3"/>
  <c r="AK90" i="3"/>
  <c r="AK110" i="3"/>
  <c r="AK114" i="3"/>
  <c r="AK94" i="3"/>
  <c r="AK122" i="3"/>
  <c r="AJ55" i="3"/>
  <c r="AJ56" i="3"/>
  <c r="W337" i="3"/>
  <c r="T278" i="3"/>
  <c r="T217" i="3"/>
  <c r="R217" i="3"/>
  <c r="AJ62" i="3"/>
  <c r="AM145" i="3"/>
  <c r="AM162" i="3"/>
  <c r="AH269" i="3"/>
  <c r="AH264" i="3"/>
  <c r="AM143" i="3"/>
  <c r="AJ53" i="3"/>
  <c r="AI64" i="3"/>
  <c r="AG325" i="3"/>
  <c r="AG328" i="3"/>
  <c r="Y181" i="3"/>
  <c r="Z177" i="3"/>
  <c r="Z146" i="3"/>
  <c r="Z163" i="3"/>
  <c r="Z166" i="3"/>
  <c r="Z167" i="3"/>
  <c r="AI13" i="3"/>
  <c r="Z67" i="3"/>
  <c r="AC18" i="3"/>
  <c r="T311" i="3"/>
  <c r="AH325" i="3"/>
  <c r="AH312" i="3"/>
  <c r="AH248" i="3"/>
  <c r="AB249" i="3"/>
  <c r="AA319" i="3"/>
  <c r="AB319" i="3"/>
  <c r="AC249" i="3"/>
  <c r="AC319" i="3"/>
  <c r="AD253" i="3"/>
  <c r="AB310" i="3"/>
  <c r="AG248" i="3"/>
  <c r="AA254" i="3"/>
  <c r="Z255" i="3"/>
  <c r="AH180" i="3"/>
  <c r="AK126" i="3"/>
  <c r="AM78" i="3"/>
  <c r="AK102" i="3"/>
  <c r="AM133" i="3"/>
  <c r="AK96" i="3"/>
  <c r="AK84" i="3"/>
  <c r="AK120" i="3"/>
  <c r="AN112" i="3"/>
  <c r="AP172" i="3"/>
  <c r="AP173" i="3"/>
  <c r="AN169" i="3"/>
  <c r="AN155" i="3"/>
  <c r="AJ164" i="3"/>
  <c r="AI68" i="3"/>
  <c r="AN153" i="3"/>
  <c r="AN160" i="3"/>
  <c r="K341" i="3"/>
  <c r="K342" i="3"/>
  <c r="J247" i="3"/>
  <c r="J347" i="3"/>
  <c r="J349" i="3"/>
  <c r="N247" i="3"/>
  <c r="N347" i="3"/>
  <c r="N349" i="3"/>
  <c r="O341" i="3"/>
  <c r="O342" i="3"/>
  <c r="AK52" i="3"/>
  <c r="I252" i="3"/>
  <c r="I258" i="3"/>
  <c r="I288" i="3"/>
  <c r="AJ54" i="3"/>
  <c r="AJ57" i="3"/>
  <c r="AM94" i="3"/>
  <c r="AM110" i="3"/>
  <c r="AM114" i="3"/>
  <c r="AN104" i="3"/>
  <c r="AN138" i="3"/>
  <c r="AN76" i="3"/>
  <c r="AN88" i="3"/>
  <c r="AM92" i="3"/>
  <c r="AN130" i="3"/>
  <c r="AM100" i="3"/>
  <c r="AK55" i="3"/>
  <c r="AK56" i="3"/>
  <c r="AM106" i="3"/>
  <c r="AM108" i="3"/>
  <c r="AM118" i="3"/>
  <c r="AN74" i="3"/>
  <c r="AM80" i="3"/>
  <c r="AN128" i="3"/>
  <c r="AM116" i="3"/>
  <c r="AM82" i="3"/>
  <c r="AM124" i="3"/>
  <c r="AM122" i="3"/>
  <c r="AM86" i="3"/>
  <c r="AM90" i="3"/>
  <c r="AN136" i="3"/>
  <c r="AM98" i="3"/>
  <c r="R277" i="3"/>
  <c r="U312" i="3"/>
  <c r="U278" i="3"/>
  <c r="U217" i="3"/>
  <c r="AK62" i="3"/>
  <c r="AN162" i="3"/>
  <c r="AN145" i="3"/>
  <c r="AI264" i="3"/>
  <c r="AI269" i="3"/>
  <c r="AK53" i="3"/>
  <c r="AI325" i="3"/>
  <c r="AI328" i="3"/>
  <c r="AJ64" i="3"/>
  <c r="AM120" i="3"/>
  <c r="AM96" i="3"/>
  <c r="Z181" i="3"/>
  <c r="AA177" i="3"/>
  <c r="AI248" i="3"/>
  <c r="AI312" i="3"/>
  <c r="AJ13" i="3"/>
  <c r="T318" i="3"/>
  <c r="U311" i="3"/>
  <c r="AD310" i="3"/>
  <c r="AE253" i="3"/>
  <c r="AD249" i="3"/>
  <c r="AD319" i="3"/>
  <c r="AH328" i="3"/>
  <c r="AC254" i="3"/>
  <c r="AB254" i="3"/>
  <c r="AB255" i="3"/>
  <c r="AA255" i="3"/>
  <c r="AA67" i="3"/>
  <c r="AA163" i="3"/>
  <c r="AA146" i="3"/>
  <c r="AI180" i="3"/>
  <c r="AM126" i="3"/>
  <c r="AN78" i="3"/>
  <c r="AM102" i="3"/>
  <c r="AM84" i="3"/>
  <c r="AN143" i="3"/>
  <c r="AN133" i="3"/>
  <c r="AP112" i="3"/>
  <c r="AO112" i="3"/>
  <c r="AP169" i="3"/>
  <c r="AO169" i="3"/>
  <c r="AP155" i="3"/>
  <c r="AO155" i="3"/>
  <c r="AK164" i="3"/>
  <c r="AJ68" i="3"/>
  <c r="AP153" i="3"/>
  <c r="AP160" i="3"/>
  <c r="AO153" i="3"/>
  <c r="AO160" i="3"/>
  <c r="N252" i="3"/>
  <c r="N258" i="3"/>
  <c r="N288" i="3"/>
  <c r="J252" i="3"/>
  <c r="J258" i="3"/>
  <c r="J288" i="3"/>
  <c r="O247" i="3"/>
  <c r="O347" i="3"/>
  <c r="O349" i="3"/>
  <c r="P341" i="3"/>
  <c r="L341" i="3"/>
  <c r="L342" i="3"/>
  <c r="L247" i="3"/>
  <c r="L347" i="3"/>
  <c r="L349" i="3"/>
  <c r="K247" i="3"/>
  <c r="K347" i="3"/>
  <c r="K349" i="3"/>
  <c r="AK54" i="3"/>
  <c r="AM52" i="3"/>
  <c r="AM62" i="3"/>
  <c r="AN86" i="3"/>
  <c r="AN90" i="3"/>
  <c r="AN118" i="3"/>
  <c r="AN92" i="3"/>
  <c r="AP104" i="3"/>
  <c r="AO104" i="3"/>
  <c r="AN82" i="3"/>
  <c r="AK57" i="3"/>
  <c r="AN94" i="3"/>
  <c r="AN124" i="3"/>
  <c r="AP76" i="3"/>
  <c r="AO76" i="3"/>
  <c r="AN98" i="3"/>
  <c r="AP136" i="3"/>
  <c r="AO136" i="3"/>
  <c r="AN122" i="3"/>
  <c r="AP128" i="3"/>
  <c r="AO128" i="3"/>
  <c r="AP74" i="3"/>
  <c r="AO74" i="3"/>
  <c r="AP130" i="3"/>
  <c r="AO130" i="3"/>
  <c r="AP88" i="3"/>
  <c r="AO88" i="3"/>
  <c r="AP138" i="3"/>
  <c r="AO138" i="3"/>
  <c r="AM55" i="3"/>
  <c r="AM56" i="3"/>
  <c r="AN116" i="3"/>
  <c r="AN100" i="3"/>
  <c r="AN80" i="3"/>
  <c r="AN106" i="3"/>
  <c r="AN108" i="3"/>
  <c r="AN110" i="3"/>
  <c r="AN114" i="3"/>
  <c r="AO145" i="3"/>
  <c r="AP145" i="3"/>
  <c r="AO162" i="3"/>
  <c r="AP162" i="3"/>
  <c r="AJ269" i="3"/>
  <c r="AJ264" i="3"/>
  <c r="AM53" i="3"/>
  <c r="AN120" i="3"/>
  <c r="AN126" i="3"/>
  <c r="AK64" i="3"/>
  <c r="AK13" i="3"/>
  <c r="AD18" i="3"/>
  <c r="AE310" i="3"/>
  <c r="AE18" i="3"/>
  <c r="AE249" i="3"/>
  <c r="AE319" i="3"/>
  <c r="AF253" i="3"/>
  <c r="U318" i="3"/>
  <c r="V311" i="3"/>
  <c r="AJ325" i="3"/>
  <c r="AJ312" i="3"/>
  <c r="AJ248" i="3"/>
  <c r="AC255" i="3"/>
  <c r="AC67" i="3"/>
  <c r="AC177" i="3"/>
  <c r="AC146" i="3"/>
  <c r="AA181" i="3"/>
  <c r="AC163" i="3"/>
  <c r="AA166" i="3"/>
  <c r="AA167" i="3"/>
  <c r="AJ180" i="3"/>
  <c r="AN84" i="3"/>
  <c r="AO78" i="3"/>
  <c r="AN102" i="3"/>
  <c r="AP143" i="3"/>
  <c r="AP78" i="3"/>
  <c r="AN96" i="3"/>
  <c r="AP133" i="3"/>
  <c r="AO133" i="3"/>
  <c r="AO143" i="3"/>
  <c r="AM164" i="3"/>
  <c r="AK68" i="3"/>
  <c r="AM54" i="3"/>
  <c r="O252" i="3"/>
  <c r="O258" i="3"/>
  <c r="O288" i="3"/>
  <c r="K252" i="3"/>
  <c r="K258" i="3"/>
  <c r="K288" i="3"/>
  <c r="L252" i="3"/>
  <c r="L258" i="3"/>
  <c r="L288" i="3"/>
  <c r="M247" i="3"/>
  <c r="M347" i="3"/>
  <c r="M349" i="3"/>
  <c r="AM57" i="3"/>
  <c r="AN52" i="3"/>
  <c r="AP80" i="3"/>
  <c r="AO80" i="3"/>
  <c r="AP116" i="3"/>
  <c r="AO116" i="3"/>
  <c r="AP94" i="3"/>
  <c r="AO94" i="3"/>
  <c r="AP118" i="3"/>
  <c r="AO118" i="3"/>
  <c r="AP82" i="3"/>
  <c r="AO82" i="3"/>
  <c r="AP110" i="3"/>
  <c r="AP114" i="3"/>
  <c r="AO110" i="3"/>
  <c r="AO114" i="3"/>
  <c r="AN55" i="3"/>
  <c r="AN56" i="3"/>
  <c r="AP106" i="3"/>
  <c r="AP108" i="3"/>
  <c r="AO106" i="3"/>
  <c r="AO108" i="3"/>
  <c r="AP100" i="3"/>
  <c r="AO100" i="3"/>
  <c r="AP122" i="3"/>
  <c r="AO122" i="3"/>
  <c r="AP98" i="3"/>
  <c r="AO98" i="3"/>
  <c r="AP124" i="3"/>
  <c r="AO124" i="3"/>
  <c r="AP92" i="3"/>
  <c r="AO92" i="3"/>
  <c r="AP86" i="3"/>
  <c r="AP90" i="3"/>
  <c r="AO86" i="3"/>
  <c r="AO90" i="3"/>
  <c r="W13" i="3"/>
  <c r="V312" i="3"/>
  <c r="V217" i="3"/>
  <c r="W248" i="3"/>
  <c r="X217" i="3"/>
  <c r="AN62" i="3"/>
  <c r="AK264" i="3"/>
  <c r="AK269" i="3"/>
  <c r="AL269" i="3"/>
  <c r="AN53" i="3"/>
  <c r="AL13" i="3"/>
  <c r="AM64" i="3"/>
  <c r="AO102" i="3"/>
  <c r="V318" i="3"/>
  <c r="W318" i="3"/>
  <c r="X311" i="3"/>
  <c r="Y311" i="3"/>
  <c r="Z311" i="3"/>
  <c r="AA311" i="3"/>
  <c r="W311" i="3"/>
  <c r="AF310" i="3"/>
  <c r="AF249" i="3"/>
  <c r="AG253" i="3"/>
  <c r="AH253" i="3"/>
  <c r="AH310" i="3"/>
  <c r="AM13" i="3"/>
  <c r="AK325" i="3"/>
  <c r="AK328" i="3"/>
  <c r="AK312" i="3"/>
  <c r="AL312" i="3"/>
  <c r="AK248" i="3"/>
  <c r="AJ328" i="3"/>
  <c r="AC166" i="3"/>
  <c r="AC167" i="3"/>
  <c r="AC181" i="3"/>
  <c r="W312" i="3"/>
  <c r="V278" i="3"/>
  <c r="AK180" i="3"/>
  <c r="M225" i="3"/>
  <c r="AP102" i="3"/>
  <c r="AP96" i="3"/>
  <c r="AP126" i="3"/>
  <c r="AO84" i="3"/>
  <c r="AO96" i="3"/>
  <c r="AP84" i="3"/>
  <c r="AO120" i="3"/>
  <c r="AO126" i="3"/>
  <c r="AP120" i="3"/>
  <c r="AD254" i="3"/>
  <c r="AN164" i="3"/>
  <c r="AM68" i="3"/>
  <c r="AN57" i="3"/>
  <c r="M252" i="3"/>
  <c r="M258" i="3"/>
  <c r="M288" i="3"/>
  <c r="AN54" i="3"/>
  <c r="AP52" i="3"/>
  <c r="AO55" i="3"/>
  <c r="AO56" i="3"/>
  <c r="AO52" i="3"/>
  <c r="AP55" i="3"/>
  <c r="AP56" i="3"/>
  <c r="W357" i="3"/>
  <c r="W217" i="3"/>
  <c r="Y217" i="3"/>
  <c r="AP62" i="3"/>
  <c r="AO62" i="3"/>
  <c r="AM269" i="3"/>
  <c r="AM264" i="3"/>
  <c r="AO53" i="3"/>
  <c r="AP53" i="3"/>
  <c r="AN64" i="3"/>
  <c r="AC311" i="3"/>
  <c r="AD311" i="3"/>
  <c r="AE311" i="3"/>
  <c r="AF311" i="3"/>
  <c r="AL325" i="3"/>
  <c r="AL328" i="3"/>
  <c r="AN13" i="3"/>
  <c r="X318" i="3"/>
  <c r="AF18" i="3"/>
  <c r="AG18" i="3"/>
  <c r="AG310" i="3"/>
  <c r="AH249" i="3"/>
  <c r="AH319" i="3"/>
  <c r="AI253" i="3"/>
  <c r="AH18" i="3"/>
  <c r="AM325" i="3"/>
  <c r="AM312" i="3"/>
  <c r="AM248" i="3"/>
  <c r="W278" i="3"/>
  <c r="X278" i="3"/>
  <c r="Y278" i="3"/>
  <c r="Z278" i="3"/>
  <c r="AA278" i="3"/>
  <c r="AL248" i="3"/>
  <c r="AG249" i="3"/>
  <c r="AF319" i="3"/>
  <c r="AG319" i="3"/>
  <c r="AE254" i="3"/>
  <c r="AD255" i="3"/>
  <c r="AM180" i="3"/>
  <c r="AP164" i="3"/>
  <c r="AO164" i="3"/>
  <c r="AN68" i="3"/>
  <c r="AO54" i="3"/>
  <c r="AP54" i="3"/>
  <c r="AP57" i="3"/>
  <c r="AO57" i="3"/>
  <c r="W277" i="3"/>
  <c r="Z217" i="3"/>
  <c r="P340" i="3"/>
  <c r="AN264" i="3"/>
  <c r="AN269" i="3"/>
  <c r="AN325" i="3"/>
  <c r="AN328" i="3"/>
  <c r="AP64" i="3"/>
  <c r="AO64" i="3"/>
  <c r="AN312" i="3"/>
  <c r="AH311" i="3"/>
  <c r="AI311" i="3"/>
  <c r="AJ311" i="3"/>
  <c r="AK311" i="3"/>
  <c r="AM311" i="3"/>
  <c r="AN311" i="3"/>
  <c r="Y318" i="3"/>
  <c r="AI310" i="3"/>
  <c r="AJ253" i="3"/>
  <c r="AI249" i="3"/>
  <c r="AI319" i="3"/>
  <c r="Z318" i="3"/>
  <c r="AM328" i="3"/>
  <c r="AB278" i="3"/>
  <c r="AC278" i="3"/>
  <c r="AD278" i="3"/>
  <c r="AE278" i="3"/>
  <c r="AF278" i="3"/>
  <c r="AP13" i="3"/>
  <c r="AO13" i="3"/>
  <c r="AN248" i="3"/>
  <c r="AF254" i="3"/>
  <c r="AH254" i="3"/>
  <c r="AH255" i="3"/>
  <c r="AE255" i="3"/>
  <c r="AD146" i="3"/>
  <c r="AD177" i="3"/>
  <c r="AD67" i="3"/>
  <c r="AD163" i="3"/>
  <c r="AN180" i="3"/>
  <c r="AP68" i="3"/>
  <c r="AO68" i="3"/>
  <c r="P342" i="3"/>
  <c r="AO269" i="3"/>
  <c r="AP269" i="3"/>
  <c r="AQ269" i="3"/>
  <c r="AO264" i="3"/>
  <c r="AP264" i="3"/>
  <c r="AO311" i="3"/>
  <c r="AP325" i="3"/>
  <c r="AP328" i="3"/>
  <c r="AP312" i="3"/>
  <c r="AA318" i="3"/>
  <c r="AB318" i="3"/>
  <c r="AB311" i="3"/>
  <c r="AG278" i="3"/>
  <c r="AH278" i="3"/>
  <c r="AI278" i="3"/>
  <c r="AJ278" i="3"/>
  <c r="AK278" i="3"/>
  <c r="AI18" i="3"/>
  <c r="AO312" i="3"/>
  <c r="AO325" i="3"/>
  <c r="AO248" i="3"/>
  <c r="AP248" i="3"/>
  <c r="AQ13" i="3"/>
  <c r="AJ310" i="3"/>
  <c r="AJ18" i="3"/>
  <c r="AK253" i="3"/>
  <c r="AJ249" i="3"/>
  <c r="AJ319" i="3"/>
  <c r="AE146" i="3"/>
  <c r="AG254" i="3"/>
  <c r="AG255" i="3"/>
  <c r="AF255" i="3"/>
  <c r="AE163" i="3"/>
  <c r="AD166" i="3"/>
  <c r="AD167" i="3"/>
  <c r="AE67" i="3"/>
  <c r="AD181" i="3"/>
  <c r="AE177" i="3"/>
  <c r="AP180" i="3"/>
  <c r="AO180" i="3"/>
  <c r="AC217" i="3"/>
  <c r="P247" i="3"/>
  <c r="P347" i="3"/>
  <c r="P349" i="3"/>
  <c r="Q341" i="3"/>
  <c r="AP311" i="3"/>
  <c r="AQ312" i="3"/>
  <c r="AC318" i="3"/>
  <c r="AQ248" i="3"/>
  <c r="AK310" i="3"/>
  <c r="AM253" i="3"/>
  <c r="AL253" i="3"/>
  <c r="AK249" i="3"/>
  <c r="AO328" i="3"/>
  <c r="AQ325" i="3"/>
  <c r="AL278" i="3"/>
  <c r="AM278" i="3"/>
  <c r="AN278" i="3"/>
  <c r="AO278" i="3"/>
  <c r="AP278" i="3"/>
  <c r="AQ278" i="3"/>
  <c r="AF67" i="3"/>
  <c r="AE181" i="3"/>
  <c r="AF177" i="3"/>
  <c r="AF163" i="3"/>
  <c r="AE166" i="3"/>
  <c r="AE167" i="3"/>
  <c r="AF146" i="3"/>
  <c r="AB357" i="3"/>
  <c r="AA217" i="3"/>
  <c r="AD217" i="3"/>
  <c r="P252" i="3"/>
  <c r="AQ328" i="3"/>
  <c r="AQ357" i="3"/>
  <c r="AM249" i="3"/>
  <c r="AM319" i="3"/>
  <c r="AN253" i="3"/>
  <c r="AN310" i="3"/>
  <c r="AN18" i="3"/>
  <c r="AK18" i="3"/>
  <c r="AL18" i="3"/>
  <c r="AL310" i="3"/>
  <c r="AL249" i="3"/>
  <c r="AK319" i="3"/>
  <c r="AL319" i="3"/>
  <c r="AD318" i="3"/>
  <c r="AM310" i="3"/>
  <c r="AH146" i="3"/>
  <c r="AH177" i="3"/>
  <c r="AH163" i="3"/>
  <c r="AF166" i="3"/>
  <c r="AF167" i="3"/>
  <c r="AH67" i="3"/>
  <c r="AF181" i="3"/>
  <c r="AI254" i="3"/>
  <c r="P258" i="3"/>
  <c r="AB217" i="3"/>
  <c r="AE217" i="3"/>
  <c r="AN249" i="3"/>
  <c r="AN319" i="3"/>
  <c r="AO253" i="3"/>
  <c r="AF318" i="3"/>
  <c r="AE318" i="3"/>
  <c r="AM18" i="3"/>
  <c r="AJ254" i="3"/>
  <c r="AI255" i="3"/>
  <c r="AH166" i="3"/>
  <c r="AH167" i="3"/>
  <c r="AH181" i="3"/>
  <c r="AI177" i="3"/>
  <c r="AG318" i="3"/>
  <c r="AO310" i="3"/>
  <c r="AP253" i="3"/>
  <c r="AO249" i="3"/>
  <c r="AO319" i="3"/>
  <c r="AG311" i="3"/>
  <c r="AK254" i="3"/>
  <c r="AM254" i="3"/>
  <c r="AM255" i="3"/>
  <c r="AJ255" i="3"/>
  <c r="AI163" i="3"/>
  <c r="AI166" i="3"/>
  <c r="AI167" i="3"/>
  <c r="AI67" i="3"/>
  <c r="AI146" i="3"/>
  <c r="AG357" i="3"/>
  <c r="AF217" i="3"/>
  <c r="AH217" i="3"/>
  <c r="AP310" i="3"/>
  <c r="AP18" i="3"/>
  <c r="AP249" i="3"/>
  <c r="AQ253" i="3"/>
  <c r="AH318" i="3"/>
  <c r="AO18" i="3"/>
  <c r="AI181" i="3"/>
  <c r="AL254" i="3"/>
  <c r="AL255" i="3"/>
  <c r="AK255" i="3"/>
  <c r="AJ146" i="3"/>
  <c r="AJ177" i="3"/>
  <c r="AJ67" i="3"/>
  <c r="AJ163" i="3"/>
  <c r="AG217" i="3"/>
  <c r="AI217" i="3"/>
  <c r="AQ310" i="3"/>
  <c r="AQ18" i="3"/>
  <c r="AQ249" i="3"/>
  <c r="AP319" i="3"/>
  <c r="AQ319" i="3"/>
  <c r="AI318" i="3"/>
  <c r="AK67" i="3"/>
  <c r="AJ181" i="3"/>
  <c r="AK177" i="3"/>
  <c r="AK163" i="3"/>
  <c r="AJ166" i="3"/>
  <c r="AJ167" i="3"/>
  <c r="AK146" i="3"/>
  <c r="AJ217" i="3"/>
  <c r="AJ318" i="3"/>
  <c r="AM177" i="3"/>
  <c r="AM146" i="3"/>
  <c r="AM163" i="3"/>
  <c r="AK166" i="3"/>
  <c r="AK167" i="3"/>
  <c r="AM67" i="3"/>
  <c r="AK181" i="3"/>
  <c r="AN254" i="3"/>
  <c r="AL311" i="3"/>
  <c r="AK318" i="3"/>
  <c r="AL318" i="3"/>
  <c r="AN255" i="3"/>
  <c r="AO254" i="3"/>
  <c r="AM166" i="3"/>
  <c r="AM167" i="3"/>
  <c r="AM181" i="3"/>
  <c r="AL357" i="3"/>
  <c r="AM217" i="3"/>
  <c r="AK217" i="3"/>
  <c r="AM318" i="3"/>
  <c r="AP254" i="3"/>
  <c r="AO255" i="3"/>
  <c r="AN67" i="3"/>
  <c r="AN177" i="3"/>
  <c r="AN146" i="3"/>
  <c r="AN163" i="3"/>
  <c r="AN217" i="3"/>
  <c r="AO217" i="3"/>
  <c r="AL217" i="3"/>
  <c r="AN318" i="3"/>
  <c r="AQ254" i="3"/>
  <c r="AQ255" i="3"/>
  <c r="AP255" i="3"/>
  <c r="AO177" i="3"/>
  <c r="AO67" i="3"/>
  <c r="AO163" i="3"/>
  <c r="AN166" i="3"/>
  <c r="AN167" i="3"/>
  <c r="AO146" i="3"/>
  <c r="AN181" i="3"/>
  <c r="AO318" i="3"/>
  <c r="AP146" i="3"/>
  <c r="AP163" i="3"/>
  <c r="AP166" i="3"/>
  <c r="AP167" i="3"/>
  <c r="AO166" i="3"/>
  <c r="AO167" i="3"/>
  <c r="AP177" i="3"/>
  <c r="AP67" i="3"/>
  <c r="AO181" i="3"/>
  <c r="AP318" i="3"/>
  <c r="AQ318" i="3"/>
  <c r="AQ311" i="3"/>
  <c r="AP181" i="3"/>
  <c r="AP217" i="3"/>
  <c r="AQ217" i="3"/>
  <c r="R46" i="3"/>
  <c r="R47" i="3"/>
  <c r="W46" i="3"/>
  <c r="W47" i="3"/>
  <c r="AB47" i="3"/>
  <c r="R18" i="3"/>
  <c r="P265" i="3"/>
  <c r="P273" i="3"/>
  <c r="P287" i="3"/>
  <c r="P288" i="3"/>
  <c r="R262" i="3"/>
  <c r="Q149" i="3"/>
  <c r="Q144" i="3"/>
  <c r="R17" i="3"/>
  <c r="Q222" i="3"/>
  <c r="R20" i="3"/>
  <c r="R21" i="3"/>
  <c r="Q148" i="3"/>
  <c r="R15" i="3"/>
  <c r="V148" i="3"/>
  <c r="AF148" i="3"/>
  <c r="AK148" i="3"/>
  <c r="AP148" i="3"/>
  <c r="T147" i="3"/>
  <c r="Q150" i="3"/>
  <c r="Q24" i="3"/>
  <c r="R16" i="3"/>
  <c r="R222" i="3"/>
  <c r="R221" i="3"/>
  <c r="Q221" i="3"/>
  <c r="R23" i="3"/>
  <c r="T149" i="3"/>
  <c r="T150" i="3"/>
  <c r="T17" i="3"/>
  <c r="T15" i="3"/>
  <c r="T262" i="3"/>
  <c r="T16" i="3"/>
  <c r="T222" i="3"/>
  <c r="T20" i="3"/>
  <c r="T23" i="3"/>
  <c r="R24" i="3"/>
  <c r="R25" i="3"/>
  <c r="R218" i="3"/>
  <c r="U147" i="3"/>
  <c r="S149" i="3"/>
  <c r="S150" i="3"/>
  <c r="Q25" i="3"/>
  <c r="Q218" i="3"/>
  <c r="Q178" i="3"/>
  <c r="Q183" i="3"/>
  <c r="R37" i="3"/>
  <c r="R263" i="3"/>
  <c r="S27" i="3"/>
  <c r="V147" i="3"/>
  <c r="U149" i="3"/>
  <c r="U150" i="3"/>
  <c r="U16" i="3"/>
  <c r="U222" i="3"/>
  <c r="U17" i="3"/>
  <c r="U23" i="3"/>
  <c r="U15" i="3"/>
  <c r="U262" i="3"/>
  <c r="U20" i="3"/>
  <c r="Q35" i="3"/>
  <c r="Q36" i="3"/>
  <c r="Q304" i="3"/>
  <c r="Q27" i="3"/>
  <c r="R35" i="3"/>
  <c r="R36" i="3"/>
  <c r="R304" i="3"/>
  <c r="R27" i="3"/>
  <c r="Q224" i="3"/>
  <c r="Q184" i="3"/>
  <c r="S221" i="3"/>
  <c r="S222" i="3"/>
  <c r="T221" i="3"/>
  <c r="T183" i="3"/>
  <c r="Q40" i="3"/>
  <c r="Q45" i="3"/>
  <c r="Q219" i="3"/>
  <c r="F9" i="26"/>
  <c r="D35" i="26"/>
  <c r="S219" i="3"/>
  <c r="R40" i="3"/>
  <c r="R45" i="3"/>
  <c r="R220" i="3"/>
  <c r="R219" i="3"/>
  <c r="E22" i="26"/>
  <c r="E23" i="26"/>
  <c r="F10" i="26"/>
  <c r="D36" i="26"/>
  <c r="S218" i="3"/>
  <c r="V149" i="3"/>
  <c r="V150" i="3"/>
  <c r="V23" i="3"/>
  <c r="W23" i="3"/>
  <c r="V17" i="3"/>
  <c r="W17" i="3"/>
  <c r="V15" i="3"/>
  <c r="V262" i="3"/>
  <c r="W262" i="3"/>
  <c r="V16" i="3"/>
  <c r="V20" i="3"/>
  <c r="W20" i="3"/>
  <c r="Q38" i="3"/>
  <c r="Q43" i="3"/>
  <c r="R224" i="3"/>
  <c r="R38" i="3"/>
  <c r="R44" i="3"/>
  <c r="X147" i="3"/>
  <c r="U221" i="3"/>
  <c r="U183" i="3"/>
  <c r="W21" i="3"/>
  <c r="T263" i="3"/>
  <c r="T321" i="3"/>
  <c r="G9" i="26"/>
  <c r="E35" i="26"/>
  <c r="Q309" i="3"/>
  <c r="Q323" i="3"/>
  <c r="Q356" i="3"/>
  <c r="R309" i="3"/>
  <c r="R323" i="3"/>
  <c r="R343" i="3"/>
  <c r="X17" i="3"/>
  <c r="X20" i="3"/>
  <c r="X16" i="3"/>
  <c r="X23" i="3"/>
  <c r="X15" i="3"/>
  <c r="X262" i="3"/>
  <c r="X149" i="3"/>
  <c r="X150" i="3"/>
  <c r="R43" i="3"/>
  <c r="Q44" i="3"/>
  <c r="W15" i="3"/>
  <c r="W221" i="3"/>
  <c r="V183" i="3"/>
  <c r="Y147" i="3"/>
  <c r="V222" i="3"/>
  <c r="W16" i="3"/>
  <c r="W222" i="3"/>
  <c r="V221" i="3"/>
  <c r="U263" i="3"/>
  <c r="U321" i="3"/>
  <c r="G10" i="26"/>
  <c r="E36" i="26"/>
  <c r="R356" i="3"/>
  <c r="Y16" i="3"/>
  <c r="Y222" i="3"/>
  <c r="Y23" i="3"/>
  <c r="Y15" i="3"/>
  <c r="Y262" i="3"/>
  <c r="Y20" i="3"/>
  <c r="Y17" i="3"/>
  <c r="Y149" i="3"/>
  <c r="Y150" i="3"/>
  <c r="Z147" i="3"/>
  <c r="V263" i="3"/>
  <c r="R279" i="3"/>
  <c r="R286" i="3"/>
  <c r="X183" i="3"/>
  <c r="X221" i="3"/>
  <c r="X222" i="3"/>
  <c r="Z17" i="3"/>
  <c r="Z23" i="3"/>
  <c r="Z20" i="3"/>
  <c r="Z16" i="3"/>
  <c r="Z222" i="3"/>
  <c r="Z15" i="3"/>
  <c r="Z262" i="3"/>
  <c r="W263" i="3"/>
  <c r="X263" i="3"/>
  <c r="Z149" i="3"/>
  <c r="Z150" i="3"/>
  <c r="AA147" i="3"/>
  <c r="V321" i="3"/>
  <c r="W321" i="3"/>
  <c r="Y221" i="3"/>
  <c r="Y183" i="3"/>
  <c r="AA15" i="3"/>
  <c r="AA262" i="3"/>
  <c r="AB262" i="3"/>
  <c r="AA20" i="3"/>
  <c r="AB20" i="3"/>
  <c r="AA23" i="3"/>
  <c r="AB23" i="3"/>
  <c r="AA17" i="3"/>
  <c r="AB17" i="3"/>
  <c r="AA16" i="3"/>
  <c r="AB16" i="3"/>
  <c r="Y263" i="3"/>
  <c r="X321" i="3"/>
  <c r="AA149" i="3"/>
  <c r="AA150" i="3"/>
  <c r="AC147" i="3"/>
  <c r="Z221" i="3"/>
  <c r="Z183" i="3"/>
  <c r="R266" i="3"/>
  <c r="Q265" i="3"/>
  <c r="Q273" i="3"/>
  <c r="R260" i="3"/>
  <c r="R261" i="3"/>
  <c r="R226" i="3"/>
  <c r="S226" i="3"/>
  <c r="C391" i="3"/>
  <c r="AA222" i="3"/>
  <c r="AB15" i="3"/>
  <c r="AC16" i="3"/>
  <c r="AC23" i="3"/>
  <c r="AC15" i="3"/>
  <c r="AC262" i="3"/>
  <c r="AC17" i="3"/>
  <c r="AC20" i="3"/>
  <c r="Z263" i="3"/>
  <c r="Y321" i="3"/>
  <c r="AC149" i="3"/>
  <c r="AC150" i="3"/>
  <c r="R348" i="3"/>
  <c r="AB222" i="3"/>
  <c r="AD147" i="3"/>
  <c r="R265" i="3"/>
  <c r="Q338" i="3"/>
  <c r="Q340" i="3"/>
  <c r="Q342" i="3"/>
  <c r="Q247" i="3"/>
  <c r="R338" i="3"/>
  <c r="R340" i="3"/>
  <c r="R342" i="3"/>
  <c r="AA183" i="3"/>
  <c r="AA221" i="3"/>
  <c r="C383" i="3"/>
  <c r="C385" i="3"/>
  <c r="C386" i="3"/>
  <c r="AD17" i="3"/>
  <c r="AD20" i="3"/>
  <c r="AD16" i="3"/>
  <c r="AD222" i="3"/>
  <c r="AD23" i="3"/>
  <c r="AD15" i="3"/>
  <c r="AD262" i="3"/>
  <c r="AB221" i="3"/>
  <c r="U226" i="3"/>
  <c r="V226" i="3"/>
  <c r="Q347" i="3"/>
  <c r="Q349" i="3"/>
  <c r="AA263" i="3"/>
  <c r="Z321" i="3"/>
  <c r="W341" i="3"/>
  <c r="S341" i="3"/>
  <c r="AD149" i="3"/>
  <c r="AD150" i="3"/>
  <c r="AE147" i="3"/>
  <c r="R247" i="3"/>
  <c r="R225" i="3"/>
  <c r="S225" i="3"/>
  <c r="Q252" i="3"/>
  <c r="Q258" i="3"/>
  <c r="AC221" i="3"/>
  <c r="AC183" i="3"/>
  <c r="AC222" i="3"/>
  <c r="M345" i="3"/>
  <c r="H345" i="3"/>
  <c r="R345" i="3"/>
  <c r="R347" i="3"/>
  <c r="R349" i="3"/>
  <c r="AE16" i="3"/>
  <c r="AE222" i="3"/>
  <c r="AE17" i="3"/>
  <c r="AE15" i="3"/>
  <c r="AE262" i="3"/>
  <c r="AE20" i="3"/>
  <c r="AE23" i="3"/>
  <c r="AB263" i="3"/>
  <c r="AC263" i="3"/>
  <c r="AA321" i="3"/>
  <c r="AB321" i="3"/>
  <c r="AE149" i="3"/>
  <c r="AE150" i="3"/>
  <c r="AF147" i="3"/>
  <c r="AD183" i="3"/>
  <c r="AD221" i="3"/>
  <c r="R252" i="3"/>
  <c r="R258" i="3"/>
  <c r="C395" i="3"/>
  <c r="U225" i="3"/>
  <c r="V225" i="3"/>
  <c r="AF20" i="3"/>
  <c r="AG20" i="3"/>
  <c r="AF15" i="3"/>
  <c r="AF16" i="3"/>
  <c r="AG16" i="3"/>
  <c r="AF23" i="3"/>
  <c r="AG23" i="3"/>
  <c r="AF17" i="3"/>
  <c r="AG17" i="3"/>
  <c r="AD263" i="3"/>
  <c r="AC321" i="3"/>
  <c r="AF149" i="3"/>
  <c r="AF150" i="3"/>
  <c r="AH147" i="3"/>
  <c r="AE183" i="3"/>
  <c r="AE221" i="3"/>
  <c r="AG15" i="3"/>
  <c r="AG221" i="3"/>
  <c r="AF262" i="3"/>
  <c r="AG262" i="3"/>
  <c r="AH17" i="3"/>
  <c r="AH23" i="3"/>
  <c r="AH20" i="3"/>
  <c r="AH16" i="3"/>
  <c r="AH15" i="3"/>
  <c r="AE263" i="3"/>
  <c r="AD321" i="3"/>
  <c r="AH149" i="3"/>
  <c r="AH150" i="3"/>
  <c r="AI147" i="3"/>
  <c r="AF222" i="3"/>
  <c r="AG222" i="3"/>
  <c r="AF221" i="3"/>
  <c r="AF183" i="3"/>
  <c r="AH262" i="3"/>
  <c r="AI23" i="3"/>
  <c r="AI15" i="3"/>
  <c r="AI262" i="3"/>
  <c r="AI16" i="3"/>
  <c r="AI222" i="3"/>
  <c r="AI20" i="3"/>
  <c r="AI17" i="3"/>
  <c r="AF263" i="3"/>
  <c r="AE321" i="3"/>
  <c r="AI149" i="3"/>
  <c r="AI150" i="3"/>
  <c r="AJ147" i="3"/>
  <c r="AH222" i="3"/>
  <c r="AH221" i="3"/>
  <c r="AH183" i="3"/>
  <c r="AJ17" i="3"/>
  <c r="AJ15" i="3"/>
  <c r="AJ262" i="3"/>
  <c r="AJ16" i="3"/>
  <c r="AJ222" i="3"/>
  <c r="AJ20" i="3"/>
  <c r="AJ23" i="3"/>
  <c r="AG263" i="3"/>
  <c r="AF321" i="3"/>
  <c r="AG321" i="3"/>
  <c r="AH263" i="3"/>
  <c r="AJ149" i="3"/>
  <c r="AJ150" i="3"/>
  <c r="AK147" i="3"/>
  <c r="AI221" i="3"/>
  <c r="AI183" i="3"/>
  <c r="AK23" i="3"/>
  <c r="AL23" i="3"/>
  <c r="AK16" i="3"/>
  <c r="AL16" i="3"/>
  <c r="AK17" i="3"/>
  <c r="AL17" i="3"/>
  <c r="AK20" i="3"/>
  <c r="AL20" i="3"/>
  <c r="AK15" i="3"/>
  <c r="AK262" i="3"/>
  <c r="AL262" i="3"/>
  <c r="AI263" i="3"/>
  <c r="AH321" i="3"/>
  <c r="AK149" i="3"/>
  <c r="AK150" i="3"/>
  <c r="AM147" i="3"/>
  <c r="AJ183" i="3"/>
  <c r="AJ221" i="3"/>
  <c r="AM16" i="3"/>
  <c r="AM17" i="3"/>
  <c r="AM15" i="3"/>
  <c r="AM262" i="3"/>
  <c r="AM20" i="3"/>
  <c r="AM23" i="3"/>
  <c r="AK222" i="3"/>
  <c r="AL15" i="3"/>
  <c r="AJ263" i="3"/>
  <c r="AI321" i="3"/>
  <c r="AM149" i="3"/>
  <c r="AM150" i="3"/>
  <c r="AN147" i="3"/>
  <c r="AL222" i="3"/>
  <c r="AK183" i="3"/>
  <c r="AK221" i="3"/>
  <c r="AL221" i="3"/>
  <c r="AN23" i="3"/>
  <c r="AN15" i="3"/>
  <c r="AN262" i="3"/>
  <c r="AN16" i="3"/>
  <c r="AN222" i="3"/>
  <c r="AN17" i="3"/>
  <c r="AN20" i="3"/>
  <c r="AK263" i="3"/>
  <c r="AJ321" i="3"/>
  <c r="AN149" i="3"/>
  <c r="AN150" i="3"/>
  <c r="AP147" i="3"/>
  <c r="AO147" i="3"/>
  <c r="AM183" i="3"/>
  <c r="AM221" i="3"/>
  <c r="AM222" i="3"/>
  <c r="AO17" i="3"/>
  <c r="AO15" i="3"/>
  <c r="AO262" i="3"/>
  <c r="AO16" i="3"/>
  <c r="AO222" i="3"/>
  <c r="AO23" i="3"/>
  <c r="AO20" i="3"/>
  <c r="AP17" i="3"/>
  <c r="AP16" i="3"/>
  <c r="AP222" i="3"/>
  <c r="AP23" i="3"/>
  <c r="AP20" i="3"/>
  <c r="AP15" i="3"/>
  <c r="AP262" i="3"/>
  <c r="AQ262" i="3"/>
  <c r="AL263" i="3"/>
  <c r="AM263" i="3"/>
  <c r="AM321" i="3"/>
  <c r="AK321" i="3"/>
  <c r="AL321" i="3"/>
  <c r="AO149" i="3"/>
  <c r="AO150" i="3"/>
  <c r="AP149" i="3"/>
  <c r="AP150" i="3"/>
  <c r="AN221" i="3"/>
  <c r="AN183" i="3"/>
  <c r="AQ20" i="3"/>
  <c r="AQ17" i="3"/>
  <c r="AQ23" i="3"/>
  <c r="AQ15" i="3"/>
  <c r="AQ16" i="3"/>
  <c r="AQ222" i="3"/>
  <c r="AN263" i="3"/>
  <c r="AO221" i="3"/>
  <c r="AO183" i="3"/>
  <c r="AP183" i="3"/>
  <c r="AP221" i="3"/>
  <c r="AQ221" i="3"/>
  <c r="AN321" i="3"/>
  <c r="AO263" i="3"/>
  <c r="AP263" i="3"/>
  <c r="AO321" i="3"/>
  <c r="AQ263" i="3"/>
  <c r="AP321" i="3"/>
  <c r="AQ321" i="3"/>
  <c r="L232" i="3"/>
  <c r="L228" i="3"/>
  <c r="L231" i="3"/>
  <c r="R231" i="3"/>
  <c r="O229" i="3"/>
  <c r="O228" i="3"/>
  <c r="O231" i="3"/>
  <c r="Q232" i="3"/>
  <c r="Q228" i="3"/>
  <c r="T228" i="3"/>
  <c r="U228" i="3"/>
  <c r="V228" i="3"/>
  <c r="X228" i="3"/>
  <c r="Y228" i="3"/>
  <c r="Z228" i="3"/>
  <c r="AA228" i="3"/>
  <c r="AC228" i="3"/>
  <c r="AD228" i="3"/>
  <c r="AE228" i="3"/>
  <c r="AF228" i="3"/>
  <c r="AH228" i="3"/>
  <c r="AI228" i="3"/>
  <c r="AJ228" i="3"/>
  <c r="AK228" i="3"/>
  <c r="AM228" i="3"/>
  <c r="AN228" i="3"/>
  <c r="AO228" i="3"/>
  <c r="AP228" i="3"/>
  <c r="Q231" i="3"/>
  <c r="Q229" i="3"/>
  <c r="L229" i="3"/>
  <c r="L230" i="3"/>
  <c r="Q230" i="3"/>
  <c r="T229" i="3"/>
  <c r="U229" i="3"/>
  <c r="V229" i="3"/>
  <c r="X229" i="3"/>
  <c r="Y229" i="3"/>
  <c r="Z229" i="3"/>
  <c r="AA229" i="3"/>
  <c r="AC229" i="3"/>
  <c r="AD229" i="3"/>
  <c r="AE229" i="3"/>
  <c r="AF229" i="3"/>
  <c r="AH229" i="3"/>
  <c r="AI229" i="3"/>
  <c r="AJ229" i="3"/>
  <c r="AK229" i="3"/>
  <c r="AM229" i="3"/>
  <c r="AN229" i="3"/>
  <c r="AO229" i="3"/>
  <c r="AP229" i="3"/>
  <c r="T285" i="3"/>
  <c r="U285" i="3"/>
  <c r="T335" i="3"/>
  <c r="T232" i="3"/>
  <c r="T42" i="3"/>
  <c r="T41" i="3"/>
  <c r="U232" i="3"/>
  <c r="U335" i="3"/>
  <c r="V285" i="3"/>
  <c r="V232" i="3"/>
  <c r="W232" i="3"/>
  <c r="V335" i="3"/>
  <c r="W335" i="3"/>
  <c r="X231" i="3"/>
  <c r="T334" i="3"/>
  <c r="U41" i="3"/>
  <c r="U42" i="3"/>
  <c r="X335" i="3"/>
  <c r="X285" i="3"/>
  <c r="W285" i="3"/>
  <c r="V41" i="3"/>
  <c r="U334" i="3"/>
  <c r="X232" i="3"/>
  <c r="Y231" i="3"/>
  <c r="Y335" i="3"/>
  <c r="V42" i="3"/>
  <c r="X42" i="3"/>
  <c r="X41" i="3"/>
  <c r="X334" i="3"/>
  <c r="Y285" i="3"/>
  <c r="Z231" i="3"/>
  <c r="Z335" i="3"/>
  <c r="Y232" i="3"/>
  <c r="V334" i="3"/>
  <c r="Y41" i="3"/>
  <c r="Y334" i="3"/>
  <c r="Y42" i="3"/>
  <c r="Z285" i="3"/>
  <c r="W334" i="3"/>
  <c r="AA231" i="3"/>
  <c r="AA335" i="3"/>
  <c r="AB335" i="3"/>
  <c r="Z232" i="3"/>
  <c r="AB231" i="3"/>
  <c r="Z41" i="3"/>
  <c r="Z334" i="3"/>
  <c r="Z42" i="3"/>
  <c r="AA285" i="3"/>
  <c r="AC231" i="3"/>
  <c r="AA232" i="3"/>
  <c r="AA41" i="3"/>
  <c r="AA334" i="3"/>
  <c r="AB334" i="3"/>
  <c r="AC335" i="3"/>
  <c r="AB232" i="3"/>
  <c r="AA42" i="3"/>
  <c r="AC285" i="3"/>
  <c r="AB285" i="3"/>
  <c r="AD231" i="3"/>
  <c r="AD335" i="3"/>
  <c r="AC232" i="3"/>
  <c r="AC42" i="3"/>
  <c r="AC41" i="3"/>
  <c r="AC334" i="3"/>
  <c r="AD285" i="3"/>
  <c r="AD232" i="3"/>
  <c r="AE231" i="3"/>
  <c r="AE335" i="3"/>
  <c r="AD42" i="3"/>
  <c r="AE285" i="3"/>
  <c r="AD41" i="3"/>
  <c r="AD334" i="3"/>
  <c r="AE232" i="3"/>
  <c r="AF231" i="3"/>
  <c r="AF335" i="3"/>
  <c r="AG335" i="3"/>
  <c r="AH231" i="3"/>
  <c r="AI231" i="3"/>
  <c r="AJ231" i="3"/>
  <c r="AK231" i="3"/>
  <c r="AM231" i="3"/>
  <c r="AG231" i="3"/>
  <c r="AE42" i="3"/>
  <c r="AE41" i="3"/>
  <c r="AE334" i="3"/>
  <c r="AF285" i="3"/>
  <c r="AF232" i="3"/>
  <c r="AG232" i="3"/>
  <c r="AH335" i="3"/>
  <c r="AN231" i="3"/>
  <c r="AO231" i="3"/>
  <c r="AP231" i="3"/>
  <c r="AF41" i="3"/>
  <c r="AF334" i="3"/>
  <c r="AG334" i="3"/>
  <c r="AF42" i="3"/>
  <c r="AH285" i="3"/>
  <c r="AG285" i="3"/>
  <c r="AH232" i="3"/>
  <c r="AQ231" i="3"/>
  <c r="AI335" i="3"/>
  <c r="AH41" i="3"/>
  <c r="AH334" i="3"/>
  <c r="AI285" i="3"/>
  <c r="AH42" i="3"/>
  <c r="AI232" i="3"/>
  <c r="AJ335" i="3"/>
  <c r="AI41" i="3"/>
  <c r="AI334" i="3"/>
  <c r="AJ285" i="3"/>
  <c r="AI42" i="3"/>
  <c r="AK335" i="3"/>
  <c r="AL335" i="3"/>
  <c r="AJ232" i="3"/>
  <c r="AL231" i="3"/>
  <c r="AJ42" i="3"/>
  <c r="AK285" i="3"/>
  <c r="AL285" i="3"/>
  <c r="AJ41" i="3"/>
  <c r="AJ334" i="3"/>
  <c r="AK232" i="3"/>
  <c r="AL232" i="3"/>
  <c r="AM335" i="3"/>
  <c r="AK41" i="3"/>
  <c r="AK334" i="3"/>
  <c r="AL334" i="3"/>
  <c r="AM285" i="3"/>
  <c r="AK42" i="3"/>
  <c r="AM232" i="3"/>
  <c r="AN335" i="3"/>
  <c r="AM41" i="3"/>
  <c r="AM334" i="3"/>
  <c r="AM42" i="3"/>
  <c r="AN285" i="3"/>
  <c r="AN232" i="3"/>
  <c r="AO335" i="3"/>
  <c r="AN41" i="3"/>
  <c r="AN334" i="3"/>
  <c r="AN42" i="3"/>
  <c r="AO285" i="3"/>
  <c r="AP335" i="3"/>
  <c r="AQ335" i="3"/>
  <c r="AO232" i="3"/>
  <c r="AO41" i="3"/>
  <c r="AO334" i="3"/>
  <c r="AP285" i="3"/>
  <c r="AQ285" i="3"/>
  <c r="AO42" i="3"/>
  <c r="AP232" i="3"/>
  <c r="AP41" i="3"/>
  <c r="AP334" i="3"/>
  <c r="AQ334" i="3"/>
  <c r="AQ232" i="3"/>
  <c r="AP42" i="3"/>
  <c r="R273" i="3"/>
  <c r="R287" i="3"/>
  <c r="R288" i="3"/>
  <c r="R195" i="3"/>
  <c r="R196" i="3"/>
  <c r="W195" i="3"/>
  <c r="W268" i="3"/>
  <c r="T268" i="3"/>
  <c r="U268" i="3"/>
  <c r="V268" i="3"/>
  <c r="AB195" i="3"/>
  <c r="AB268" i="3"/>
  <c r="W196" i="3"/>
  <c r="AG195" i="3"/>
  <c r="AG268" i="3"/>
  <c r="AB196" i="3"/>
  <c r="T322" i="3"/>
  <c r="AL195" i="3"/>
  <c r="AL268" i="3"/>
  <c r="U322" i="3"/>
  <c r="AG196" i="3"/>
  <c r="AQ195" i="3"/>
  <c r="AQ268" i="3"/>
  <c r="V322" i="3"/>
  <c r="W322" i="3"/>
  <c r="AL196" i="3"/>
  <c r="AQ196" i="3"/>
  <c r="X268" i="3"/>
  <c r="W320" i="3"/>
  <c r="Y268" i="3"/>
  <c r="Z268" i="3"/>
  <c r="AA268" i="3"/>
  <c r="AA322" i="3"/>
  <c r="Q286" i="3"/>
  <c r="Q287" i="3"/>
  <c r="Q288" i="3"/>
  <c r="Q301" i="3"/>
  <c r="AC268" i="3"/>
  <c r="AD268" i="3"/>
  <c r="AE268" i="3"/>
  <c r="AF268" i="3"/>
  <c r="AF322" i="3"/>
  <c r="AH268" i="3"/>
  <c r="AI268" i="3"/>
  <c r="AJ268" i="3"/>
  <c r="AK268" i="3"/>
  <c r="AM268" i="3"/>
  <c r="AN268" i="3"/>
  <c r="AO268" i="3"/>
  <c r="AP268" i="3"/>
  <c r="S224" i="3"/>
  <c r="E25" i="26"/>
  <c r="E38" i="26"/>
  <c r="G12" i="26"/>
  <c r="S38" i="3"/>
  <c r="S44" i="3"/>
  <c r="S40" i="3"/>
  <c r="S45" i="3"/>
  <c r="E26" i="26"/>
  <c r="F13" i="26"/>
  <c r="D39" i="26"/>
  <c r="S43" i="3"/>
  <c r="S309" i="3"/>
  <c r="E27" i="26"/>
  <c r="E40" i="26"/>
  <c r="F14" i="26"/>
  <c r="E39" i="26"/>
  <c r="G13" i="26"/>
  <c r="G14" i="26"/>
  <c r="D40" i="26"/>
  <c r="S286" i="3"/>
  <c r="S301" i="3"/>
  <c r="T301" i="3"/>
  <c r="U301" i="3"/>
  <c r="V301" i="3"/>
  <c r="X301" i="3"/>
  <c r="Y301" i="3"/>
  <c r="Z301" i="3"/>
  <c r="AA301" i="3"/>
  <c r="AC301" i="3"/>
  <c r="AD301" i="3"/>
  <c r="AE301" i="3"/>
  <c r="AF301" i="3"/>
  <c r="AH301" i="3"/>
  <c r="AI301" i="3"/>
  <c r="AJ301" i="3"/>
  <c r="AK301" i="3"/>
  <c r="AM301" i="3"/>
  <c r="AN301" i="3"/>
  <c r="AO301" i="3"/>
  <c r="AP301" i="3"/>
  <c r="T29" i="3"/>
  <c r="S338" i="3"/>
  <c r="S265" i="3"/>
  <c r="S273" i="3"/>
  <c r="S287" i="3"/>
  <c r="W264" i="3"/>
  <c r="X322" i="3"/>
  <c r="Y322" i="3"/>
  <c r="Z322" i="3"/>
  <c r="AB264" i="3"/>
  <c r="AB322" i="3"/>
  <c r="AC322" i="3"/>
  <c r="AD322" i="3"/>
  <c r="AE322" i="3"/>
  <c r="AG322" i="3"/>
  <c r="AG264" i="3"/>
  <c r="AH322" i="3"/>
  <c r="AI322" i="3"/>
  <c r="AJ322" i="3"/>
  <c r="AL264" i="3"/>
  <c r="AK322" i="3"/>
  <c r="AL322" i="3"/>
  <c r="AM322" i="3"/>
  <c r="AN322" i="3"/>
  <c r="AO322" i="3"/>
  <c r="AP322" i="3"/>
  <c r="AQ322" i="3"/>
  <c r="AQ264" i="3"/>
  <c r="S323" i="3"/>
  <c r="S340" i="3"/>
  <c r="S342" i="3"/>
  <c r="T341" i="3"/>
  <c r="S247" i="3"/>
  <c r="W310" i="3"/>
  <c r="S36" i="3"/>
  <c r="F11" i="26"/>
  <c r="D37" i="26"/>
  <c r="S356" i="3"/>
  <c r="S304" i="3"/>
  <c r="G11" i="26"/>
  <c r="E24" i="26"/>
  <c r="E37" i="26"/>
  <c r="S347" i="3"/>
  <c r="S349" i="3"/>
  <c r="S252" i="3"/>
  <c r="S258" i="3"/>
  <c r="S288" i="3"/>
  <c r="T30" i="3"/>
  <c r="T31" i="3"/>
  <c r="T34" i="3"/>
  <c r="S70" i="3"/>
  <c r="S184" i="3"/>
  <c r="S176" i="3"/>
  <c r="T176" i="3"/>
  <c r="U176" i="3"/>
  <c r="V176" i="3"/>
  <c r="X176" i="3"/>
  <c r="Y176" i="3"/>
  <c r="Z176" i="3"/>
  <c r="AA176" i="3"/>
  <c r="AC176" i="3"/>
  <c r="AD176" i="3"/>
  <c r="AE176" i="3"/>
  <c r="AF176" i="3"/>
  <c r="AH176" i="3"/>
  <c r="AI176" i="3"/>
  <c r="AJ176" i="3"/>
  <c r="AK176" i="3"/>
  <c r="AM176" i="3"/>
  <c r="AN176" i="3"/>
  <c r="AO176" i="3"/>
  <c r="AP176" i="3"/>
  <c r="S65" i="3"/>
  <c r="T65" i="3"/>
  <c r="S71" i="3"/>
  <c r="T66" i="3"/>
  <c r="U65" i="3"/>
  <c r="S182" i="3"/>
  <c r="S178" i="3"/>
  <c r="S183" i="3"/>
  <c r="U66" i="3"/>
  <c r="V65" i="3"/>
  <c r="T70" i="3"/>
  <c r="T19" i="3"/>
  <c r="T223" i="3"/>
  <c r="T182" i="3"/>
  <c r="T24" i="3"/>
  <c r="T25" i="3"/>
  <c r="T71" i="3"/>
  <c r="V66" i="3"/>
  <c r="X65" i="3"/>
  <c r="U19" i="3"/>
  <c r="U70" i="3"/>
  <c r="U71" i="3"/>
  <c r="Y65" i="3"/>
  <c r="X66" i="3"/>
  <c r="V70" i="3"/>
  <c r="V71" i="3"/>
  <c r="V19" i="3"/>
  <c r="T184" i="3"/>
  <c r="T218" i="3"/>
  <c r="T35" i="3"/>
  <c r="T27" i="3"/>
  <c r="T219" i="3"/>
  <c r="U24" i="3"/>
  <c r="U25" i="3"/>
  <c r="U223" i="3"/>
  <c r="U182" i="3"/>
  <c r="T36" i="3"/>
  <c r="J24" i="26"/>
  <c r="J37" i="26"/>
  <c r="T37" i="3"/>
  <c r="T40" i="3"/>
  <c r="J25" i="26"/>
  <c r="J38" i="26"/>
  <c r="X70" i="3"/>
  <c r="X19" i="3"/>
  <c r="V182" i="3"/>
  <c r="V223" i="3"/>
  <c r="V24" i="3"/>
  <c r="V25" i="3"/>
  <c r="W19" i="3"/>
  <c r="U218" i="3"/>
  <c r="U184" i="3"/>
  <c r="U27" i="3"/>
  <c r="U219" i="3"/>
  <c r="J22" i="26"/>
  <c r="W70" i="3"/>
  <c r="W71" i="3"/>
  <c r="Y66" i="3"/>
  <c r="Z65" i="3"/>
  <c r="T38" i="3"/>
  <c r="T309" i="3"/>
  <c r="Z66" i="3"/>
  <c r="AA65" i="3"/>
  <c r="J23" i="26"/>
  <c r="J36" i="26"/>
  <c r="J35" i="26"/>
  <c r="Y19" i="3"/>
  <c r="Y70" i="3"/>
  <c r="Y71" i="3"/>
  <c r="M22" i="26"/>
  <c r="W223" i="3"/>
  <c r="W24" i="3"/>
  <c r="W25" i="3"/>
  <c r="X223" i="3"/>
  <c r="X182" i="3"/>
  <c r="X24" i="3"/>
  <c r="X25" i="3"/>
  <c r="J26" i="26"/>
  <c r="J39" i="26"/>
  <c r="T45" i="3"/>
  <c r="V218" i="3"/>
  <c r="V184" i="3"/>
  <c r="V27" i="3"/>
  <c r="V219" i="3"/>
  <c r="X71" i="3"/>
  <c r="T44" i="3"/>
  <c r="T43" i="3"/>
  <c r="P22" i="26"/>
  <c r="T323" i="3"/>
  <c r="T356" i="3"/>
  <c r="T279" i="3"/>
  <c r="W27" i="3"/>
  <c r="W219" i="3"/>
  <c r="W218" i="3"/>
  <c r="AA66" i="3"/>
  <c r="AC65" i="3"/>
  <c r="M35" i="26"/>
  <c r="M23" i="26"/>
  <c r="M36" i="26"/>
  <c r="X218" i="3"/>
  <c r="X184" i="3"/>
  <c r="X27" i="3"/>
  <c r="X219" i="3"/>
  <c r="J27" i="26"/>
  <c r="J40" i="26"/>
  <c r="Y223" i="3"/>
  <c r="Y182" i="3"/>
  <c r="Y24" i="3"/>
  <c r="Y25" i="3"/>
  <c r="Z70" i="3"/>
  <c r="Z19" i="3"/>
  <c r="Y218" i="3"/>
  <c r="Y184" i="3"/>
  <c r="Y27" i="3"/>
  <c r="Y219" i="3"/>
  <c r="AA70" i="3"/>
  <c r="AA71" i="3"/>
  <c r="AA19" i="3"/>
  <c r="AB19" i="3"/>
  <c r="T286" i="3"/>
  <c r="Z182" i="3"/>
  <c r="Z223" i="3"/>
  <c r="Z24" i="3"/>
  <c r="Z25" i="3"/>
  <c r="S22" i="26"/>
  <c r="Z71" i="3"/>
  <c r="AC66" i="3"/>
  <c r="AD65" i="3"/>
  <c r="P35" i="26"/>
  <c r="P23" i="26"/>
  <c r="P36" i="26"/>
  <c r="AB70" i="3"/>
  <c r="AB71" i="3"/>
  <c r="AB223" i="3"/>
  <c r="AB24" i="3"/>
  <c r="AB25" i="3"/>
  <c r="Z218" i="3"/>
  <c r="Z184" i="3"/>
  <c r="Z27" i="3"/>
  <c r="Z219" i="3"/>
  <c r="AD66" i="3"/>
  <c r="AE65" i="3"/>
  <c r="AA182" i="3"/>
  <c r="AA223" i="3"/>
  <c r="AA24" i="3"/>
  <c r="AA25" i="3"/>
  <c r="T266" i="3"/>
  <c r="T332" i="3"/>
  <c r="T261" i="3"/>
  <c r="T331" i="3"/>
  <c r="T260" i="3"/>
  <c r="AC70" i="3"/>
  <c r="AC71" i="3"/>
  <c r="AC19" i="3"/>
  <c r="S35" i="26"/>
  <c r="S23" i="26"/>
  <c r="S36" i="26"/>
  <c r="AA184" i="3"/>
  <c r="AA218" i="3"/>
  <c r="AA27" i="3"/>
  <c r="AA219" i="3"/>
  <c r="AD70" i="3"/>
  <c r="AD71" i="3"/>
  <c r="AD19" i="3"/>
  <c r="AB218" i="3"/>
  <c r="AB27" i="3"/>
  <c r="AB219" i="3"/>
  <c r="T348" i="3"/>
  <c r="T265" i="3"/>
  <c r="T273" i="3"/>
  <c r="T287" i="3"/>
  <c r="T304" i="3"/>
  <c r="U29" i="3"/>
  <c r="T330" i="3"/>
  <c r="AC182" i="3"/>
  <c r="AC223" i="3"/>
  <c r="AC24" i="3"/>
  <c r="AC25" i="3"/>
  <c r="AE66" i="3"/>
  <c r="AF65" i="3"/>
  <c r="AF66" i="3"/>
  <c r="AH65" i="3"/>
  <c r="AD182" i="3"/>
  <c r="AD24" i="3"/>
  <c r="AD25" i="3"/>
  <c r="AD223" i="3"/>
  <c r="T338" i="3"/>
  <c r="T340" i="3"/>
  <c r="T342" i="3"/>
  <c r="AE70" i="3"/>
  <c r="AE71" i="3"/>
  <c r="AE19" i="3"/>
  <c r="AC218" i="3"/>
  <c r="AC27" i="3"/>
  <c r="AC219" i="3"/>
  <c r="AC184" i="3"/>
  <c r="AH66" i="3"/>
  <c r="AI65" i="3"/>
  <c r="AD184" i="3"/>
  <c r="AD218" i="3"/>
  <c r="AD27" i="3"/>
  <c r="AD219" i="3"/>
  <c r="AF70" i="3"/>
  <c r="AF71" i="3"/>
  <c r="AF19" i="3"/>
  <c r="AG19" i="3"/>
  <c r="T247" i="3"/>
  <c r="U341" i="3"/>
  <c r="AE182" i="3"/>
  <c r="AE223" i="3"/>
  <c r="AE24" i="3"/>
  <c r="AE25" i="3"/>
  <c r="AG223" i="3"/>
  <c r="AG24" i="3"/>
  <c r="AG25" i="3"/>
  <c r="AE184" i="3"/>
  <c r="AE218" i="3"/>
  <c r="AE27" i="3"/>
  <c r="AE219" i="3"/>
  <c r="T347" i="3"/>
  <c r="T349" i="3"/>
  <c r="T252" i="3"/>
  <c r="T258" i="3"/>
  <c r="T288" i="3"/>
  <c r="U30" i="3"/>
  <c r="AH70" i="3"/>
  <c r="AH71" i="3"/>
  <c r="AH19" i="3"/>
  <c r="AJ65" i="3"/>
  <c r="AI66" i="3"/>
  <c r="AF223" i="3"/>
  <c r="AF182" i="3"/>
  <c r="AF24" i="3"/>
  <c r="AF25" i="3"/>
  <c r="AF218" i="3"/>
  <c r="AF184" i="3"/>
  <c r="AF27" i="3"/>
  <c r="AF219" i="3"/>
  <c r="AJ66" i="3"/>
  <c r="AK65" i="3"/>
  <c r="AG218" i="3"/>
  <c r="AG27" i="3"/>
  <c r="AG219" i="3"/>
  <c r="AH182" i="3"/>
  <c r="AH223" i="3"/>
  <c r="AH24" i="3"/>
  <c r="AH25" i="3"/>
  <c r="AI70" i="3"/>
  <c r="AI71" i="3"/>
  <c r="AI19" i="3"/>
  <c r="U31" i="3"/>
  <c r="U34" i="3"/>
  <c r="AK66" i="3"/>
  <c r="AM65" i="3"/>
  <c r="AI182" i="3"/>
  <c r="AI223" i="3"/>
  <c r="AI24" i="3"/>
  <c r="AI25" i="3"/>
  <c r="U35" i="3"/>
  <c r="AH184" i="3"/>
  <c r="AH218" i="3"/>
  <c r="AH27" i="3"/>
  <c r="AH219" i="3"/>
  <c r="AJ70" i="3"/>
  <c r="AJ71" i="3"/>
  <c r="AJ19" i="3"/>
  <c r="AJ223" i="3"/>
  <c r="AJ182" i="3"/>
  <c r="AJ24" i="3"/>
  <c r="AJ25" i="3"/>
  <c r="AI184" i="3"/>
  <c r="AI218" i="3"/>
  <c r="AI27" i="3"/>
  <c r="AI219" i="3"/>
  <c r="AK70" i="3"/>
  <c r="AK71" i="3"/>
  <c r="AK19" i="3"/>
  <c r="AL19" i="3"/>
  <c r="U36" i="3"/>
  <c r="M24" i="26"/>
  <c r="M37" i="26"/>
  <c r="U37" i="3"/>
  <c r="U38" i="3"/>
  <c r="M25" i="26"/>
  <c r="M38" i="26"/>
  <c r="AM66" i="3"/>
  <c r="AN65" i="3"/>
  <c r="U309" i="3"/>
  <c r="U43" i="3"/>
  <c r="U44" i="3"/>
  <c r="AJ184" i="3"/>
  <c r="AJ218" i="3"/>
  <c r="AJ27" i="3"/>
  <c r="AJ219" i="3"/>
  <c r="AM70" i="3"/>
  <c r="AM71" i="3"/>
  <c r="AM19" i="3"/>
  <c r="AL223" i="3"/>
  <c r="AL24" i="3"/>
  <c r="AL25" i="3"/>
  <c r="AK223" i="3"/>
  <c r="AK24" i="3"/>
  <c r="AK25" i="3"/>
  <c r="AK182" i="3"/>
  <c r="AO65" i="3"/>
  <c r="AN66" i="3"/>
  <c r="U40" i="3"/>
  <c r="AP65" i="3"/>
  <c r="AP66" i="3"/>
  <c r="AO66" i="3"/>
  <c r="U45" i="3"/>
  <c r="M26" i="26"/>
  <c r="M39" i="26"/>
  <c r="AK184" i="3"/>
  <c r="AK27" i="3"/>
  <c r="AK219" i="3"/>
  <c r="AK218" i="3"/>
  <c r="AM223" i="3"/>
  <c r="AM182" i="3"/>
  <c r="AM24" i="3"/>
  <c r="AM25" i="3"/>
  <c r="U323" i="3"/>
  <c r="U356" i="3"/>
  <c r="U279" i="3"/>
  <c r="AL218" i="3"/>
  <c r="AL27" i="3"/>
  <c r="AL219" i="3"/>
  <c r="AN70" i="3"/>
  <c r="AN71" i="3"/>
  <c r="AN19" i="3"/>
  <c r="AN182" i="3"/>
  <c r="AN223" i="3"/>
  <c r="AN24" i="3"/>
  <c r="AN25" i="3"/>
  <c r="U286" i="3"/>
  <c r="AO70" i="3"/>
  <c r="AO71" i="3"/>
  <c r="AO19" i="3"/>
  <c r="AM218" i="3"/>
  <c r="AM184" i="3"/>
  <c r="AM27" i="3"/>
  <c r="AM219" i="3"/>
  <c r="M27" i="26"/>
  <c r="M40" i="26"/>
  <c r="AP70" i="3"/>
  <c r="AP71" i="3"/>
  <c r="AP19" i="3"/>
  <c r="AQ19" i="3"/>
  <c r="AQ223" i="3"/>
  <c r="AN218" i="3"/>
  <c r="AN184" i="3"/>
  <c r="AN27" i="3"/>
  <c r="AN219" i="3"/>
  <c r="AP182" i="3"/>
  <c r="AP223" i="3"/>
  <c r="AP24" i="3"/>
  <c r="AP25" i="3"/>
  <c r="U266" i="3"/>
  <c r="U332" i="3"/>
  <c r="U261" i="3"/>
  <c r="U331" i="3"/>
  <c r="U260" i="3"/>
  <c r="AO223" i="3"/>
  <c r="AO182" i="3"/>
  <c r="AO24" i="3"/>
  <c r="AO25" i="3"/>
  <c r="AQ24" i="3"/>
  <c r="AQ25" i="3"/>
  <c r="AQ218" i="3"/>
  <c r="V29" i="3"/>
  <c r="U304" i="3"/>
  <c r="U330" i="3"/>
  <c r="U265" i="3"/>
  <c r="U273" i="3"/>
  <c r="U287" i="3"/>
  <c r="U348" i="3"/>
  <c r="AO218" i="3"/>
  <c r="AO184" i="3"/>
  <c r="AO27" i="3"/>
  <c r="AO219" i="3"/>
  <c r="AP184" i="3"/>
  <c r="AP218" i="3"/>
  <c r="AP27" i="3"/>
  <c r="AP219" i="3"/>
  <c r="AQ27" i="3"/>
  <c r="AQ219" i="3"/>
  <c r="U338" i="3"/>
  <c r="U340" i="3"/>
  <c r="U342" i="3"/>
  <c r="W29" i="3"/>
  <c r="U247" i="3"/>
  <c r="V341" i="3"/>
  <c r="U252" i="3"/>
  <c r="U258" i="3"/>
  <c r="U288" i="3"/>
  <c r="V30" i="3"/>
  <c r="U347" i="3"/>
  <c r="U349" i="3"/>
  <c r="W30" i="3"/>
  <c r="V31" i="3"/>
  <c r="V34" i="3"/>
  <c r="V35" i="3"/>
  <c r="W31" i="3"/>
  <c r="W34" i="3"/>
  <c r="W35" i="3"/>
  <c r="V37" i="3"/>
  <c r="V38" i="3"/>
  <c r="V36" i="3"/>
  <c r="P24" i="26"/>
  <c r="P37" i="26"/>
  <c r="P25" i="26"/>
  <c r="P38" i="26"/>
  <c r="V43" i="3"/>
  <c r="V309" i="3"/>
  <c r="V44" i="3"/>
  <c r="W37" i="3"/>
  <c r="V40" i="3"/>
  <c r="W36" i="3"/>
  <c r="W224" i="3"/>
  <c r="W40" i="3"/>
  <c r="W38" i="3"/>
  <c r="V323" i="3"/>
  <c r="V356" i="3"/>
  <c r="V279" i="3"/>
  <c r="V286" i="3"/>
  <c r="P26" i="26"/>
  <c r="P39" i="26"/>
  <c r="V45" i="3"/>
  <c r="P27" i="26"/>
  <c r="P40" i="26"/>
  <c r="C6" i="3"/>
  <c r="W41" i="3"/>
  <c r="W43" i="3"/>
  <c r="W42" i="3"/>
  <c r="W44" i="3"/>
  <c r="W309" i="3"/>
  <c r="W323" i="3"/>
  <c r="W279" i="3"/>
  <c r="W286" i="3"/>
  <c r="W45" i="3"/>
  <c r="W220" i="3"/>
  <c r="V261" i="3"/>
  <c r="V266" i="3"/>
  <c r="V260" i="3"/>
  <c r="W356" i="3"/>
  <c r="W343" i="3"/>
  <c r="W345" i="3"/>
  <c r="W266" i="3"/>
  <c r="V332" i="3"/>
  <c r="W332" i="3"/>
  <c r="V304" i="3"/>
  <c r="W260" i="3"/>
  <c r="V265" i="3"/>
  <c r="V348" i="3"/>
  <c r="W304" i="3"/>
  <c r="V330" i="3"/>
  <c r="W261" i="3"/>
  <c r="W226" i="3"/>
  <c r="X226" i="3"/>
  <c r="Y226" i="3"/>
  <c r="Z226" i="3"/>
  <c r="AA226" i="3"/>
  <c r="V331" i="3"/>
  <c r="W331" i="3"/>
  <c r="V273" i="3"/>
  <c r="V287" i="3"/>
  <c r="X29" i="3"/>
  <c r="V338" i="3"/>
  <c r="V340" i="3"/>
  <c r="V342" i="3"/>
  <c r="V247" i="3"/>
  <c r="W330" i="3"/>
  <c r="W338" i="3"/>
  <c r="W340" i="3"/>
  <c r="W342" i="3"/>
  <c r="W348" i="3"/>
  <c r="W265" i="3"/>
  <c r="W273" i="3"/>
  <c r="W287" i="3"/>
  <c r="AB341" i="3"/>
  <c r="X341" i="3"/>
  <c r="V347" i="3"/>
  <c r="V349" i="3"/>
  <c r="W247" i="3"/>
  <c r="V252" i="3"/>
  <c r="V258" i="3"/>
  <c r="V288" i="3"/>
  <c r="W252" i="3"/>
  <c r="W258" i="3"/>
  <c r="W288" i="3"/>
  <c r="W347" i="3"/>
  <c r="W349" i="3"/>
  <c r="W225" i="3"/>
  <c r="X225" i="3"/>
  <c r="Y225" i="3"/>
  <c r="Z225" i="3"/>
  <c r="AA225" i="3"/>
  <c r="X30" i="3"/>
  <c r="X31" i="3"/>
  <c r="X34" i="3"/>
  <c r="X35" i="3"/>
  <c r="X36" i="3"/>
  <c r="S24" i="26"/>
  <c r="S37" i="26"/>
  <c r="X37" i="3"/>
  <c r="X38" i="3"/>
  <c r="S25" i="26"/>
  <c r="S38" i="26"/>
  <c r="X40" i="3"/>
  <c r="X44" i="3"/>
  <c r="X43" i="3"/>
  <c r="X309" i="3"/>
  <c r="S26" i="26"/>
  <c r="S39" i="26"/>
  <c r="X45" i="3"/>
  <c r="S27" i="26"/>
  <c r="S40" i="26"/>
  <c r="X323" i="3"/>
  <c r="X356" i="3"/>
  <c r="X279" i="3"/>
  <c r="X286" i="3"/>
  <c r="X261" i="3"/>
  <c r="X331" i="3"/>
  <c r="X266" i="3"/>
  <c r="X332" i="3"/>
  <c r="X260" i="3"/>
  <c r="X304" i="3"/>
  <c r="X348" i="3"/>
  <c r="Y29" i="3"/>
  <c r="X265" i="3"/>
  <c r="X273" i="3"/>
  <c r="X287" i="3"/>
  <c r="X330" i="3"/>
  <c r="X338" i="3"/>
  <c r="X340" i="3"/>
  <c r="X342" i="3"/>
  <c r="X247" i="3"/>
  <c r="Y341" i="3"/>
  <c r="Y30" i="3"/>
  <c r="X347" i="3"/>
  <c r="X349" i="3"/>
  <c r="X252" i="3"/>
  <c r="X258" i="3"/>
  <c r="X288" i="3"/>
  <c r="Y31" i="3"/>
  <c r="Y34" i="3"/>
  <c r="Y35" i="3"/>
  <c r="Y37" i="3"/>
  <c r="Y38" i="3"/>
  <c r="Y36" i="3"/>
  <c r="Y44" i="3"/>
  <c r="Y309" i="3"/>
  <c r="Y43" i="3"/>
  <c r="Y40" i="3"/>
  <c r="Y45" i="3"/>
  <c r="Y323" i="3"/>
  <c r="Y356" i="3"/>
  <c r="Y279" i="3"/>
  <c r="Y286" i="3"/>
  <c r="Y261" i="3"/>
  <c r="Y331" i="3"/>
  <c r="Y266" i="3"/>
  <c r="Y332" i="3"/>
  <c r="Y260" i="3"/>
  <c r="Y348" i="3"/>
  <c r="Y304" i="3"/>
  <c r="Y265" i="3"/>
  <c r="Y273" i="3"/>
  <c r="Y287" i="3"/>
  <c r="Y330" i="3"/>
  <c r="Z29" i="3"/>
  <c r="Y338" i="3"/>
  <c r="Y340" i="3"/>
  <c r="Y342" i="3"/>
  <c r="Y247" i="3"/>
  <c r="Z341" i="3"/>
  <c r="Z30" i="3"/>
  <c r="Y252" i="3"/>
  <c r="Y258" i="3"/>
  <c r="Y288" i="3"/>
  <c r="Y347" i="3"/>
  <c r="Y349" i="3"/>
  <c r="Z31" i="3"/>
  <c r="Z34" i="3"/>
  <c r="Z35" i="3"/>
  <c r="Z37" i="3"/>
  <c r="Z38" i="3"/>
  <c r="Z36" i="3"/>
  <c r="Z44" i="3"/>
  <c r="Z43" i="3"/>
  <c r="Z309" i="3"/>
  <c r="Z40" i="3"/>
  <c r="Z45" i="3"/>
  <c r="Z323" i="3"/>
  <c r="Z356" i="3"/>
  <c r="Z279" i="3"/>
  <c r="Z286" i="3"/>
  <c r="Z266" i="3"/>
  <c r="Z332" i="3"/>
  <c r="Z260" i="3"/>
  <c r="Z261" i="3"/>
  <c r="Z331" i="3"/>
  <c r="Z348" i="3"/>
  <c r="AA29" i="3"/>
  <c r="Z265" i="3"/>
  <c r="Z273" i="3"/>
  <c r="Z287" i="3"/>
  <c r="Z330" i="3"/>
  <c r="Z304" i="3"/>
  <c r="AB29" i="3"/>
  <c r="Z338" i="3"/>
  <c r="Z340" i="3"/>
  <c r="Z342" i="3"/>
  <c r="Z247" i="3"/>
  <c r="AA341" i="3"/>
  <c r="Z347" i="3"/>
  <c r="Z349" i="3"/>
  <c r="Z252" i="3"/>
  <c r="Z258" i="3"/>
  <c r="Z288" i="3"/>
  <c r="AA30" i="3"/>
  <c r="AB30" i="3"/>
  <c r="AA31" i="3"/>
  <c r="AA34" i="3"/>
  <c r="AA35" i="3"/>
  <c r="AB31" i="3"/>
  <c r="AB34" i="3"/>
  <c r="AB35" i="3"/>
  <c r="AA37" i="3"/>
  <c r="AA36" i="3"/>
  <c r="AB37" i="3"/>
  <c r="AB38" i="3"/>
  <c r="AA40" i="3"/>
  <c r="AA45" i="3"/>
  <c r="AA38" i="3"/>
  <c r="AB36" i="3"/>
  <c r="AB309" i="3"/>
  <c r="AB323" i="3"/>
  <c r="AB42" i="3"/>
  <c r="AB44" i="3"/>
  <c r="AB41" i="3"/>
  <c r="AB43" i="3"/>
  <c r="AA44" i="3"/>
  <c r="AA43" i="3"/>
  <c r="AA309" i="3"/>
  <c r="AB224" i="3"/>
  <c r="AB40" i="3"/>
  <c r="AA323" i="3"/>
  <c r="AA356" i="3"/>
  <c r="AA279" i="3"/>
  <c r="AB45" i="3"/>
  <c r="AB220" i="3"/>
  <c r="AB343" i="3"/>
  <c r="AB345" i="3"/>
  <c r="AB356" i="3"/>
  <c r="AA286" i="3"/>
  <c r="AB279" i="3"/>
  <c r="AB286" i="3"/>
  <c r="AA261" i="3"/>
  <c r="AA266" i="3"/>
  <c r="AA260" i="3"/>
  <c r="AA332" i="3"/>
  <c r="AB332" i="3"/>
  <c r="AB266" i="3"/>
  <c r="AB261" i="3"/>
  <c r="AA331" i="3"/>
  <c r="AB331" i="3"/>
  <c r="AA348" i="3"/>
  <c r="AA265" i="3"/>
  <c r="AA273" i="3"/>
  <c r="AA287" i="3"/>
  <c r="AB304" i="3"/>
  <c r="AA304" i="3"/>
  <c r="AB260" i="3"/>
  <c r="AA330" i="3"/>
  <c r="AB226" i="3"/>
  <c r="AC226" i="3"/>
  <c r="AA338" i="3"/>
  <c r="AA340" i="3"/>
  <c r="AA342" i="3"/>
  <c r="AA247" i="3"/>
  <c r="AB330" i="3"/>
  <c r="AB338" i="3"/>
  <c r="AB340" i="3"/>
  <c r="AB342" i="3"/>
  <c r="AB348" i="3"/>
  <c r="AB265" i="3"/>
  <c r="AB273" i="3"/>
  <c r="AB287" i="3"/>
  <c r="AD226" i="3"/>
  <c r="AE226" i="3"/>
  <c r="AF226" i="3"/>
  <c r="AC29" i="3"/>
  <c r="AA347" i="3"/>
  <c r="AA349" i="3"/>
  <c r="AA252" i="3"/>
  <c r="AA258" i="3"/>
  <c r="AA288" i="3"/>
  <c r="AB247" i="3"/>
  <c r="AC341" i="3"/>
  <c r="AG341" i="3"/>
  <c r="AB252" i="3"/>
  <c r="AB258" i="3"/>
  <c r="AB288" i="3"/>
  <c r="AB347" i="3"/>
  <c r="AB349" i="3"/>
  <c r="AB225" i="3"/>
  <c r="AC225" i="3"/>
  <c r="AD225" i="3"/>
  <c r="AE225" i="3"/>
  <c r="AF225" i="3"/>
  <c r="AC30" i="3"/>
  <c r="AC31" i="3"/>
  <c r="AC34" i="3"/>
  <c r="AC35" i="3"/>
  <c r="AC36" i="3"/>
  <c r="AC37" i="3"/>
  <c r="AC40" i="3"/>
  <c r="AC45" i="3"/>
  <c r="AC38" i="3"/>
  <c r="AC43" i="3"/>
  <c r="AC44" i="3"/>
  <c r="AC309" i="3"/>
  <c r="AC323" i="3"/>
  <c r="AC356" i="3"/>
  <c r="AC279" i="3"/>
  <c r="AC286" i="3"/>
  <c r="AC266" i="3"/>
  <c r="AC332" i="3"/>
  <c r="AC261" i="3"/>
  <c r="AC331" i="3"/>
  <c r="AC260" i="3"/>
  <c r="AC348" i="3"/>
  <c r="AC304" i="3"/>
  <c r="AC265" i="3"/>
  <c r="AC273" i="3"/>
  <c r="AC287" i="3"/>
  <c r="AC330" i="3"/>
  <c r="AD29" i="3"/>
  <c r="AC338" i="3"/>
  <c r="AC340" i="3"/>
  <c r="AC342" i="3"/>
  <c r="AC247" i="3"/>
  <c r="AD341" i="3"/>
  <c r="AC252" i="3"/>
  <c r="AC258" i="3"/>
  <c r="AC288" i="3"/>
  <c r="AC347" i="3"/>
  <c r="AC349" i="3"/>
  <c r="AD30" i="3"/>
  <c r="AD31" i="3"/>
  <c r="AD34" i="3"/>
  <c r="AD35" i="3"/>
  <c r="AD36" i="3"/>
  <c r="AD37" i="3"/>
  <c r="AD38" i="3"/>
  <c r="AD44" i="3"/>
  <c r="AD309" i="3"/>
  <c r="AD43" i="3"/>
  <c r="AD40" i="3"/>
  <c r="AD45" i="3"/>
  <c r="AD323" i="3"/>
  <c r="AD356" i="3"/>
  <c r="AD279" i="3"/>
  <c r="AD286" i="3"/>
  <c r="AD266" i="3"/>
  <c r="AD332" i="3"/>
  <c r="AD260" i="3"/>
  <c r="AD261" i="3"/>
  <c r="AD331" i="3"/>
  <c r="AD348" i="3"/>
  <c r="AD265" i="3"/>
  <c r="AD273" i="3"/>
  <c r="AD287" i="3"/>
  <c r="AE29" i="3"/>
  <c r="AD330" i="3"/>
  <c r="AD304" i="3"/>
  <c r="AD338" i="3"/>
  <c r="AD340" i="3"/>
  <c r="AD342" i="3"/>
  <c r="AD247" i="3"/>
  <c r="AE341" i="3"/>
  <c r="AE30" i="3"/>
  <c r="AD252" i="3"/>
  <c r="AD258" i="3"/>
  <c r="AD288" i="3"/>
  <c r="AD347" i="3"/>
  <c r="AD349" i="3"/>
  <c r="AE31" i="3"/>
  <c r="AE34" i="3"/>
  <c r="AE35" i="3"/>
  <c r="AE36" i="3"/>
  <c r="AE37" i="3"/>
  <c r="AE38" i="3"/>
  <c r="AE44" i="3"/>
  <c r="AE43" i="3"/>
  <c r="AE309" i="3"/>
  <c r="AE40" i="3"/>
  <c r="AE45" i="3"/>
  <c r="AE323" i="3"/>
  <c r="AE356" i="3"/>
  <c r="AE279" i="3"/>
  <c r="AE286" i="3"/>
  <c r="AE261" i="3"/>
  <c r="AE331" i="3"/>
  <c r="AE266" i="3"/>
  <c r="AE332" i="3"/>
  <c r="AE260" i="3"/>
  <c r="AE304" i="3"/>
  <c r="AE265" i="3"/>
  <c r="AE273" i="3"/>
  <c r="AE287" i="3"/>
  <c r="AE330" i="3"/>
  <c r="AE348" i="3"/>
  <c r="AF29" i="3"/>
  <c r="AE338" i="3"/>
  <c r="AE340" i="3"/>
  <c r="AE342" i="3"/>
  <c r="AG29" i="3"/>
  <c r="AF341" i="3"/>
  <c r="AE247" i="3"/>
  <c r="AF30" i="3"/>
  <c r="AE252" i="3"/>
  <c r="AE258" i="3"/>
  <c r="AE288" i="3"/>
  <c r="AE347" i="3"/>
  <c r="AE349" i="3"/>
  <c r="AG30" i="3"/>
  <c r="AF31" i="3"/>
  <c r="AF34" i="3"/>
  <c r="AF35" i="3"/>
  <c r="AG31" i="3"/>
  <c r="AG34" i="3"/>
  <c r="AG35" i="3"/>
  <c r="AF37" i="3"/>
  <c r="AF36" i="3"/>
  <c r="AG37" i="3"/>
  <c r="AG38" i="3"/>
  <c r="AF40" i="3"/>
  <c r="AF45" i="3"/>
  <c r="AF38" i="3"/>
  <c r="AG36" i="3"/>
  <c r="AF44" i="3"/>
  <c r="AF43" i="3"/>
  <c r="AF309" i="3"/>
  <c r="AG309" i="3"/>
  <c r="AG323" i="3"/>
  <c r="AG42" i="3"/>
  <c r="AG44" i="3"/>
  <c r="AG41" i="3"/>
  <c r="AG43" i="3"/>
  <c r="AG224" i="3"/>
  <c r="AG40" i="3"/>
  <c r="AF323" i="3"/>
  <c r="AF356" i="3"/>
  <c r="AF279" i="3"/>
  <c r="AG45" i="3"/>
  <c r="AG220" i="3"/>
  <c r="AG343" i="3"/>
  <c r="AG345" i="3"/>
  <c r="AG356" i="3"/>
  <c r="AG279" i="3"/>
  <c r="AG286" i="3"/>
  <c r="AF286" i="3"/>
  <c r="AF261" i="3"/>
  <c r="AF266" i="3"/>
  <c r="AF260" i="3"/>
  <c r="AF304" i="3"/>
  <c r="AF348" i="3"/>
  <c r="AG304" i="3"/>
  <c r="AF265" i="3"/>
  <c r="AF273" i="3"/>
  <c r="AF287" i="3"/>
  <c r="AF330" i="3"/>
  <c r="AG260" i="3"/>
  <c r="AF332" i="3"/>
  <c r="AG332" i="3"/>
  <c r="AG266" i="3"/>
  <c r="AF331" i="3"/>
  <c r="AG331" i="3"/>
  <c r="AG261" i="3"/>
  <c r="AG226" i="3"/>
  <c r="AH226" i="3"/>
  <c r="AI226" i="3"/>
  <c r="AJ226" i="3"/>
  <c r="AK226" i="3"/>
  <c r="AG348" i="3"/>
  <c r="AG265" i="3"/>
  <c r="AG273" i="3"/>
  <c r="AG287" i="3"/>
  <c r="AF338" i="3"/>
  <c r="AF340" i="3"/>
  <c r="AF342" i="3"/>
  <c r="AF247" i="3"/>
  <c r="AG330" i="3"/>
  <c r="AG338" i="3"/>
  <c r="AG340" i="3"/>
  <c r="AG342" i="3"/>
  <c r="AH29" i="3"/>
  <c r="AL341" i="3"/>
  <c r="AH341" i="3"/>
  <c r="AF347" i="3"/>
  <c r="AF349" i="3"/>
  <c r="AG247" i="3"/>
  <c r="AF252" i="3"/>
  <c r="AF258" i="3"/>
  <c r="AF288" i="3"/>
  <c r="AG347" i="3"/>
  <c r="AG349" i="3"/>
  <c r="AG252" i="3"/>
  <c r="AG258" i="3"/>
  <c r="AG288" i="3"/>
  <c r="AG225" i="3"/>
  <c r="AH225" i="3"/>
  <c r="AI225" i="3"/>
  <c r="AJ225" i="3"/>
  <c r="AK225" i="3"/>
  <c r="AH30" i="3"/>
  <c r="AH31" i="3"/>
  <c r="AH34" i="3"/>
  <c r="AH35" i="3"/>
  <c r="AH36" i="3"/>
  <c r="AH37" i="3"/>
  <c r="AH40" i="3"/>
  <c r="AH45" i="3"/>
  <c r="AH38" i="3"/>
  <c r="AH43" i="3"/>
  <c r="AH44" i="3"/>
  <c r="AH309" i="3"/>
  <c r="AH323" i="3"/>
  <c r="AH356" i="3"/>
  <c r="AH279" i="3"/>
  <c r="AH286" i="3"/>
  <c r="AH261" i="3"/>
  <c r="AH331" i="3"/>
  <c r="AH260" i="3"/>
  <c r="AH266" i="3"/>
  <c r="AH332" i="3"/>
  <c r="AH348" i="3"/>
  <c r="AH304" i="3"/>
  <c r="AH265" i="3"/>
  <c r="AH273" i="3"/>
  <c r="AH287" i="3"/>
  <c r="AI29" i="3"/>
  <c r="AH330" i="3"/>
  <c r="AH338" i="3"/>
  <c r="AH340" i="3"/>
  <c r="AH342" i="3"/>
  <c r="AH247" i="3"/>
  <c r="AI341" i="3"/>
  <c r="AI30" i="3"/>
  <c r="AH252" i="3"/>
  <c r="AH258" i="3"/>
  <c r="AH288" i="3"/>
  <c r="AH347" i="3"/>
  <c r="AH349" i="3"/>
  <c r="AI31" i="3"/>
  <c r="AI34" i="3"/>
  <c r="AI35" i="3"/>
  <c r="AI36" i="3"/>
  <c r="AI37" i="3"/>
  <c r="AI38" i="3"/>
  <c r="AI43" i="3"/>
  <c r="AI44" i="3"/>
  <c r="AI309" i="3"/>
  <c r="AI40" i="3"/>
  <c r="AI45" i="3"/>
  <c r="AI323" i="3"/>
  <c r="AI356" i="3"/>
  <c r="AI279" i="3"/>
  <c r="AI286" i="3"/>
  <c r="AI260" i="3"/>
  <c r="AI261" i="3"/>
  <c r="AI331" i="3"/>
  <c r="AI266" i="3"/>
  <c r="AI332" i="3"/>
  <c r="AI265" i="3"/>
  <c r="AI273" i="3"/>
  <c r="AI287" i="3"/>
  <c r="AI348" i="3"/>
  <c r="AJ29" i="3"/>
  <c r="AI330" i="3"/>
  <c r="AI304" i="3"/>
  <c r="AI338" i="3"/>
  <c r="AI340" i="3"/>
  <c r="AI342" i="3"/>
  <c r="AI247" i="3"/>
  <c r="AJ341" i="3"/>
  <c r="AI252" i="3"/>
  <c r="AI258" i="3"/>
  <c r="AI288" i="3"/>
  <c r="AJ30" i="3"/>
  <c r="AI347" i="3"/>
  <c r="AI349" i="3"/>
  <c r="AJ31" i="3"/>
  <c r="AJ34" i="3"/>
  <c r="AJ35" i="3"/>
  <c r="AJ36" i="3"/>
  <c r="AJ37" i="3"/>
  <c r="AJ40" i="3"/>
  <c r="AJ45" i="3"/>
  <c r="AJ38" i="3"/>
  <c r="AJ43" i="3"/>
  <c r="AJ44" i="3"/>
  <c r="AJ309" i="3"/>
  <c r="AJ323" i="3"/>
  <c r="AJ356" i="3"/>
  <c r="AJ279" i="3"/>
  <c r="AJ286" i="3"/>
  <c r="AJ260" i="3"/>
  <c r="AJ261" i="3"/>
  <c r="AJ331" i="3"/>
  <c r="AJ266" i="3"/>
  <c r="AJ332" i="3"/>
  <c r="AJ304" i="3"/>
  <c r="AK29" i="3"/>
  <c r="AJ330" i="3"/>
  <c r="AJ348" i="3"/>
  <c r="AJ265" i="3"/>
  <c r="AJ273" i="3"/>
  <c r="AJ287" i="3"/>
  <c r="AL29" i="3"/>
  <c r="AJ338" i="3"/>
  <c r="AJ340" i="3"/>
  <c r="AJ342" i="3"/>
  <c r="AJ247" i="3"/>
  <c r="AK341" i="3"/>
  <c r="AK30" i="3"/>
  <c r="AJ347" i="3"/>
  <c r="AJ349" i="3"/>
  <c r="AJ252" i="3"/>
  <c r="AJ258" i="3"/>
  <c r="AJ288" i="3"/>
  <c r="AL30" i="3"/>
  <c r="AK31" i="3"/>
  <c r="AK34" i="3"/>
  <c r="AK35" i="3"/>
  <c r="AL31" i="3"/>
  <c r="AL34" i="3"/>
  <c r="AL35" i="3"/>
  <c r="AK36" i="3"/>
  <c r="AK37" i="3"/>
  <c r="AK38" i="3"/>
  <c r="AL37" i="3"/>
  <c r="AL38" i="3"/>
  <c r="AK40" i="3"/>
  <c r="AK45" i="3"/>
  <c r="AK309" i="3"/>
  <c r="AK43" i="3"/>
  <c r="AK44" i="3"/>
  <c r="AL36" i="3"/>
  <c r="AL309" i="3"/>
  <c r="AL323" i="3"/>
  <c r="AL41" i="3"/>
  <c r="AL43" i="3"/>
  <c r="AL42" i="3"/>
  <c r="AL44" i="3"/>
  <c r="AK323" i="3"/>
  <c r="AK356" i="3"/>
  <c r="AK279" i="3"/>
  <c r="AL224" i="3"/>
  <c r="AL40" i="3"/>
  <c r="AL45" i="3"/>
  <c r="AL220" i="3"/>
  <c r="AL356" i="3"/>
  <c r="AL343" i="3"/>
  <c r="AL345" i="3"/>
  <c r="AL279" i="3"/>
  <c r="AL286" i="3"/>
  <c r="AK286" i="3"/>
  <c r="AK266" i="3"/>
  <c r="AK260" i="3"/>
  <c r="AK261" i="3"/>
  <c r="AL304" i="3"/>
  <c r="AK348" i="3"/>
  <c r="AK304" i="3"/>
  <c r="AL260" i="3"/>
  <c r="AK330" i="3"/>
  <c r="AK265" i="3"/>
  <c r="AK273" i="3"/>
  <c r="AK287" i="3"/>
  <c r="AK332" i="3"/>
  <c r="AL332" i="3"/>
  <c r="AL266" i="3"/>
  <c r="AK331" i="3"/>
  <c r="AL331" i="3"/>
  <c r="AL261" i="3"/>
  <c r="AL226" i="3"/>
  <c r="AM226" i="3"/>
  <c r="AN226" i="3"/>
  <c r="AO226" i="3"/>
  <c r="AP226" i="3"/>
  <c r="AK338" i="3"/>
  <c r="AK340" i="3"/>
  <c r="AK342" i="3"/>
  <c r="AK247" i="3"/>
  <c r="AL330" i="3"/>
  <c r="AL338" i="3"/>
  <c r="AL340" i="3"/>
  <c r="AL342" i="3"/>
  <c r="AL348" i="3"/>
  <c r="AL265" i="3"/>
  <c r="AL273" i="3"/>
  <c r="AL287" i="3"/>
  <c r="AM29" i="3"/>
  <c r="AL247" i="3"/>
  <c r="AK347" i="3"/>
  <c r="AK349" i="3"/>
  <c r="AK252" i="3"/>
  <c r="AK258" i="3"/>
  <c r="AK288" i="3"/>
  <c r="AQ341" i="3"/>
  <c r="AM341" i="3"/>
  <c r="AL347" i="3"/>
  <c r="AL349" i="3"/>
  <c r="AL252" i="3"/>
  <c r="AL258" i="3"/>
  <c r="AL288" i="3"/>
  <c r="AL225" i="3"/>
  <c r="AM225" i="3"/>
  <c r="AN225" i="3"/>
  <c r="AO225" i="3"/>
  <c r="AP225" i="3"/>
  <c r="AM30" i="3"/>
  <c r="AM31" i="3"/>
  <c r="AM34" i="3"/>
  <c r="AM35" i="3"/>
  <c r="AM36" i="3"/>
  <c r="AM37" i="3"/>
  <c r="AM38" i="3"/>
  <c r="AM44" i="3"/>
  <c r="AM43" i="3"/>
  <c r="AM309" i="3"/>
  <c r="AM40" i="3"/>
  <c r="AM45" i="3"/>
  <c r="AM323" i="3"/>
  <c r="AM356" i="3"/>
  <c r="AM279" i="3"/>
  <c r="AM286" i="3"/>
  <c r="AM266" i="3"/>
  <c r="AM332" i="3"/>
  <c r="AM261" i="3"/>
  <c r="AM331" i="3"/>
  <c r="AM260" i="3"/>
  <c r="AN29" i="3"/>
  <c r="AM304" i="3"/>
  <c r="AM348" i="3"/>
  <c r="AM265" i="3"/>
  <c r="AM273" i="3"/>
  <c r="AM287" i="3"/>
  <c r="AM330" i="3"/>
  <c r="AM338" i="3"/>
  <c r="AM340" i="3"/>
  <c r="AM342" i="3"/>
  <c r="AM247" i="3"/>
  <c r="AN341" i="3"/>
  <c r="AN30" i="3"/>
  <c r="AM347" i="3"/>
  <c r="AM349" i="3"/>
  <c r="AM252" i="3"/>
  <c r="AM258" i="3"/>
  <c r="AM288" i="3"/>
  <c r="AN31" i="3"/>
  <c r="AN34" i="3"/>
  <c r="AN35" i="3"/>
  <c r="AN36" i="3"/>
  <c r="AN37" i="3"/>
  <c r="AN38" i="3"/>
  <c r="AN43" i="3"/>
  <c r="AN44" i="3"/>
  <c r="AN309" i="3"/>
  <c r="AN40" i="3"/>
  <c r="AN45" i="3"/>
  <c r="AN323" i="3"/>
  <c r="AN356" i="3"/>
  <c r="AN279" i="3"/>
  <c r="AN286" i="3"/>
  <c r="AN266" i="3"/>
  <c r="AN332" i="3"/>
  <c r="AN261" i="3"/>
  <c r="AN331" i="3"/>
  <c r="AN260" i="3"/>
  <c r="AN304" i="3"/>
  <c r="AN330" i="3"/>
  <c r="AO29" i="3"/>
  <c r="AN265" i="3"/>
  <c r="AN273" i="3"/>
  <c r="AN287" i="3"/>
  <c r="AN348" i="3"/>
  <c r="AN338" i="3"/>
  <c r="AN340" i="3"/>
  <c r="AN342" i="3"/>
  <c r="AO341" i="3"/>
  <c r="AN247" i="3"/>
  <c r="AO30" i="3"/>
  <c r="AN347" i="3"/>
  <c r="AN349" i="3"/>
  <c r="AN252" i="3"/>
  <c r="AN258" i="3"/>
  <c r="AN288" i="3"/>
  <c r="AO31" i="3"/>
  <c r="AO34" i="3"/>
  <c r="AO35" i="3"/>
  <c r="AO36" i="3"/>
  <c r="AO37" i="3"/>
  <c r="AO40" i="3"/>
  <c r="AO45" i="3"/>
  <c r="AO38" i="3"/>
  <c r="AO44" i="3"/>
  <c r="AO43" i="3"/>
  <c r="AO309" i="3"/>
  <c r="AO323" i="3"/>
  <c r="AO356" i="3"/>
  <c r="AO279" i="3"/>
  <c r="AO286" i="3"/>
  <c r="AO261" i="3"/>
  <c r="AO331" i="3"/>
  <c r="AO266" i="3"/>
  <c r="AO332" i="3"/>
  <c r="AO260" i="3"/>
  <c r="AO304" i="3"/>
  <c r="AP29" i="3"/>
  <c r="AO265" i="3"/>
  <c r="AO273" i="3"/>
  <c r="AO287" i="3"/>
  <c r="AO330" i="3"/>
  <c r="AO348" i="3"/>
  <c r="AQ29" i="3"/>
  <c r="AO338" i="3"/>
  <c r="AO340" i="3"/>
  <c r="AO342" i="3"/>
  <c r="AP341" i="3"/>
  <c r="AO247" i="3"/>
  <c r="AP30" i="3"/>
  <c r="AO252" i="3"/>
  <c r="AO258" i="3"/>
  <c r="AO288" i="3"/>
  <c r="AO347" i="3"/>
  <c r="AO349" i="3"/>
  <c r="AQ30" i="3"/>
  <c r="AP31" i="3"/>
  <c r="AP34" i="3"/>
  <c r="AP35" i="3"/>
  <c r="AQ31" i="3"/>
  <c r="AQ34" i="3"/>
  <c r="AQ35" i="3"/>
  <c r="AP36" i="3"/>
  <c r="AP37" i="3"/>
  <c r="AP38" i="3"/>
  <c r="AP44" i="3"/>
  <c r="AP43" i="3"/>
  <c r="AP309" i="3"/>
  <c r="AQ37" i="3"/>
  <c r="AP40" i="3"/>
  <c r="AP45" i="3"/>
  <c r="AQ36" i="3"/>
  <c r="AQ224" i="3"/>
  <c r="AQ40" i="3"/>
  <c r="AQ38" i="3"/>
  <c r="AP323" i="3"/>
  <c r="AP356" i="3"/>
  <c r="AP279" i="3"/>
  <c r="AQ309" i="3"/>
  <c r="AQ323" i="3"/>
  <c r="AQ42" i="3"/>
  <c r="AQ45" i="3"/>
  <c r="AQ220" i="3"/>
  <c r="AQ41" i="3"/>
  <c r="AQ43" i="3"/>
  <c r="AP286" i="3"/>
  <c r="AQ279" i="3"/>
  <c r="AQ286" i="3"/>
  <c r="AQ356" i="3"/>
  <c r="AQ343" i="3"/>
  <c r="AQ345" i="3"/>
  <c r="C394" i="3"/>
  <c r="AQ44" i="3"/>
  <c r="AP266" i="3"/>
  <c r="AP261" i="3"/>
  <c r="AP260" i="3"/>
  <c r="AQ261" i="3"/>
  <c r="AP331" i="3"/>
  <c r="AQ331" i="3"/>
  <c r="AP332" i="3"/>
  <c r="AQ332" i="3"/>
  <c r="AQ266" i="3"/>
  <c r="AQ304" i="3"/>
  <c r="AP348" i="3"/>
  <c r="AP304" i="3"/>
  <c r="AP330" i="3"/>
  <c r="AP265" i="3"/>
  <c r="AP273" i="3"/>
  <c r="AP287" i="3"/>
  <c r="AQ260" i="3"/>
  <c r="C393" i="3"/>
  <c r="C396" i="3"/>
  <c r="AQ348" i="3"/>
  <c r="AQ265" i="3"/>
  <c r="AQ273" i="3"/>
  <c r="AQ287" i="3"/>
  <c r="AP338" i="3"/>
  <c r="AP340" i="3"/>
  <c r="AP342" i="3"/>
  <c r="AP247" i="3"/>
  <c r="AQ330" i="3"/>
  <c r="AQ338" i="3"/>
  <c r="AQ340" i="3"/>
  <c r="AQ342" i="3"/>
  <c r="AQ226" i="3"/>
  <c r="C7" i="3"/>
  <c r="C8" i="3"/>
  <c r="C406" i="3"/>
  <c r="C370" i="3"/>
  <c r="AP252" i="3"/>
  <c r="AP258" i="3"/>
  <c r="AP288" i="3"/>
  <c r="AP347" i="3"/>
  <c r="AP349" i="3"/>
  <c r="AQ247" i="3"/>
  <c r="C9" i="3"/>
  <c r="AQ347" i="3"/>
  <c r="AQ349" i="3"/>
  <c r="AQ252" i="3"/>
  <c r="AQ258" i="3"/>
  <c r="AQ288" i="3"/>
  <c r="AQ22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GE User</author>
    <author>Owner</author>
  </authors>
  <commentList>
    <comment ref="W18" authorId="0" shapeId="0" xr:uid="{5571E9B1-1654-4F63-B66C-731AAF5EEC45}">
      <text>
        <r>
          <rPr>
            <sz val="9"/>
            <color indexed="81"/>
            <rFont val="Tahoma"/>
            <family val="2"/>
          </rPr>
          <t>Management guided depreciation &amp; amortization expense to ~$3B. 
Source: F4Q2018 earnings call 6/19/2018</t>
        </r>
      </text>
    </comment>
    <comment ref="S29" authorId="0" shapeId="0" xr:uid="{87CC66F6-0ED2-439B-B649-76B746E1E333}">
      <text>
        <r>
          <rPr>
            <sz val="9"/>
            <color indexed="81"/>
            <rFont val="Tahoma"/>
            <family val="2"/>
          </rPr>
          <t>From the 10-Q Supplemental Cash Flow information</t>
        </r>
      </text>
    </comment>
    <comment ref="W42" authorId="0" shapeId="0" xr:uid="{C66305EE-A86D-4D8D-A560-A89657FE1417}">
      <text>
        <r>
          <rPr>
            <sz val="9"/>
            <color indexed="81"/>
            <rFont val="Tahoma"/>
            <family val="2"/>
          </rPr>
          <t>Management's guidance for the expected TNT integration expense of $425M or $1.35 per share implies a FY2019 share count of 270M shares.
Original Source: F4Q2018 earnings call 6/19/2018
Reaffirmed: F1Q2019 earnings call 9/17/2018</t>
        </r>
      </text>
    </comment>
    <comment ref="W45" authorId="0" shapeId="0" xr:uid="{EE093795-DD6B-465A-BD6D-B908ACB7545E}">
      <text>
        <r>
          <rPr>
            <sz val="9"/>
            <color indexed="81"/>
            <rFont val="Tahoma"/>
            <family val="2"/>
          </rPr>
          <t xml:space="preserve">Management guided FY2019 diluted EPS excluding the MTM retirement adjustment and TNT Integration expense between $17.20 and $17.80.
Source: F1Q2019 earnings call 9/17/2018
</t>
        </r>
        <r>
          <rPr>
            <b/>
            <sz val="9"/>
            <color indexed="81"/>
            <rFont val="Tahoma"/>
            <family val="2"/>
          </rPr>
          <t>Historic Guidance:</t>
        </r>
        <r>
          <rPr>
            <sz val="9"/>
            <color indexed="81"/>
            <rFont val="Tahoma"/>
            <family val="2"/>
          </rPr>
          <t xml:space="preserve">
Management guided FY2019 diluted EPS excluding the MTM retirement adjustment and TNT Integration expense between $17.00 and $17.60.
Source: F4Q2018 earnings call 6/19/2018</t>
        </r>
      </text>
    </comment>
    <comment ref="AB71" authorId="0" shapeId="0" xr:uid="{9C006694-3409-415F-9E54-4E554D5B3CDC}">
      <text>
        <r>
          <rPr>
            <sz val="9"/>
            <color indexed="81"/>
            <rFont val="Tahoma"/>
            <family val="2"/>
          </rPr>
          <t xml:space="preserve">Management guided FY2020 Express Operating Income increase of $1.2B to $1.5B from FY2017 results.
Source: F4Q2018 earnings call 6/19/2018
Reaffirmed in F1Q2019 earnings press release on 9/17/2018. </t>
        </r>
      </text>
    </comment>
    <comment ref="B132" authorId="0" shapeId="0" xr:uid="{C842BFEF-5D3C-4DB4-80E9-8B42CB4B0182}">
      <text>
        <r>
          <rPr>
            <sz val="9"/>
            <color indexed="81"/>
            <rFont val="Tahoma"/>
            <family val="2"/>
          </rPr>
          <t>This row is used if the details in the company's stat book do not reconcile (i.e. Revenue per lb x operating days x average daily pounds does not equal total revenue, which indicates the need for an adjustment.</t>
        </r>
      </text>
    </comment>
    <comment ref="B136" authorId="0" shapeId="0" xr:uid="{2A45B567-F809-4920-A9D3-2F54BCE0737F}">
      <text>
        <r>
          <rPr>
            <sz val="9"/>
            <color indexed="81"/>
            <rFont val="Tahoma"/>
            <family val="2"/>
          </rPr>
          <t>Use this to back into total Ground Revenue</t>
        </r>
      </text>
    </comment>
    <comment ref="B174" authorId="0" shapeId="0" xr:uid="{4C6D9F26-DE3D-49EB-952A-A5DBFCF3575D}">
      <text>
        <r>
          <rPr>
            <sz val="9"/>
            <color indexed="81"/>
            <rFont val="Tahoma"/>
            <family val="2"/>
          </rPr>
          <t>This is the full impact of the operating income adjustment plus the difference between the operating revenue and operating income</t>
        </r>
      </text>
    </comment>
    <comment ref="B178" authorId="0" shapeId="0" xr:uid="{0D6A47B5-847A-41CC-92DC-42E860D06162}">
      <text>
        <r>
          <rPr>
            <sz val="9"/>
            <color indexed="81"/>
            <rFont val="Tahoma"/>
            <family val="2"/>
          </rPr>
          <t xml:space="preserve">Plug to all other operating expenses so that Net Operating Income foots. Then review "All other operating expense" relative to historic results to ensure reasonable. Note that if you try to back into this in the forecast period you would end up with a circular reference error. To estimate, start by setting equal to the prior period then adjust until operating income reconciles.
</t>
        </r>
      </text>
    </comment>
    <comment ref="B190" authorId="0" shapeId="0" xr:uid="{EE63B956-6130-4B3C-87DF-980FAF4034B9}">
      <text>
        <r>
          <rPr>
            <sz val="9"/>
            <color indexed="81"/>
            <rFont val="Tahoma"/>
            <family val="2"/>
          </rPr>
          <t>Must remain above 80%</t>
        </r>
      </text>
    </comment>
    <comment ref="B192" authorId="0" shapeId="0" xr:uid="{55CD12DC-13B9-41E5-9A3C-CA89738272F9}">
      <text>
        <r>
          <rPr>
            <sz val="9"/>
            <color indexed="81"/>
            <rFont val="Tahoma"/>
            <family val="2"/>
          </rPr>
          <t>This is primarily the portion of the periodic benefit related to the amortization of prior services credit  which is recognized through OCI</t>
        </r>
      </text>
    </comment>
    <comment ref="M199" authorId="0" shapeId="0" xr:uid="{C69B17EC-2DF4-4062-9FC7-44F0EAC0BEA8}">
      <text>
        <r>
          <rPr>
            <sz val="9"/>
            <color indexed="81"/>
            <rFont val="Tahoma"/>
            <family val="2"/>
          </rPr>
          <t>Benefit payments were higher in 2017 because former employees with vested pension plans were able to make a one-time election to receive their benefit as a lump sum, which incresed benefit payments by $1.3B.</t>
        </r>
      </text>
    </comment>
    <comment ref="H200" authorId="0" shapeId="0" xr:uid="{00C6529B-8D50-4D47-9F99-A2D755164665}">
      <text>
        <r>
          <rPr>
            <sz val="9"/>
            <color indexed="81"/>
            <rFont val="Tahoma"/>
            <family val="2"/>
          </rPr>
          <t>Higher due to impact of TNT acquisition.</t>
        </r>
      </text>
    </comment>
    <comment ref="H202" authorId="0" shapeId="0" xr:uid="{579AF088-4783-4311-BFFE-0D2B3FB84AEC}">
      <text>
        <r>
          <rPr>
            <sz val="9"/>
            <color indexed="81"/>
            <rFont val="Tahoma"/>
            <family val="2"/>
          </rPr>
          <t>Actual return of 1.2% was lower than the expected return of 6.5%.</t>
        </r>
      </text>
    </comment>
    <comment ref="M202" authorId="0" shapeId="0" xr:uid="{6F52A86F-22B4-433C-BAB7-988446472BB8}">
      <text>
        <r>
          <rPr>
            <sz val="9"/>
            <color indexed="81"/>
            <rFont val="Tahoma"/>
            <family val="2"/>
          </rPr>
          <t>Actual return of 9.6% was higher than the expected return of 6.5%.</t>
        </r>
      </text>
    </comment>
    <comment ref="R202" authorId="0" shapeId="0" xr:uid="{6112CCD8-BB97-4372-AFE6-D6BE29FBC3C7}">
      <text>
        <r>
          <rPr>
            <sz val="9"/>
            <color indexed="81"/>
            <rFont val="Tahoma"/>
            <family val="2"/>
          </rPr>
          <t>Actual return of 6.3% was lower than the expected return of 6.5%.</t>
        </r>
      </text>
    </comment>
    <comment ref="R203" authorId="0" shapeId="0" xr:uid="{49775B38-CF18-4788-9408-5FB01CF39DDE}">
      <text>
        <r>
          <rPr>
            <sz val="9"/>
            <color indexed="81"/>
            <rFont val="Tahoma"/>
            <family val="2"/>
          </rPr>
          <t>MetLife group annuity contract transfered ~$6 billion of U.S. Pension Plan obligations.</t>
        </r>
      </text>
    </comment>
    <comment ref="H204" authorId="0" shapeId="0" xr:uid="{CEF0FA89-F20D-41AE-9E93-C58B17A8AF6D}">
      <text>
        <r>
          <rPr>
            <sz val="9"/>
            <color indexed="81"/>
            <rFont val="Tahoma"/>
            <family val="2"/>
          </rPr>
          <t xml:space="preserve">Discount rate decreased from 4.38% in 2015 to 4.04% in 2016. </t>
        </r>
      </text>
    </comment>
    <comment ref="M204" authorId="0" shapeId="0" xr:uid="{F0607158-74C8-4FF0-AFC2-216C98ACEAB5}">
      <text>
        <r>
          <rPr>
            <sz val="9"/>
            <color indexed="81"/>
            <rFont val="Tahoma"/>
            <family val="2"/>
          </rPr>
          <t xml:space="preserve">Discount rate decreased from 4.04% in 2016 to 3.98% in 2017. </t>
        </r>
      </text>
    </comment>
    <comment ref="R204" authorId="0" shapeId="0" xr:uid="{96027B91-4C12-4F59-AEA2-AAC007039DD9}">
      <text>
        <r>
          <rPr>
            <sz val="9"/>
            <color indexed="81"/>
            <rFont val="Tahoma"/>
            <family val="2"/>
          </rPr>
          <t xml:space="preserve">Discount rate decreased from 3.98% in 2017 to 4.11% in 2018. </t>
        </r>
      </text>
    </comment>
    <comment ref="H205" authorId="0" shapeId="0" xr:uid="{A99056AB-32FE-402B-BF36-E4AE1767997F}">
      <text>
        <r>
          <rPr>
            <sz val="9"/>
            <color indexed="81"/>
            <rFont val="Tahoma"/>
            <family val="2"/>
          </rPr>
          <t>Impact of updated Mortality Tables.</t>
        </r>
      </text>
    </comment>
    <comment ref="M205" authorId="0" shapeId="0" xr:uid="{875E1C91-C4F4-44FB-80B8-A18DFE1F39AD}">
      <text>
        <r>
          <rPr>
            <sz val="9"/>
            <color indexed="81"/>
            <rFont val="Tahoma"/>
            <family val="2"/>
          </rPr>
          <t>Impact of updated Mortality Tables.</t>
        </r>
      </text>
    </comment>
    <comment ref="R205" authorId="0" shapeId="0" xr:uid="{25E04B8A-AFF1-4D8A-8087-E07CC38AB02C}">
      <text>
        <r>
          <rPr>
            <sz val="9"/>
            <color indexed="81"/>
            <rFont val="Tahoma"/>
            <family val="2"/>
          </rPr>
          <t>Impact of updated Mortality Tables.</t>
        </r>
      </text>
    </comment>
    <comment ref="W209" authorId="0" shapeId="0" xr:uid="{1EF73BCE-1A83-490F-B98E-297FD69CCC2E}">
      <text>
        <r>
          <rPr>
            <sz val="9"/>
            <color indexed="81"/>
            <rFont val="Tahoma"/>
            <family val="2"/>
          </rPr>
          <t>Last disclosed in May-2018 10-K</t>
        </r>
      </text>
    </comment>
    <comment ref="B211" authorId="0" shapeId="0" xr:uid="{2EA5235B-F6D5-4558-B8C4-9D99562D0E3D}">
      <text>
        <r>
          <rPr>
            <sz val="9"/>
            <color indexed="81"/>
            <rFont val="Tahoma"/>
            <family val="2"/>
          </rPr>
          <t xml:space="preserve">The rate used to discount Projected Benefit Obligation to net present value terms. Actuaries calcualte the rate based on a theoretical portfolio of high-grade corporate bonds (Aa or better).
</t>
        </r>
      </text>
    </comment>
    <comment ref="W212" authorId="0" shapeId="0" xr:uid="{FF8BA979-9ECC-4F80-BCF9-593BABE9E93C}">
      <text>
        <r>
          <rPr>
            <sz val="9"/>
            <color indexed="81"/>
            <rFont val="Tahoma"/>
            <family val="2"/>
          </rPr>
          <t>Last disclosed in May-2018 10-K</t>
        </r>
      </text>
    </comment>
    <comment ref="B215" authorId="0" shapeId="0" xr:uid="{2DFF789A-76A9-427A-A256-E2AAEBDFC1B6}">
      <text>
        <r>
          <rPr>
            <sz val="9"/>
            <color indexed="81"/>
            <rFont val="Tahoma"/>
            <family val="2"/>
          </rPr>
          <t>As mortality tables are published by the IRS, and actuaries analyze the expected impact, adjust the pension MtM forecast to incorporate the impact.</t>
        </r>
      </text>
    </comment>
    <comment ref="W217" authorId="0" shapeId="0" xr:uid="{259E0A5B-753A-444B-9EF2-1562975E61FE}">
      <text>
        <r>
          <rPr>
            <sz val="9"/>
            <color indexed="81"/>
            <rFont val="Tahoma"/>
            <family val="2"/>
          </rPr>
          <t>Management guided FY2019 revenue growth to ~9% 
Original Source: F4Q2018 earnings call 6/19/2018
Reaffirmed on: F1Q2019 earnings call 9/17/2018</t>
        </r>
      </text>
    </comment>
    <comment ref="W219" authorId="0" shapeId="0" xr:uid="{49404006-C1DB-4F42-BD5A-764744382BFA}">
      <text>
        <r>
          <rPr>
            <sz val="9"/>
            <color indexed="81"/>
            <rFont val="Tahoma"/>
            <family val="2"/>
          </rPr>
          <t>Management guided FY2019 operating margin to ~7.9% and 8.5% excluding TNT integration costs. 
Original Source: F4Q2018 earnings call 6/19/2018
Reaffirmed on: F1Q2019 earnings call 9/17/2018</t>
        </r>
      </text>
    </comment>
    <comment ref="W236" authorId="0" shapeId="0" xr:uid="{112C2E22-9290-4A83-A85C-6EE76FEC8811}">
      <text>
        <r>
          <rPr>
            <sz val="9"/>
            <color indexed="81"/>
            <rFont val="Tahoma"/>
            <family val="2"/>
          </rPr>
          <t>Management guided TNT integration expense to $450M $365M net of tax effect.
Source: F1Q2019 earnings call 9/17/2018</t>
        </r>
      </text>
    </comment>
    <comment ref="W237" authorId="0" shapeId="0" xr:uid="{66B38228-13A3-4CA3-8FE8-7DD42B8F9490}">
      <text>
        <r>
          <rPr>
            <sz val="9"/>
            <color indexed="81"/>
            <rFont val="Tahoma"/>
            <family val="2"/>
          </rPr>
          <t>Management guided TNT integration expense to $450M $365M net of tax effect.
Source: F1Q2019 earnings call 9/17/2018</t>
        </r>
      </text>
    </comment>
    <comment ref="B304" authorId="0" shapeId="0" xr:uid="{0AC8C104-EB4A-4380-855D-1388A823A7E5}">
      <text>
        <r>
          <rPr>
            <sz val="9"/>
            <color indexed="81"/>
            <rFont val="Tahoma"/>
            <family val="2"/>
          </rPr>
          <t xml:space="preserve">There is a covenant for the relvolving credit facility which requires the company to maintain a ratio of debt to consolidated earnings (excluding non-cash pension mark-to-market adjustments and non-cash asset impairment charges) before interest, taxes, depreciation and amortization (“adjusted EBITDA”) of not more than 3.5 to 1.0, calculated as of the end of the applicable quarter on a rolling four-quarters basis. 
</t>
        </r>
      </text>
    </comment>
    <comment ref="W325" authorId="0" shapeId="0" xr:uid="{66A64359-4E7E-442B-8289-5E351FE151F7}">
      <text>
        <r>
          <rPr>
            <sz val="9"/>
            <color indexed="81"/>
            <rFont val="Tahoma"/>
            <family val="2"/>
          </rPr>
          <t>Management guided FY2019 capex to $5.6B or ~8% of revenue.
Original Source: F4Q2018 earnings call 6/19/2018
Reaffirmed: F1Q2019 earnings call 9/17/2018</t>
        </r>
      </text>
    </comment>
    <comment ref="B343" authorId="0" shapeId="0" xr:uid="{FA95C4A7-0B69-4F13-92E4-DBC34B46CEE3}">
      <text>
        <r>
          <rPr>
            <sz val="9"/>
            <color indexed="81"/>
            <rFont val="Tahoma"/>
            <family val="2"/>
          </rPr>
          <t>Cash Flow from Operations - Capital Expenditures + After tax Interest Expense</t>
        </r>
      </text>
    </comment>
    <comment ref="C393" authorId="1" shapeId="0" xr:uid="{00000000-0006-0000-0200-000053000000}">
      <text>
        <r>
          <rPr>
            <b/>
            <sz val="9"/>
            <color indexed="81"/>
            <rFont val="Tahoma"/>
            <family val="2"/>
          </rPr>
          <t>Equation:
CFO:</t>
        </r>
        <r>
          <rPr>
            <sz val="9"/>
            <color indexed="81"/>
            <rFont val="Tahoma"/>
            <family val="2"/>
          </rPr>
          <t xml:space="preserve"> [CFO x (1 + Constant CFO growth rate)] 
</t>
        </r>
        <r>
          <rPr>
            <b/>
            <sz val="9"/>
            <color indexed="81"/>
            <rFont val="Tahoma"/>
            <family val="2"/>
          </rPr>
          <t>Minus Capex:</t>
        </r>
        <r>
          <rPr>
            <sz val="9"/>
            <color indexed="81"/>
            <rFont val="Tahoma"/>
            <family val="2"/>
          </rPr>
          <t xml:space="preserve"> [(Average Capex to sales ratio) x [Sales x (1 + Constant Sales growth rate)]
</t>
        </r>
        <r>
          <rPr>
            <b/>
            <sz val="9"/>
            <color indexed="81"/>
            <rFont val="Tahoma"/>
            <family val="2"/>
          </rPr>
          <t>Plus after-tax cost of debt:</t>
        </r>
        <r>
          <rPr>
            <sz val="9"/>
            <color indexed="81"/>
            <rFont val="Tahoma"/>
            <family val="2"/>
          </rPr>
          <t xml:space="preserve"> [After tax cost of debt x Long-Term debt] </t>
        </r>
      </text>
    </comment>
    <comment ref="C395" authorId="2" shapeId="0" xr:uid="{00000000-0006-0000-0200-000054000000}">
      <text>
        <r>
          <rPr>
            <sz val="9"/>
            <color indexed="81"/>
            <rFont val="Tahoma"/>
            <family val="2"/>
          </rPr>
          <t xml:space="preserve">This adds back cash and removes debt from the enterprise value to arrive at the equity only value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A01E0047-1F3B-4184-87CB-23C27F632E70}">
      <text>
        <r>
          <rPr>
            <sz val="9"/>
            <color indexed="81"/>
            <rFont val="Tahoma"/>
            <family val="2"/>
          </rPr>
          <t>Copy/paste special values before the next earnings release.</t>
        </r>
      </text>
    </comment>
    <comment ref="F7" authorId="0" shapeId="0" xr:uid="{68237BF9-C56C-40AE-BD0D-401A65884045}">
      <text>
        <r>
          <rPr>
            <sz val="9"/>
            <color indexed="81"/>
            <rFont val="Tahoma"/>
            <family val="2"/>
          </rPr>
          <t>To be updated after the next earnings release.</t>
        </r>
      </text>
    </comment>
    <comment ref="J7" authorId="0" shapeId="0" xr:uid="{62868D80-DFB2-4775-893B-2475C05A56A7}">
      <text>
        <r>
          <rPr>
            <sz val="9"/>
            <color indexed="81"/>
            <rFont val="Tahoma"/>
            <family val="2"/>
          </rPr>
          <t>Copy/paste special values before the next earnings release.</t>
        </r>
      </text>
    </comment>
    <comment ref="M7" authorId="0" shapeId="0" xr:uid="{1BC15715-6445-4BA1-9389-90A825CD4F93}">
      <text>
        <r>
          <rPr>
            <sz val="9"/>
            <color indexed="81"/>
            <rFont val="Tahoma"/>
            <family val="2"/>
          </rPr>
          <t>Copy/paste special values before the next earnings release.</t>
        </r>
      </text>
    </comment>
    <comment ref="P7" authorId="0" shapeId="0" xr:uid="{89EC3991-C938-47A0-8F06-52D73AA04710}">
      <text>
        <r>
          <rPr>
            <sz val="9"/>
            <color indexed="81"/>
            <rFont val="Tahoma"/>
            <family val="2"/>
          </rPr>
          <t>Copy/paste special values before the next earnings release.</t>
        </r>
      </text>
    </comment>
    <comment ref="S7" authorId="0" shapeId="0" xr:uid="{9CB28DE1-1C2E-4FD6-B9E8-A2B3EDD2B064}">
      <text>
        <r>
          <rPr>
            <sz val="9"/>
            <color indexed="81"/>
            <rFont val="Tahoma"/>
            <family val="2"/>
          </rPr>
          <t>Copy/paste special values before the next earnings release.</t>
        </r>
      </text>
    </comment>
    <comment ref="I20" authorId="0" shapeId="0" xr:uid="{C8AFC9B5-30E7-436D-A1B6-7C9EA17220D0}">
      <text>
        <r>
          <rPr>
            <sz val="9"/>
            <color indexed="81"/>
            <rFont val="Tahoma"/>
            <family val="2"/>
          </rPr>
          <t>Consensus will not update automatically. After the release pull the new consensus estimates after Analysts have updated their models.</t>
        </r>
      </text>
    </comment>
    <comment ref="J20" authorId="0" shapeId="0" xr:uid="{96BF3970-8392-4CA6-9EBF-FE9D29FC5ED1}">
      <text>
        <r>
          <rPr>
            <sz val="9"/>
            <color indexed="81"/>
            <rFont val="Tahoma"/>
            <family val="2"/>
          </rPr>
          <t>Cells are linked to the model. Values will change after the release as the model is updated.</t>
        </r>
      </text>
    </comment>
    <comment ref="M20" authorId="0" shapeId="0" xr:uid="{D23420D4-CD24-4549-9D57-A415D7235F46}">
      <text>
        <r>
          <rPr>
            <sz val="9"/>
            <color indexed="81"/>
            <rFont val="Tahoma"/>
            <family val="2"/>
          </rPr>
          <t>Cells are linked to the model. Values will change after the release as the model is updated.</t>
        </r>
      </text>
    </comment>
    <comment ref="P20" authorId="0" shapeId="0" xr:uid="{E220AA1B-BE0A-4DB6-A330-DB0123002C6F}">
      <text>
        <r>
          <rPr>
            <sz val="9"/>
            <color indexed="81"/>
            <rFont val="Tahoma"/>
            <family val="2"/>
          </rPr>
          <t>Cells are linked to the model. Values will change after the release as the model is updated.</t>
        </r>
      </text>
    </comment>
    <comment ref="S20" authorId="0" shapeId="0" xr:uid="{BA97E4AC-D545-40D3-82CA-BA4C858101DF}">
      <text>
        <r>
          <rPr>
            <sz val="9"/>
            <color indexed="81"/>
            <rFont val="Tahoma"/>
            <family val="2"/>
          </rPr>
          <t>Cells are linked to the model. Values will change after the release as the model is updated.</t>
        </r>
      </text>
    </comment>
    <comment ref="E32" authorId="0" shapeId="0" xr:uid="{B6F70674-C017-432A-A858-79DB01486AE6}">
      <text>
        <r>
          <rPr>
            <sz val="9"/>
            <color indexed="81"/>
            <rFont val="Tahoma"/>
            <family val="2"/>
          </rPr>
          <t>This section compares the Actual results against the consensus estimates and our model forecast estimates.</t>
        </r>
      </text>
    </comment>
    <comment ref="H32" authorId="0" shapeId="0" xr:uid="{AA0CBE35-D210-4633-A739-15C743FE0127}">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sharedStrings.xml><?xml version="1.0" encoding="utf-8"?>
<sst xmlns="http://schemas.openxmlformats.org/spreadsheetml/2006/main" count="1521" uniqueCount="548">
  <si>
    <t>Basic shares outstanding</t>
  </si>
  <si>
    <t xml:space="preserve">Diluted shares outstanding </t>
  </si>
  <si>
    <t>Effective tax rate</t>
  </si>
  <si>
    <t>(Dollars in millions, except per share data)</t>
  </si>
  <si>
    <t>Total Current Assets</t>
  </si>
  <si>
    <t>Total Assets</t>
  </si>
  <si>
    <t>Assets</t>
  </si>
  <si>
    <t>Liabilities</t>
  </si>
  <si>
    <t>Total Current liabilities</t>
  </si>
  <si>
    <t>Other current assets</t>
  </si>
  <si>
    <t>Total liabilities</t>
  </si>
  <si>
    <t>Common stock</t>
  </si>
  <si>
    <t>Total liabilities and equity</t>
  </si>
  <si>
    <t>Cash flows from operating activities</t>
  </si>
  <si>
    <t>Net income (loss)</t>
  </si>
  <si>
    <t>Net cash provided by operating activities</t>
  </si>
  <si>
    <t>Cash flows from investing activities</t>
  </si>
  <si>
    <t>Net cash provided by (used for) investing</t>
  </si>
  <si>
    <t>Cash flows from financing activities</t>
  </si>
  <si>
    <t>Net cash provided by (used for) financing</t>
  </si>
  <si>
    <t>Net increase (decrease) in cash and equivalents</t>
  </si>
  <si>
    <t>Cash and equivalents at beginning of period</t>
  </si>
  <si>
    <t>Cash and equivalents at end of period</t>
  </si>
  <si>
    <t>Multiple Valuation</t>
  </si>
  <si>
    <t>Balance Sheet Ratios &amp; Assumptions</t>
  </si>
  <si>
    <t>Receivables turnover</t>
  </si>
  <si>
    <t>Number of days of payables</t>
  </si>
  <si>
    <t>Cash Flow Ratios &amp; Assumptions</t>
  </si>
  <si>
    <t>Operating margin (GAAP)</t>
  </si>
  <si>
    <t>Share repurchase assumptions: average price</t>
  </si>
  <si>
    <t>Share repurchase: amount in the period ($M)</t>
  </si>
  <si>
    <t>Discounted FCFF</t>
  </si>
  <si>
    <t>Discounted Cash Flow Valuation</t>
  </si>
  <si>
    <t>Shares outstanding</t>
  </si>
  <si>
    <t>Market Capitalization ($M)</t>
  </si>
  <si>
    <t>Equity market risk premium</t>
  </si>
  <si>
    <t>Required return on equity (CAPM)</t>
  </si>
  <si>
    <t>Equity to total capital</t>
  </si>
  <si>
    <t>Average cost of debt</t>
  </si>
  <si>
    <t xml:space="preserve">After tax cost of debt </t>
  </si>
  <si>
    <t>P/E used for valuation</t>
  </si>
  <si>
    <t>Provisions for income tax</t>
  </si>
  <si>
    <t>Dividends per share</t>
  </si>
  <si>
    <t>Cash and equivalents</t>
  </si>
  <si>
    <t>Goodwill</t>
  </si>
  <si>
    <t>Accounts payable</t>
  </si>
  <si>
    <t>Accrued expenses</t>
  </si>
  <si>
    <t>Other non-current liabilities</t>
  </si>
  <si>
    <t>Commitments and contingencies</t>
  </si>
  <si>
    <t xml:space="preserve">Retained earnings </t>
  </si>
  <si>
    <t>Total shareholders' equity</t>
  </si>
  <si>
    <t>Dividends paid</t>
  </si>
  <si>
    <t>Beta (relative to the S&amp;P500)</t>
  </si>
  <si>
    <t>Revenue growth (in perpetuity)</t>
  </si>
  <si>
    <t>Constant CFO growth rate</t>
  </si>
  <si>
    <t>DCF Valuation</t>
  </si>
  <si>
    <t xml:space="preserve">Net income </t>
  </si>
  <si>
    <t xml:space="preserve">Basic EPS </t>
  </si>
  <si>
    <t xml:space="preserve">Diluted EPS </t>
  </si>
  <si>
    <t>P/E 3-month high</t>
  </si>
  <si>
    <t>P/E 3-month low</t>
  </si>
  <si>
    <t>DCF Period (approximate number of years)</t>
  </si>
  <si>
    <t xml:space="preserve">Plus cash/(debt) per share </t>
  </si>
  <si>
    <t>P/E 3-month average (a)</t>
  </si>
  <si>
    <t>(d) Assumes constant networking capital in the constant growth stage.
(e) Assumes debt balance and interest expense remains constant in the constant growth stage, and that book value of debt approximates fair value.</t>
  </si>
  <si>
    <t>Implied P/E 12-month target value</t>
  </si>
  <si>
    <t>Implied DCF 12-month target value</t>
  </si>
  <si>
    <t>Total operating expenses</t>
  </si>
  <si>
    <t>Change in basic shares  (excluding repurchases)</t>
  </si>
  <si>
    <t>Change in diluted shares  (excluding repurchases)</t>
  </si>
  <si>
    <t>Consensus</t>
  </si>
  <si>
    <t>F1Q16</t>
  </si>
  <si>
    <t>By obtaining this model you are deemed to have read and agreed to our Terms of Use. Visit our website for details: https://www.gutenbergresearch.com/terms-of-use.html</t>
  </si>
  <si>
    <t>GR</t>
  </si>
  <si>
    <t>F2Q16</t>
  </si>
  <si>
    <t>F3Q16</t>
  </si>
  <si>
    <t>Ratio Analysis</t>
  </si>
  <si>
    <t>Shares repurchased (in millions)</t>
  </si>
  <si>
    <t>Blue cells = Gutenberg estimates</t>
  </si>
  <si>
    <t>F4Q16</t>
  </si>
  <si>
    <t>FY 2016</t>
  </si>
  <si>
    <t>F1Q17</t>
  </si>
  <si>
    <t xml:space="preserve">Net Cash and investments per share </t>
  </si>
  <si>
    <t>Debt-to-Equity Ratio</t>
  </si>
  <si>
    <t>Dividend growth rate (YoY)</t>
  </si>
  <si>
    <t>Day Count (number of days in the quarter)</t>
  </si>
  <si>
    <t>Days sales outstanding</t>
  </si>
  <si>
    <t>Payables turnover</t>
  </si>
  <si>
    <t>Total other income/(expense)</t>
  </si>
  <si>
    <t>Share Count Analysis</t>
  </si>
  <si>
    <t>Segment &amp; Product Data</t>
  </si>
  <si>
    <t>Net Cash from Operations growth rate (YoY)</t>
  </si>
  <si>
    <t>F2Q17</t>
  </si>
  <si>
    <t>Revenue</t>
  </si>
  <si>
    <t>Quarterly Consensus Estimates</t>
  </si>
  <si>
    <t>Metric</t>
  </si>
  <si>
    <t># of Analysts</t>
  </si>
  <si>
    <t>Annual Consensus Estimates</t>
  </si>
  <si>
    <t>FY2019E</t>
  </si>
  <si>
    <t>FY2020E</t>
  </si>
  <si>
    <t>EBITDA</t>
  </si>
  <si>
    <t>Mean monthly return</t>
  </si>
  <si>
    <t xml:space="preserve">Standard deviation </t>
  </si>
  <si>
    <t>Implied upper bound</t>
  </si>
  <si>
    <t>Implied Lower bound</t>
  </si>
  <si>
    <t>Implied target value</t>
  </si>
  <si>
    <t>Implied 50/50 average target value</t>
  </si>
  <si>
    <t>Risk Estimation Summary (g)</t>
  </si>
  <si>
    <t xml:space="preserve">Implied target price band </t>
  </si>
  <si>
    <t>Stage 2 Long-Term WACC (f)</t>
  </si>
  <si>
    <t>F3Q17</t>
  </si>
  <si>
    <t>FedEx Corp Income Statement</t>
  </si>
  <si>
    <t>FedEx Corp Balance Sheet</t>
  </si>
  <si>
    <t>FedEx Corp Cash Flow Statement</t>
  </si>
  <si>
    <t>F4Q17</t>
  </si>
  <si>
    <t>FY 2017</t>
  </si>
  <si>
    <t>F1Q18</t>
  </si>
  <si>
    <t>F2Q18</t>
  </si>
  <si>
    <t>F3Q18</t>
  </si>
  <si>
    <t>F4Q18</t>
  </si>
  <si>
    <t>FY 2018</t>
  </si>
  <si>
    <t>Aug-15</t>
  </si>
  <si>
    <t>Nov-15</t>
  </si>
  <si>
    <t>Feb-16</t>
  </si>
  <si>
    <t>May-16</t>
  </si>
  <si>
    <t>Aug-16</t>
  </si>
  <si>
    <t>Nov-16</t>
  </si>
  <si>
    <t>Feb-17</t>
  </si>
  <si>
    <t>May-17</t>
  </si>
  <si>
    <t>Aug-17</t>
  </si>
  <si>
    <t>Nov-17</t>
  </si>
  <si>
    <t>Feb-18</t>
  </si>
  <si>
    <t>May-18</t>
  </si>
  <si>
    <t>Aug-18</t>
  </si>
  <si>
    <t>Nov-18</t>
  </si>
  <si>
    <t>Feb-19</t>
  </si>
  <si>
    <t>May-19</t>
  </si>
  <si>
    <t>Aug-19</t>
  </si>
  <si>
    <t>Nov-19</t>
  </si>
  <si>
    <t>Feb-20</t>
  </si>
  <si>
    <t>May-20</t>
  </si>
  <si>
    <t>Aug-20</t>
  </si>
  <si>
    <t>Nov-20</t>
  </si>
  <si>
    <t>Feb-21</t>
  </si>
  <si>
    <t>May-21</t>
  </si>
  <si>
    <t>Aug-21</t>
  </si>
  <si>
    <t>Nov-21</t>
  </si>
  <si>
    <t>Feb-22</t>
  </si>
  <si>
    <t>May-22</t>
  </si>
  <si>
    <t>Aug-22</t>
  </si>
  <si>
    <t>Nov-22</t>
  </si>
  <si>
    <t>Feb-23</t>
  </si>
  <si>
    <t>May-23</t>
  </si>
  <si>
    <t>Total Revenue</t>
  </si>
  <si>
    <t>Operating expenses:</t>
  </si>
  <si>
    <t>Salaries and employee benefits</t>
  </si>
  <si>
    <t>Purchased transportation</t>
  </si>
  <si>
    <t>Rentals and landing fees</t>
  </si>
  <si>
    <t>Depreciation and amortization</t>
  </si>
  <si>
    <t>Fuel</t>
  </si>
  <si>
    <t>Maintenance and repairs</t>
  </si>
  <si>
    <t>Impairment and other charges</t>
  </si>
  <si>
    <t>Retirement plans mark-to-market adjustment</t>
  </si>
  <si>
    <t xml:space="preserve">Other  </t>
  </si>
  <si>
    <t>Total operating income/(loss)</t>
  </si>
  <si>
    <t>Other Income/(Expense):</t>
  </si>
  <si>
    <t xml:space="preserve">Other, net </t>
  </si>
  <si>
    <t>Income/(loss) before income tax</t>
  </si>
  <si>
    <t>U.S. Overnight Box Revenue ($M)</t>
  </si>
  <si>
    <t>Express Segment - U.S. Overnight Box</t>
  </si>
  <si>
    <t>Express Segment - U.S. Overnight Envelope</t>
  </si>
  <si>
    <t>U.S. Overnight Envelope Revenue ($M)</t>
  </si>
  <si>
    <t>Express Segment - U.S. Deferred</t>
  </si>
  <si>
    <t>U.S. Deferrred Revenue ($M)</t>
  </si>
  <si>
    <t>U.S. Overnight Box Yield (Revenue per package, in $)</t>
  </si>
  <si>
    <t>U.S. Overnight Envelope Yield (Revenue per package, in $)</t>
  </si>
  <si>
    <t>U.S. Deferred Yield (Revenue per package, in $)</t>
  </si>
  <si>
    <t>Express Segment - International Priority</t>
  </si>
  <si>
    <t>International Priority Yield (Revenue per package, in $)</t>
  </si>
  <si>
    <t>International Priority Revenue ($M)</t>
  </si>
  <si>
    <t>Express Segment - International Economy</t>
  </si>
  <si>
    <t>International Economy Yield (Revenue per package, in $)</t>
  </si>
  <si>
    <t>International Economy Revenue ($M)</t>
  </si>
  <si>
    <t>Express Segment - International Domestic</t>
  </si>
  <si>
    <t>International Domestic Yield (Revenue per package, in $)</t>
  </si>
  <si>
    <t>International Domestic Revenue ($M)</t>
  </si>
  <si>
    <t>Express Segment - U.S. Freight</t>
  </si>
  <si>
    <t>U.S. Freight Yield (Revenue per Freight LB, in $)</t>
  </si>
  <si>
    <t>U.S. Freight Revenue ($M)</t>
  </si>
  <si>
    <t>Express Segment - International Priority Freight</t>
  </si>
  <si>
    <t>Intl Priority Freight Yield (Revenue per Freight LB, in $)</t>
  </si>
  <si>
    <t>Intl Priority Freight Revenue ($M)</t>
  </si>
  <si>
    <t>Express Segment - International Economy Freight</t>
  </si>
  <si>
    <t>Intl Economy Freight Yield (Revenue per Freight LB, in $)</t>
  </si>
  <si>
    <t>Intl Economy Freight Revenue ($M)</t>
  </si>
  <si>
    <t>Express Segment - International Airfreight Freight</t>
  </si>
  <si>
    <t>Intl Airfreight Freight Yield (Revenue per Freight LB, in $)</t>
  </si>
  <si>
    <t>Intl Airfreight Freight Revenue ($M)</t>
  </si>
  <si>
    <t>Express Segment - Totals</t>
  </si>
  <si>
    <r>
      <rPr>
        <b/>
        <sz val="11"/>
        <rFont val="Calibri"/>
        <family val="2"/>
        <scheme val="minor"/>
      </rPr>
      <t>Packages:</t>
    </r>
    <r>
      <rPr>
        <sz val="11"/>
        <rFont val="Calibri"/>
        <family val="2"/>
        <scheme val="minor"/>
      </rPr>
      <t xml:space="preserve"> Composite Yield (Revenue per package, in $)</t>
    </r>
  </si>
  <si>
    <r>
      <rPr>
        <b/>
        <sz val="11"/>
        <rFont val="Calibri"/>
        <family val="2"/>
        <scheme val="minor"/>
      </rPr>
      <t>Freight:</t>
    </r>
    <r>
      <rPr>
        <sz val="11"/>
        <rFont val="Calibri"/>
        <family val="2"/>
        <scheme val="minor"/>
      </rPr>
      <t xml:space="preserve"> Composite Freight Yield (Revenue per package, in $)</t>
    </r>
  </si>
  <si>
    <t>Express Segment - Details</t>
  </si>
  <si>
    <t>Packages: Revenue</t>
  </si>
  <si>
    <t>Freight: Revenue</t>
  </si>
  <si>
    <t>YoY Percentage Increases in Yield</t>
  </si>
  <si>
    <t>YoY Percentage Increases in Average Daily Volume</t>
  </si>
  <si>
    <t>Other Express Revenue</t>
  </si>
  <si>
    <t>Ground Segment</t>
  </si>
  <si>
    <t>Ground Yield (Revenue per Freight LB, in $)</t>
  </si>
  <si>
    <t>FedEx Ground</t>
  </si>
  <si>
    <t>Receivables, less allowances</t>
  </si>
  <si>
    <t>Spare parts, supplies and fuel, less allowances</t>
  </si>
  <si>
    <t>Deferred income taxes</t>
  </si>
  <si>
    <t>Less: Less accumulated depreciation and amortization</t>
  </si>
  <si>
    <t>Other long-term assets</t>
  </si>
  <si>
    <t>Short-term borrowings</t>
  </si>
  <si>
    <t>Current portion of long-term debt</t>
  </si>
  <si>
    <t>Accrued salaries and employee benefits</t>
  </si>
  <si>
    <t>Long-term debt, less current portion</t>
  </si>
  <si>
    <t>Pension, postretirement healthcare and other benefit obligations</t>
  </si>
  <si>
    <t>Self-insurance accruals</t>
  </si>
  <si>
    <t>Deferred lease obligations</t>
  </si>
  <si>
    <t>Deferred gains, principally related to aircraft transactions</t>
  </si>
  <si>
    <t>Additional paid-in capital</t>
  </si>
  <si>
    <t>Treasury stock, at cost</t>
  </si>
  <si>
    <t xml:space="preserve">Depreciation and amortization </t>
  </si>
  <si>
    <t>Provision for uncollectible accounts</t>
  </si>
  <si>
    <t>Stock-based compensation expense</t>
  </si>
  <si>
    <t>Deferred income taxes and other noncash items</t>
  </si>
  <si>
    <t>Gain from sale of investment</t>
  </si>
  <si>
    <t>Changes in operating assets and liabilities, net of the effects</t>
  </si>
  <si>
    <t>Receivable</t>
  </si>
  <si>
    <t>Pension and postretirement assets and liabilities, net</t>
  </si>
  <si>
    <t>Accounts payable other operating liabilities</t>
  </si>
  <si>
    <t>Other, net</t>
  </si>
  <si>
    <t>Capital expenditures</t>
  </si>
  <si>
    <t>Business acquisitions, net of cash acquired</t>
  </si>
  <si>
    <t>Proceeds from asset dispositions and other</t>
  </si>
  <si>
    <t>Proceeds from short-term borrowings</t>
  </si>
  <si>
    <t>Principal payments on debt</t>
  </si>
  <si>
    <t>Proceeds from debt issuances</t>
  </si>
  <si>
    <t>Proceeds from stock issuances</t>
  </si>
  <si>
    <t>Purchase of treasury stock</t>
  </si>
  <si>
    <t>Effect of exchange rate changes on cash</t>
  </si>
  <si>
    <t>Excess tax benefit on the exercise of stock options</t>
  </si>
  <si>
    <t>Freight Segment</t>
  </si>
  <si>
    <t>FedEx Freight</t>
  </si>
  <si>
    <t>YoY Percentage change in weight LTL</t>
  </si>
  <si>
    <t>YoY Percentage change in shipments per day</t>
  </si>
  <si>
    <t>Weight per Less-than-Truck-Load (LTL) per shipment (lbs)</t>
  </si>
  <si>
    <t>Services Segment and Other</t>
  </si>
  <si>
    <t>FedEx Services Revenue</t>
  </si>
  <si>
    <t>YoY change in services revenue</t>
  </si>
  <si>
    <t>Express Segment Operating Expenses</t>
  </si>
  <si>
    <t>All other operating expenses</t>
  </si>
  <si>
    <t>Express operating margin</t>
  </si>
  <si>
    <t>All other operating expenses as a % of revenue</t>
  </si>
  <si>
    <t>Total fuel expense</t>
  </si>
  <si>
    <t>Price per gallon ($ per gallon)</t>
  </si>
  <si>
    <t>Jet fuel expense ($ in millions)</t>
  </si>
  <si>
    <t>Other Express fuel expense</t>
  </si>
  <si>
    <t>FedEx Ground Revenue ($M)</t>
  </si>
  <si>
    <t>Ground Segment Operating Expenses</t>
  </si>
  <si>
    <t>Express operating income</t>
  </si>
  <si>
    <t>Ground operating margin</t>
  </si>
  <si>
    <t>Freight Segment Operating Expenses</t>
  </si>
  <si>
    <t>Freight operating income</t>
  </si>
  <si>
    <t>Freight operating margin</t>
  </si>
  <si>
    <t>FedEx Freight Total Revenue ($M)</t>
  </si>
  <si>
    <t>Operating Income</t>
  </si>
  <si>
    <t>Implied opex not reported in 3 main segments:</t>
  </si>
  <si>
    <t>Fuel expense</t>
  </si>
  <si>
    <t>All other operating expense</t>
  </si>
  <si>
    <t>Reconciling items (Consolidated results vs Segments):</t>
  </si>
  <si>
    <t>Segment Reconciliation Checks:</t>
  </si>
  <si>
    <t>Depreciation and Amortization</t>
  </si>
  <si>
    <t>Fuel Expense</t>
  </si>
  <si>
    <t xml:space="preserve">Pension Fund Analysis </t>
  </si>
  <si>
    <t>Components of pre-tax MtM retirement plan adjustments:</t>
  </si>
  <si>
    <t>Actual vs expected return on assets</t>
  </si>
  <si>
    <t>Discount rate changes</t>
  </si>
  <si>
    <t>Demographic assumption experience</t>
  </si>
  <si>
    <t>Net Retirement plans mark-to-market adjustment</t>
  </si>
  <si>
    <t xml:space="preserve">Plan Assumptions and Macroeconomic Data: </t>
  </si>
  <si>
    <t>Plan Expected Return</t>
  </si>
  <si>
    <t>Plan Actual Return</t>
  </si>
  <si>
    <t>Funded Status of Plans:</t>
  </si>
  <si>
    <t>Projected Benefit Obligation (PBO)</t>
  </si>
  <si>
    <t>Fair value of plan assets</t>
  </si>
  <si>
    <t xml:space="preserve">Funded status </t>
  </si>
  <si>
    <t>Cash contributions during the year</t>
  </si>
  <si>
    <t>Benefit payments during the year</t>
  </si>
  <si>
    <t>Percentage Funded</t>
  </si>
  <si>
    <t>Impact of 1bp in expected return on pension expense  ($ in millions, disclosed in 10-K)</t>
  </si>
  <si>
    <t>Weighted Average Discount Rate (for all Plans)</t>
  </si>
  <si>
    <t xml:space="preserve">Hold flat </t>
  </si>
  <si>
    <t>Forecast assumption: Impact of changes in mortality tables (Gutenberg proxy for forecasting)</t>
  </si>
  <si>
    <t>Forecast assumption: Expected increase in Plan (market return) in excess of expected return</t>
  </si>
  <si>
    <t>Forecast assumption: Expected increase in discount rate</t>
  </si>
  <si>
    <t>Impact on MtM adjustment of 1bp increase in discount rate ($ in millions largest Plan only [use as proxy], disclosed in 10-K)</t>
  </si>
  <si>
    <t>Other Opex (exDep/Amort, Fuel and Retirement MtM)</t>
  </si>
  <si>
    <t>Fuel expense as a % of revenue</t>
  </si>
  <si>
    <t>Purchased transportation expense as a % of revenue</t>
  </si>
  <si>
    <t>Salaries and employee benefits as a % of revenue</t>
  </si>
  <si>
    <t>Property and equipment, at cost (P&amp;E)</t>
  </si>
  <si>
    <t>Total Net P&amp;E</t>
  </si>
  <si>
    <t>Depreciation &amp; amortization-to-average P&amp;E</t>
  </si>
  <si>
    <t>Spare parts, supplies and fuel as a percentage of Gross P&amp;E</t>
  </si>
  <si>
    <t>Prepaid expenses and other current assets</t>
  </si>
  <si>
    <t>Debt covenant check: Debt to Adjusted EBTIDA</t>
  </si>
  <si>
    <t>Commercial Paper-to-total Debt</t>
  </si>
  <si>
    <t>Current portion of debt-to-total Debt</t>
  </si>
  <si>
    <t>Average accrued expenses-to-revenue</t>
  </si>
  <si>
    <t>Amounts recognized in OCI (net of tax)</t>
  </si>
  <si>
    <t>Accumulated Other Comprehensive Income (AOCI):</t>
  </si>
  <si>
    <t>Total AOCI</t>
  </si>
  <si>
    <t>All other changes in AOCI</t>
  </si>
  <si>
    <t>Foreign currency translation (end of period balance)</t>
  </si>
  <si>
    <t>Retirement plan adjustments (end of period balance)</t>
  </si>
  <si>
    <t>Reconciling funded status to the Balance Sheet</t>
  </si>
  <si>
    <t>Amounts recognized in OCI (tax impact)</t>
  </si>
  <si>
    <t>Balance Sheet check</t>
  </si>
  <si>
    <t>Implied portion of liability classified as current</t>
  </si>
  <si>
    <t xml:space="preserve"> Service costs/Interest Cost/Actuarial loss/other PBO increases (note DBP only)</t>
  </si>
  <si>
    <t>Amounts recognized in OCI (gross)</t>
  </si>
  <si>
    <t>Average Self Insurance Accrual-to-revenue</t>
  </si>
  <si>
    <t>YoY Percentage Change in Other Express Revenue</t>
  </si>
  <si>
    <t>YoY Percentage Change in Other Ground Revenue</t>
  </si>
  <si>
    <t>Ground operating income ($M)</t>
  </si>
  <si>
    <t>All Other Ground Revenue ($M)</t>
  </si>
  <si>
    <t>Revenue per Shipment</t>
  </si>
  <si>
    <t>YoY change in revenue per shipment</t>
  </si>
  <si>
    <t>Express Operating Weekdays</t>
  </si>
  <si>
    <t>Ground Operating Weekdays</t>
  </si>
  <si>
    <t>Freight Operating Weekdays</t>
  </si>
  <si>
    <t>All other non-Segment Revenue and Corp cons eliminations</t>
  </si>
  <si>
    <t>All other non-Segment Operating Expense and Corp cons eliminations</t>
  </si>
  <si>
    <t>Revenue Adjustments</t>
  </si>
  <si>
    <t>Anuity contract purchase</t>
  </si>
  <si>
    <t>Settlements</t>
  </si>
  <si>
    <t>Interest expense</t>
  </si>
  <si>
    <t>Interest income</t>
  </si>
  <si>
    <t>Net Interest Income/(Expense)</t>
  </si>
  <si>
    <t>Free Cash Flow to Firm (FCFF)</t>
  </si>
  <si>
    <t>Total Debt</t>
  </si>
  <si>
    <t xml:space="preserve">Cash and investments </t>
  </si>
  <si>
    <t xml:space="preserve">Adjusted net cash  per share </t>
  </si>
  <si>
    <t>Net cash/(debt) per share</t>
  </si>
  <si>
    <t>Non-GAAP Adjustments</t>
  </si>
  <si>
    <t>FedEx Supply Chain GW &amp; asset impairments (opex)</t>
  </si>
  <si>
    <t>FedEx Supply Chain GW &amp; asset impairments (tax)</t>
  </si>
  <si>
    <t>TNT Express integration expenses (opex)</t>
  </si>
  <si>
    <t>TNT Express integration expenses (tax)</t>
  </si>
  <si>
    <t>MtM Retirment plan accounting and other (opex)</t>
  </si>
  <si>
    <t>MtM Retirment plan accounting and other (tax)</t>
  </si>
  <si>
    <t>Net U.S. deferred tax liability remeasurement (tax)</t>
  </si>
  <si>
    <t>Legal matters (opex)</t>
  </si>
  <si>
    <t>Legal matters (tax)</t>
  </si>
  <si>
    <t>Non-GAAP Operating Income Adjustments</t>
  </si>
  <si>
    <t xml:space="preserve">Non-GAAP Operating Income  </t>
  </si>
  <si>
    <t>Non-GAAP tax adjustments</t>
  </si>
  <si>
    <t>Non-GAAP Net Income</t>
  </si>
  <si>
    <t>Non-GAAP Diluted EPS</t>
  </si>
  <si>
    <t>U.S. Overnight Box Average Daily Volume (ADV, in thousands)</t>
  </si>
  <si>
    <t>U.S. Overnight Envelope Average Daily Volume (ADV, in thousands)</t>
  </si>
  <si>
    <r>
      <rPr>
        <b/>
        <sz val="11"/>
        <rFont val="Calibri"/>
        <family val="2"/>
        <scheme val="minor"/>
      </rPr>
      <t>Packages:</t>
    </r>
    <r>
      <rPr>
        <sz val="11"/>
        <rFont val="Calibri"/>
        <family val="2"/>
        <scheme val="minor"/>
      </rPr>
      <t xml:space="preserve"> Total Average Daily Volume (ADV, in thousands)</t>
    </r>
  </si>
  <si>
    <r>
      <rPr>
        <b/>
        <sz val="11"/>
        <rFont val="Calibri"/>
        <family val="2"/>
        <scheme val="minor"/>
      </rPr>
      <t xml:space="preserve">Freight: </t>
    </r>
    <r>
      <rPr>
        <sz val="11"/>
        <rFont val="Calibri"/>
        <family val="2"/>
        <scheme val="minor"/>
      </rPr>
      <t>Total Average Daily Freight LBS (ADV, in thousands)</t>
    </r>
  </si>
  <si>
    <t>Jet fuel gallons (in thousands)</t>
  </si>
  <si>
    <t>U.S. Deferred Average Daily Volume (ADV, in thousands)</t>
  </si>
  <si>
    <t>International Priority Average Daily Volume (ADV, in thousands)</t>
  </si>
  <si>
    <t>International Economy Average Daily Volume (ADV, in thousands)</t>
  </si>
  <si>
    <t>International Domestic Average Daily Volume (ADV, in thousands)</t>
  </si>
  <si>
    <t>U.S. Freight Average Daily Freight LB (ADV, in thousands)</t>
  </si>
  <si>
    <t>Intl Priority Freight Average Daily Freight LB (ADV, in thousands)</t>
  </si>
  <si>
    <t>Intl Economy Freight Average Daily Freight LB (ADV, in thousands)</t>
  </si>
  <si>
    <t>Intl Airfreight Freight Average Daily Freight LB (ADV, in thousands)</t>
  </si>
  <si>
    <t>Ground Average Daily Freight LB (in thousands LBS)</t>
  </si>
  <si>
    <t>Shipments per day (in thousands)</t>
  </si>
  <si>
    <t>F2Q19E</t>
  </si>
  <si>
    <t>F3Q19E</t>
  </si>
  <si>
    <t>F4Q19E</t>
  </si>
  <si>
    <t>FY 2019E</t>
  </si>
  <si>
    <t>F1Q20E</t>
  </si>
  <si>
    <t>F2Q20E</t>
  </si>
  <si>
    <t>F3Q20E</t>
  </si>
  <si>
    <t>F4Q20E</t>
  </si>
  <si>
    <t>FY 2020E</t>
  </si>
  <si>
    <t>F1Q21E</t>
  </si>
  <si>
    <t>F2Q21E</t>
  </si>
  <si>
    <t>F3Q21E</t>
  </si>
  <si>
    <t>F4Q21E</t>
  </si>
  <si>
    <t>FY 2021E</t>
  </si>
  <si>
    <t>F1Q22E</t>
  </si>
  <si>
    <t>F2Q22E</t>
  </si>
  <si>
    <t>F3Q22E</t>
  </si>
  <si>
    <t>F4Q22E</t>
  </si>
  <si>
    <t>FY 2022E</t>
  </si>
  <si>
    <t>F1Q23E</t>
  </si>
  <si>
    <t>F2Q23E</t>
  </si>
  <si>
    <t>F3Q23E</t>
  </si>
  <si>
    <t>F4Q23E</t>
  </si>
  <si>
    <t>FY 2023E</t>
  </si>
  <si>
    <t>Provision for uncollectible accounts as a % of A/R</t>
  </si>
  <si>
    <t>Cash Flow Statement Ratios</t>
  </si>
  <si>
    <t>Corp cons eliminations (implied Total decrease in opex)</t>
  </si>
  <si>
    <t>Capex to revenue</t>
  </si>
  <si>
    <t>Equity</t>
  </si>
  <si>
    <t>Annual Interest expense as a percentage of average debt</t>
  </si>
  <si>
    <t>Annual Interest and dividend income as a % of investments</t>
  </si>
  <si>
    <t>Guidance</t>
  </si>
  <si>
    <t>Actual Reported Results</t>
  </si>
  <si>
    <t>Guidance For</t>
  </si>
  <si>
    <t>Date Released</t>
  </si>
  <si>
    <t>Capex</t>
  </si>
  <si>
    <t xml:space="preserve">EPS </t>
  </si>
  <si>
    <t>(Non-GAAP exMtM, incTNT)</t>
  </si>
  <si>
    <t>(Non-GAAP exMtM, exTNT)</t>
  </si>
  <si>
    <t>FY2015</t>
  </si>
  <si>
    <t>$4.2B</t>
  </si>
  <si>
    <t>N/A</t>
  </si>
  <si>
    <t>$8.50 to $9.00</t>
  </si>
  <si>
    <t xml:space="preserve">$8.50 to $9.00 </t>
  </si>
  <si>
    <t>$8.80 to $8.95</t>
  </si>
  <si>
    <t>$4.3B</t>
  </si>
  <si>
    <t>FY2016</t>
  </si>
  <si>
    <t>$4.6B</t>
  </si>
  <si>
    <t>$10.60 to $11.10</t>
  </si>
  <si>
    <t>$10.40 to $10.90</t>
  </si>
  <si>
    <t>$4.8B</t>
  </si>
  <si>
    <t>$10.70 to $10.90</t>
  </si>
  <si>
    <t>FY2017</t>
  </si>
  <si>
    <t>$5.1B</t>
  </si>
  <si>
    <t>$11.75 to $12.25</t>
  </si>
  <si>
    <t>$5.6B</t>
  </si>
  <si>
    <t>$10.85 to $11.35</t>
  </si>
  <si>
    <t>$11.85 to $12.35</t>
  </si>
  <si>
    <t>$10.95 to $11.45</t>
  </si>
  <si>
    <t>$5.3B</t>
  </si>
  <si>
    <t>$10.80 to $11.30</t>
  </si>
  <si>
    <t>FY2018</t>
  </si>
  <si>
    <t>$5.9B</t>
  </si>
  <si>
    <t>$12.45 to $13.25</t>
  </si>
  <si>
    <t>$13.20 to $14.00</t>
  </si>
  <si>
    <t>$11.05 to $11.85</t>
  </si>
  <si>
    <t>$12.00 to $12.80</t>
  </si>
  <si>
    <t>$11.45 to $12.05</t>
  </si>
  <si>
    <t>$12.70 to $13.30</t>
  </si>
  <si>
    <t>$5.8B</t>
  </si>
  <si>
    <t>$17.90 to $18.30</t>
  </si>
  <si>
    <t>$15.00 to $15.40</t>
  </si>
  <si>
    <t>$5.7B</t>
  </si>
  <si>
    <t>6/18/2014 From the F4Q14 release</t>
  </si>
  <si>
    <r>
      <rPr>
        <b/>
        <sz val="11"/>
        <color theme="1"/>
        <rFont val="Calibri"/>
        <family val="2"/>
        <scheme val="minor"/>
      </rPr>
      <t>Purpose:</t>
    </r>
    <r>
      <rPr>
        <sz val="11"/>
        <color theme="1"/>
        <rFont val="Calibri"/>
        <family val="2"/>
        <scheme val="minor"/>
      </rPr>
      <t xml:space="preserve"> This worksheet tracks the primary components of management's guidance over time</t>
    </r>
  </si>
  <si>
    <t>9/17/2014 From the F1Q15 release</t>
  </si>
  <si>
    <t>12/17/2014 From the F2Q15 release</t>
  </si>
  <si>
    <t>3/18/2015 From the F3Q15 release</t>
  </si>
  <si>
    <t>6/17/2015 From the F4Q15 release</t>
  </si>
  <si>
    <t>9/16/2015 From the F1Q16 release</t>
  </si>
  <si>
    <t>12/16/2015 From the F2Q16 release</t>
  </si>
  <si>
    <t>3/16/2016 From the F3Q16 release</t>
  </si>
  <si>
    <t>6/21/2016 From the F4Q16 release</t>
  </si>
  <si>
    <t>9/20/2016 From the F1Q17 release</t>
  </si>
  <si>
    <t>12/20/2016 From the F2Q17 release</t>
  </si>
  <si>
    <t>3/21/2017 From the F3Q17 release</t>
  </si>
  <si>
    <t>6/20/2018 From the F4Q17 release</t>
  </si>
  <si>
    <t>9/17/2018 From the F1Q18 release</t>
  </si>
  <si>
    <t>12/19/2017 From the F2Q18 release</t>
  </si>
  <si>
    <t>3/20/2018 From the F3Q18 release</t>
  </si>
  <si>
    <r>
      <rPr>
        <b/>
        <sz val="11"/>
        <color theme="1"/>
        <rFont val="Calibri"/>
        <family val="2"/>
        <scheme val="minor"/>
      </rPr>
      <t>Purpose:</t>
    </r>
    <r>
      <rPr>
        <sz val="11"/>
        <color theme="1"/>
        <rFont val="Calibri"/>
        <family val="2"/>
        <scheme val="minor"/>
      </rPr>
      <t xml:space="preserve"> This worksheet tracks the consensus estimates for key metrics</t>
    </r>
  </si>
  <si>
    <t>F1Q2019E</t>
  </si>
  <si>
    <t>F2Q2019E</t>
  </si>
  <si>
    <t>F3Q2019E</t>
  </si>
  <si>
    <t>F4Q2019E</t>
  </si>
  <si>
    <t>FY2021E</t>
  </si>
  <si>
    <t>FY2022E</t>
  </si>
  <si>
    <t>Revenue ($M)</t>
  </si>
  <si>
    <t>EBITDA ($M)</t>
  </si>
  <si>
    <t>Pre-tax profit ($M)</t>
  </si>
  <si>
    <t>Net income (non-GAAP, $M)</t>
  </si>
  <si>
    <t>Operating Profit ($M)</t>
  </si>
  <si>
    <t>EPS (non-GAAP, $/per share)</t>
  </si>
  <si>
    <t>Free cash flow ($M)</t>
  </si>
  <si>
    <t>Capital expenditures ($M)</t>
  </si>
  <si>
    <t>Quarterly Consensus Revenue and Operating Margin Estimates</t>
  </si>
  <si>
    <t>Implied Operating Margin (%)</t>
  </si>
  <si>
    <t>Annual Consensus Revenue and Operating Margin Estimates</t>
  </si>
  <si>
    <t>Quarterly Revenue and Operating Margin Estimates</t>
  </si>
  <si>
    <t>Quarterly Estimates (Before Release)</t>
  </si>
  <si>
    <t>Quarterly Estimates (After Release)</t>
  </si>
  <si>
    <t>F1Q2020E</t>
  </si>
  <si>
    <t>Gutenberg Estimates</t>
  </si>
  <si>
    <t>Reported Actual</t>
  </si>
  <si>
    <t>Difference (Actual vs GR)</t>
  </si>
  <si>
    <t>Operating Profit (non-GAAP $M)</t>
  </si>
  <si>
    <r>
      <rPr>
        <b/>
        <sz val="11"/>
        <color theme="1"/>
        <rFont val="Calibri"/>
        <family val="2"/>
        <scheme val="minor"/>
      </rPr>
      <t>Instructions:</t>
    </r>
    <r>
      <rPr>
        <sz val="11"/>
        <color theme="1"/>
        <rFont val="Calibri"/>
        <family val="2"/>
        <scheme val="minor"/>
      </rPr>
      <t xml:space="preserve"> Before the release copy/paste/values in E8:E16, J8:J16, M8:M16, P8:P16, S8:S16. After the release J21:J29, M21:M29, P21:P29, S21:S29 will update and you can compare the estimate before and after.</t>
    </r>
  </si>
  <si>
    <t>F1Q2019A</t>
  </si>
  <si>
    <t>Differences From Estimates Prior to the Latest Earnings Release</t>
  </si>
  <si>
    <r>
      <rPr>
        <b/>
        <sz val="11"/>
        <color theme="1"/>
        <rFont val="Calibri"/>
        <family val="2"/>
        <scheme val="minor"/>
      </rPr>
      <t>Last updated:</t>
    </r>
    <r>
      <rPr>
        <sz val="11"/>
        <color theme="1"/>
        <rFont val="Calibri"/>
        <family val="2"/>
        <scheme val="minor"/>
      </rPr>
      <t xml:space="preserve"> 8/20/2018</t>
    </r>
  </si>
  <si>
    <t>Risk Free (12-mo avg 10yr US-T)</t>
  </si>
  <si>
    <t>(b) This model uses the Constant Sharpe approach to estimate the Equity Risk Premium (ERP). The S&amp;P500 Constant Sharpe is calculated by taking the excess return on the index over the risk-free rate, divided by the standard deviation of returns. The Constant Sharpe ratio is then multiplied by the estimate of implied volatility to calculate the ERP.</t>
  </si>
  <si>
    <t>(c) The VIX is quoted in percentage points and measures the implied annualized volatility for the S&amp;P500. The VIX is a forward looking measure of implied volatility, however, single day volatility would have too much of an impact on the overall discount rate. For this reason the twelve month trailing  average is used.</t>
  </si>
  <si>
    <t>Average CapEx (% of sales)</t>
  </si>
  <si>
    <t>Weighted Average Cost of Capital (WACC) Inputs</t>
  </si>
  <si>
    <t>Stage 1 WACC</t>
  </si>
  <si>
    <t>Constant market Sharpe ratio (b)</t>
  </si>
  <si>
    <t>S&amp;P500 implied volatility (c)</t>
  </si>
  <si>
    <r>
      <t xml:space="preserve">Constant Growth Stage Assumptions </t>
    </r>
    <r>
      <rPr>
        <sz val="11"/>
        <rFont val="Calibri"/>
        <family val="2"/>
        <scheme val="minor"/>
      </rPr>
      <t>(d,e)</t>
    </r>
  </si>
  <si>
    <t>(f) The Stage 2 long-term WACC assumes the weight and cost of debt remains constant, and cost of equity reaches the long-term average based on an ERP of 6.2% and a required return on equity of 13.9% using the historic average VIX of 18.59%, the historic average 10 year U.S. Treasury rate of 6.3%, and Constant Sharpe of 0.325.</t>
  </si>
  <si>
    <t>Share-based compensation to revenue</t>
  </si>
  <si>
    <t>Average accrued salaries to salary expense</t>
  </si>
  <si>
    <t>NPV of Stage 1 cash flows</t>
  </si>
  <si>
    <t>PV of terminal value (Stage 2)</t>
  </si>
  <si>
    <t xml:space="preserve">Other adjustments - 1 </t>
  </si>
  <si>
    <t>Other adjustments - 2</t>
  </si>
  <si>
    <t xml:space="preserve">(a) Multiples are calculated excluding the value of net cash and are based on the 3-month average daily share price compared to the consensus EPS estimates for the next twelve month period. </t>
  </si>
  <si>
    <t>NOTE: There are many different methods to calculate a DCF-based valuation, each of which result in different final valuation estimates. This calculation is for demonstration only. Different inputs and assumptions can result in significantly different valuation estimates. Refer to the Terms of Use link for important information regarding this demonstration.  The DCF and Multiple valuation metrics are kept constant at certain points during each quarter to isolate the impact from changes in earnings estimates.  The  Beta, Volatility, and Risk-Free rate used in this DCF section was last updated on 9/28/2018 .</t>
  </si>
  <si>
    <t xml:space="preserve">(g) There are many approaches to estimating a stock's risk. In this demonstration we use the standard deviation and the monthly average return over the last 12 months to construct an estimated price target range. Standard deviation is a measure of dispersion around the mean monthly return. The larger the historic standard deviation the greater the volatility in prices. Using a normal distribution, approximately 95% of observations fall within 2 standard deviations of the mean. This approach has multiple limitations including: 1) it assumes that historic results can predict future return characteristics, and 2) it assumes the stock's returns are normally distributed. This analysis is for demonstration only, refer to full Terms of Use at GutenbergResearch.com. The mean &amp; standard deviation in this section were last updated on  9/28/2018. </t>
  </si>
  <si>
    <t>Sensitivity Analysis</t>
  </si>
  <si>
    <t>F1Q19</t>
  </si>
  <si>
    <t>Other retirement plans income/(expense)</t>
  </si>
  <si>
    <r>
      <rPr>
        <b/>
        <sz val="11"/>
        <color theme="1"/>
        <rFont val="Calibri"/>
        <family val="2"/>
        <scheme val="minor"/>
      </rPr>
      <t>Last updated:</t>
    </r>
    <r>
      <rPr>
        <sz val="11"/>
        <color theme="1"/>
        <rFont val="Calibri"/>
        <family val="2"/>
        <scheme val="minor"/>
      </rPr>
      <t xml:space="preserve"> 11/26/2018</t>
    </r>
  </si>
  <si>
    <t>FY2019</t>
  </si>
  <si>
    <t>9/17/2018 From the F1Q19 release</t>
  </si>
  <si>
    <t>6/19/2018 From the F4Q18 release</t>
  </si>
  <si>
    <t>$17.00 to $17.60</t>
  </si>
  <si>
    <t>$15.65 to $16.25</t>
  </si>
  <si>
    <t>Growth of 9%</t>
  </si>
  <si>
    <t>Operating Margin</t>
  </si>
  <si>
    <t>Effective Tax Rate (exMtM adjustment)</t>
  </si>
  <si>
    <t>Operating Margin (exTNT integration expense)</t>
  </si>
  <si>
    <t>TNT Integration Expense</t>
  </si>
  <si>
    <t>$450M, $365M net of tax effect</t>
  </si>
  <si>
    <t>Implied 2019 weighted average share count (M)</t>
  </si>
  <si>
    <t>$15.85 to $16.45</t>
  </si>
  <si>
    <t>$17.20 to $17.80</t>
  </si>
  <si>
    <t>November-2018 Roadshow Presentation - Long-Term Targets</t>
  </si>
  <si>
    <t>Other</t>
  </si>
  <si>
    <t>Reaffirmed FedEx Express Operating income target up $1.2B to $1.5B from F2017</t>
  </si>
  <si>
    <t xml:space="preserve">&gt; Increase EPS 10% to 15% per year
&gt; Grow profitable revenue
&gt; Achieve 10%+ operating margin
</t>
  </si>
  <si>
    <t>&gt; Improve cash flow
&gt; Increase ROIC
&gt; Increase returns to shareholders</t>
  </si>
  <si>
    <t>Orange cells = Consensus estimates (updated 11/26/2018)</t>
  </si>
  <si>
    <t>Purple cells = Company guidance (updated 11/26/2018)</t>
  </si>
  <si>
    <t>Operating margin (Non-GAAP)</t>
  </si>
  <si>
    <t>Revenue growth rate (year-over-year)</t>
  </si>
  <si>
    <t>EPS Growth (Non-GAAP, year-over-year)</t>
  </si>
  <si>
    <t>Target share price</t>
  </si>
  <si>
    <t>DCF check</t>
  </si>
  <si>
    <t xml:space="preserve">NOTE: There are many different multiples which could be applied to various earnings metrics, each of which result in different valuations. This calculation is for demonstration only. Please refer to the Terms of Use link for important details.  The DCF and Multiple valuation metrics are kept constant at certain points during each quarter to isolate the impact from changes in earnings estimates.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</si>
</sst>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0.0_)\%;\(0.0\)\%;0.0_)\%;@_)_%"/>
    <numFmt numFmtId="169" formatCode="#,##0.0_)_%;\(#,##0.0\)_%;0.0_)_%;@_)_%"/>
    <numFmt numFmtId="170" formatCode="#,##0.0_);\(#,##0.0\);#,##0.0_);@_)"/>
    <numFmt numFmtId="171" formatCode="&quot;$&quot;_(#,##0.00_);&quot;$&quot;\(#,##0.00\);&quot;$&quot;_(0.00_);@_)"/>
    <numFmt numFmtId="172" formatCode="#,##0.00_);\(#,##0.00\);0.00_);@_)"/>
    <numFmt numFmtId="173" formatCode="\€_(#,##0.00_);\€\(#,##0.00\);\€_(0.00_);@_)"/>
    <numFmt numFmtId="174" formatCode="#,##0_)\x;\(#,##0\)\x;0_)\x;@_)_x"/>
    <numFmt numFmtId="175" formatCode="#,##0_)_x;\(#,##0\)_x;0_)_x;@_)_x"/>
    <numFmt numFmtId="176" formatCode="* #,##0.00_);\(#,##0.00\)"/>
    <numFmt numFmtId="177" formatCode="&quot;$&quot;#,##0;\-&quot;$&quot;#,##0"/>
    <numFmt numFmtId="178" formatCode="#,##0;\-#,##0;&quot;-&quot;"/>
    <numFmt numFmtId="179" formatCode="0.000000"/>
    <numFmt numFmtId="180" formatCode="_(* #,##0,,_);_(* \(#,##0,,\);_(* &quot;-&quot;_)"/>
    <numFmt numFmtId="181" formatCode="_(* #,##0_);[Red]_(* \(#,##0\);_(* &quot;&quot;&quot;&quot;&quot;&quot;&quot;&quot;\ \-\ &quot;&quot;&quot;&quot;&quot;&quot;&quot;&quot;_);_(@_)"/>
    <numFmt numFmtId="182" formatCode="&quot;£&quot;#,##0;[Red]\-&quot;£&quot;#,##0"/>
    <numFmt numFmtId="183" formatCode="_(* #,##0,_);[Red]_(* \(#,##0,\);_(* &quot;&quot;&quot;&quot;&quot;&quot;&quot;&quot;\ \-\ &quot;&quot;&quot;&quot;&quot;&quot;&quot;&quot;_);_(@_)"/>
    <numFmt numFmtId="184" formatCode="0.00_);[Red]\(0.00\)"/>
    <numFmt numFmtId="185" formatCode="0%;\(0%\);;"/>
    <numFmt numFmtId="186" formatCode="&quot;£&quot;#,##0.00;[Red]\-&quot;£&quot;#,##0.00"/>
    <numFmt numFmtId="187" formatCode="_(* #,##0.000_);_(* \(#,##0.000\);_(* &quot;-&quot;_);_(@_)"/>
    <numFmt numFmtId="188" formatCode="0%;\(0%\);&quot;-&quot;"/>
    <numFmt numFmtId="189" formatCode="_-&quot;£&quot;* #,##0_-;\-&quot;£&quot;* #,##0_-;_-&quot;£&quot;* &quot;-&quot;_-;_-@_-"/>
    <numFmt numFmtId="190" formatCode="_(&quot;$&quot;* #,##0,_);_(&quot;$&quot;* \(#,##0,\);_(&quot;$&quot;* &quot;-&quot;_);_(@_)"/>
    <numFmt numFmtId="191" formatCode="#,##0\ ;\(#,##0.0\)"/>
    <numFmt numFmtId="192" formatCode="0.0"/>
    <numFmt numFmtId="193" formatCode="#,##0.00;\-#,##0.00;&quot;-&quot;"/>
    <numFmt numFmtId="194" formatCode="_._.* \(#,##0\)_%;_._.* #,##0_)_%;_._.* 0_)_%;_._.@_)_%"/>
    <numFmt numFmtId="195" formatCode="_._.&quot;$&quot;* \(#,##0\)_%;_._.&quot;$&quot;* #,##0_)_%;_._.&quot;$&quot;* 0_)_%;_._.@_)_%"/>
    <numFmt numFmtId="196" formatCode="&quot;$&quot;0.00_)"/>
    <numFmt numFmtId="197" formatCode="&quot;SFr.&quot;\ #,##0.00;&quot;SFr.&quot;\ \-#,##0.00"/>
    <numFmt numFmtId="198" formatCode="#,##0;\(#,##0\)"/>
    <numFmt numFmtId="199" formatCode="_([$€-2]* #,##0.00_);_([$€-2]* \(#,##0.00\);_([$€-2]* &quot;-&quot;??_)"/>
    <numFmt numFmtId="200" formatCode="_-* #,##0\ _D_M_-;\-* #,##0\ _D_M_-;_-* &quot;-&quot;\ _D_M_-;_-@_-"/>
    <numFmt numFmtId="201" formatCode="_-* #,##0.00\ _D_M_-;\-* #,##0.00\ _D_M_-;_-* &quot;-&quot;??\ _D_M_-;_-@_-"/>
    <numFmt numFmtId="202" formatCode="_-* #,##0\ &quot;DM&quot;_-;\-* #,##0\ &quot;DM&quot;_-;_-* &quot;-&quot;\ &quot;DM&quot;_-;_-@_-"/>
    <numFmt numFmtId="203" formatCode="_-* #,##0.00\ &quot;DM&quot;_-;\-* #,##0.00\ &quot;DM&quot;_-;_-* &quot;-&quot;??\ &quot;DM&quot;_-;_-@_-"/>
    <numFmt numFmtId="204" formatCode="#,##0.0_);\(#,##0.0\)"/>
    <numFmt numFmtId="205" formatCode="#,##0.0\ ;\(#,##0.0\)"/>
    <numFmt numFmtId="206" formatCode="0%;\(0%\)"/>
    <numFmt numFmtId="207" formatCode="&quot;SFr.&quot;#,##0;[Red]&quot;SFr.&quot;\-#,##0"/>
    <numFmt numFmtId="208" formatCode="#,##0.0000000000;\-#,##0.0000000000"/>
    <numFmt numFmtId="209" formatCode="#,##0.0;\-#,##0.0"/>
    <numFmt numFmtId="210" formatCode="#,##0.000;\-#,##0.000"/>
    <numFmt numFmtId="211" formatCode="#,##0.0000;\-#,##0.0000"/>
    <numFmt numFmtId="212" formatCode="#,##0.00000;\-#,##0.00000"/>
    <numFmt numFmtId="213" formatCode="#,##0.000000;\-#,##0.000000"/>
    <numFmt numFmtId="214" formatCode="#,##0.0000000;\-#,##0.0000000"/>
    <numFmt numFmtId="215" formatCode="#,##0.00000000;\-#,##0.00000000"/>
    <numFmt numFmtId="216" formatCode="#,##0.000000000;\-#,##0.000000000"/>
    <numFmt numFmtId="217" formatCode="#,##0___);\(#,##0.00\)"/>
    <numFmt numFmtId="218" formatCode="#,##0&quot;%&quot;"/>
    <numFmt numFmtId="219" formatCode="#,##0_);[Red]\(#,##0\);&quot;-&quot;"/>
    <numFmt numFmtId="220" formatCode="_-&quot;£&quot;* #,##0.00_-;\-&quot;£&quot;* #,##0.00_-;_-&quot;£&quot;* &quot;-&quot;??_-;_-@_-"/>
    <numFmt numFmtId="221" formatCode="*-"/>
    <numFmt numFmtId="222" formatCode="#,##0;[Red]\(#,##0\)"/>
    <numFmt numFmtId="223" formatCode="_-&quot;$&quot;* #,##0_-;\-&quot;$&quot;* #,##0_-;_-&quot;$&quot;* &quot;-&quot;_-;_-@_-"/>
    <numFmt numFmtId="224" formatCode="_-&quot;$&quot;* #,##0.00_-;\-&quot;$&quot;* #,##0.00_-;_-&quot;$&quot;* &quot;-&quot;??_-;_-@_-"/>
    <numFmt numFmtId="225" formatCode="&quot;$&quot;#,##0.0_);[Red]\(&quot;$&quot;#,##0.0\)"/>
    <numFmt numFmtId="226" formatCode="&quot;$&quot;#,##0.00"/>
    <numFmt numFmtId="227" formatCode="&quot;$&quot;#,##0.000_);\(&quot;$&quot;#,##0.000\)"/>
    <numFmt numFmtId="228" formatCode="&quot;$&quot;#,##0"/>
    <numFmt numFmtId="229" formatCode="0.0\x"/>
    <numFmt numFmtId="230" formatCode="0.0000%"/>
  </numFmts>
  <fonts count="9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name val="Calibri"/>
      <family val="2"/>
    </font>
    <font>
      <b/>
      <sz val="11"/>
      <color theme="0" tint="-0.14999847407452621"/>
      <name val="Calibri"/>
      <family val="2"/>
      <scheme val="minor"/>
    </font>
    <font>
      <sz val="9"/>
      <color indexed="81"/>
      <name val="Tahoma"/>
      <family val="2"/>
    </font>
    <font>
      <b/>
      <sz val="9"/>
      <color indexed="81"/>
      <name val="Tahoma"/>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Times New Roman"/>
      <family val="1"/>
    </font>
    <font>
      <sz val="10"/>
      <name val="Helv"/>
      <family val="2"/>
    </font>
    <font>
      <sz val="8"/>
      <name val="Helv"/>
    </font>
    <font>
      <b/>
      <sz val="12"/>
      <name val="Tms Rmn"/>
    </font>
    <font>
      <b/>
      <i/>
      <sz val="12"/>
      <name val="Tms Rmn"/>
    </font>
    <font>
      <b/>
      <sz val="10"/>
      <name val="MS Sans Serif"/>
      <family val="2"/>
    </font>
    <font>
      <sz val="10"/>
      <color indexed="8"/>
      <name val="Arial"/>
      <family val="2"/>
    </font>
    <font>
      <b/>
      <sz val="11"/>
      <name val="Arial"/>
      <family val="2"/>
    </font>
    <font>
      <sz val="10"/>
      <name val="Helv"/>
    </font>
    <font>
      <sz val="10"/>
      <color theme="1"/>
      <name val="Arial"/>
      <family val="2"/>
    </font>
    <font>
      <sz val="10"/>
      <color indexed="0"/>
      <name val="MS Sans Serif"/>
      <family val="2"/>
    </font>
    <font>
      <b/>
      <sz val="14"/>
      <name val="Arial"/>
      <family val="2"/>
    </font>
    <font>
      <sz val="11"/>
      <color indexed="12"/>
      <name val="Times New Roman"/>
      <family val="1"/>
    </font>
    <font>
      <sz val="11"/>
      <name val="Times New Roman"/>
      <family val="1"/>
    </font>
    <font>
      <sz val="10"/>
      <color indexed="12"/>
      <name val="Helv"/>
    </font>
    <font>
      <sz val="8"/>
      <color indexed="18"/>
      <name val="Helv"/>
    </font>
    <font>
      <b/>
      <u/>
      <sz val="10"/>
      <color indexed="8"/>
      <name val="Times New Roman"/>
      <family val="1"/>
    </font>
    <font>
      <sz val="10"/>
      <color indexed="12"/>
      <name val="Arial"/>
      <family val="2"/>
    </font>
    <font>
      <sz val="8"/>
      <name val="Arial"/>
      <family val="2"/>
    </font>
    <font>
      <b/>
      <sz val="12"/>
      <name val="Arial"/>
      <family val="2"/>
    </font>
    <font>
      <b/>
      <sz val="10"/>
      <name val="Arial"/>
      <family val="2"/>
    </font>
    <font>
      <u/>
      <sz val="11"/>
      <color theme="10"/>
      <name val="Calibri"/>
      <family val="2"/>
    </font>
    <font>
      <u/>
      <sz val="10"/>
      <color indexed="12"/>
      <name val="Arial"/>
      <family val="2"/>
    </font>
    <font>
      <u/>
      <sz val="10"/>
      <color theme="10"/>
      <name val="Trebuchet MS"/>
      <family val="2"/>
    </font>
    <font>
      <sz val="10"/>
      <color indexed="14"/>
      <name val="Arial"/>
      <family val="2"/>
    </font>
    <font>
      <sz val="10"/>
      <name val="MS Sans Serif"/>
      <family val="2"/>
    </font>
    <font>
      <sz val="7"/>
      <name val="Small Fonts"/>
      <family val="2"/>
    </font>
    <font>
      <sz val="12"/>
      <name val="Helv"/>
      <family val="2"/>
    </font>
    <font>
      <sz val="10"/>
      <name val="Trebuchet MS"/>
      <family val="2"/>
    </font>
    <font>
      <sz val="10"/>
      <name val="Tms Rmn"/>
    </font>
    <font>
      <sz val="10"/>
      <name val="Tms Rmn"/>
      <family val="1"/>
    </font>
    <font>
      <sz val="11"/>
      <color indexed="8"/>
      <name val="Calibri"/>
      <family val="2"/>
    </font>
    <font>
      <b/>
      <u/>
      <sz val="26"/>
      <color indexed="9"/>
      <name val="Arial"/>
      <family val="2"/>
    </font>
    <font>
      <sz val="10"/>
      <color indexed="10"/>
      <name val="Arial"/>
      <family val="2"/>
    </font>
    <font>
      <sz val="12"/>
      <name val="Helv"/>
    </font>
    <font>
      <sz val="10"/>
      <color rgb="FF404040"/>
      <name val="Segoe UI"/>
      <family val="2"/>
    </font>
    <font>
      <b/>
      <sz val="10"/>
      <color rgb="FF404040"/>
      <name val="Segoe UI"/>
      <family val="2"/>
    </font>
    <font>
      <b/>
      <sz val="10"/>
      <color indexed="10"/>
      <name val="Arial"/>
      <family val="2"/>
    </font>
    <font>
      <sz val="8"/>
      <name val="Tms Rmn"/>
    </font>
    <font>
      <u/>
      <sz val="11"/>
      <color theme="10"/>
      <name val="Calibri"/>
      <family val="2"/>
      <scheme val="minor"/>
    </font>
    <font>
      <b/>
      <sz val="11"/>
      <color theme="0"/>
      <name val="Calibri"/>
      <family val="2"/>
      <scheme val="minor"/>
    </font>
    <font>
      <i/>
      <sz val="11"/>
      <color rgb="FFFF0000"/>
      <name val="Calibri"/>
      <family val="2"/>
      <scheme val="minor"/>
    </font>
    <font>
      <b/>
      <sz val="11"/>
      <color theme="1" tint="0.249977111117893"/>
      <name val="Calibri"/>
      <family val="2"/>
      <scheme val="minor"/>
    </font>
    <font>
      <b/>
      <u val="singleAccounting"/>
      <sz val="11"/>
      <name val="Calibri"/>
      <family val="2"/>
      <scheme val="minor"/>
    </font>
    <font>
      <b/>
      <sz val="11"/>
      <color rgb="FFFF0000"/>
      <name val="Calibri"/>
      <family val="2"/>
      <scheme val="minor"/>
    </font>
    <font>
      <u/>
      <sz val="11"/>
      <color rgb="FFFF0000"/>
      <name val="Calibri"/>
      <family val="2"/>
      <scheme val="minor"/>
    </font>
    <font>
      <b/>
      <u val="singleAccounting"/>
      <sz val="11"/>
      <color rgb="FFFF0000"/>
      <name val="Calibri"/>
      <family val="2"/>
      <scheme val="minor"/>
    </font>
    <font>
      <b/>
      <u/>
      <sz val="11"/>
      <color rgb="FFFF0000"/>
      <name val="Calibri"/>
      <family val="2"/>
      <scheme val="minor"/>
    </font>
    <font>
      <b/>
      <sz val="11"/>
      <color theme="2"/>
      <name val="Calibri"/>
      <family val="2"/>
      <scheme val="minor"/>
    </font>
    <font>
      <b/>
      <u val="singleAccounting"/>
      <sz val="11"/>
      <color theme="2"/>
      <name val="Calibri"/>
      <family val="2"/>
      <scheme val="minor"/>
    </font>
    <font>
      <b/>
      <u/>
      <sz val="12"/>
      <color theme="2"/>
      <name val="Calibri"/>
      <family val="2"/>
      <scheme val="minor"/>
    </font>
    <font>
      <sz val="10"/>
      <color theme="2"/>
      <name val="Calibri"/>
      <family val="2"/>
      <scheme val="minor"/>
    </font>
    <font>
      <sz val="11"/>
      <name val="Calibri"/>
      <family val="2"/>
      <scheme val="minor"/>
    </font>
    <font>
      <i/>
      <sz val="11"/>
      <name val="Calibri"/>
      <family val="2"/>
      <scheme val="minor"/>
    </font>
    <font>
      <b/>
      <sz val="11"/>
      <name val="Calibri"/>
      <family val="2"/>
      <scheme val="minor"/>
    </font>
    <font>
      <u val="singleAccounting"/>
      <sz val="11"/>
      <name val="Calibri"/>
      <family val="2"/>
      <scheme val="minor"/>
    </font>
    <font>
      <b/>
      <u/>
      <sz val="11"/>
      <name val="Calibri"/>
      <family val="2"/>
      <scheme val="minor"/>
    </font>
    <font>
      <b/>
      <u/>
      <sz val="12"/>
      <name val="Calibri"/>
      <family val="2"/>
      <scheme val="minor"/>
    </font>
    <font>
      <u/>
      <sz val="11"/>
      <name val="Calibri"/>
      <family val="2"/>
      <scheme val="minor"/>
    </font>
    <font>
      <i/>
      <sz val="8"/>
      <color rgb="FFFF0000"/>
      <name val="Calibri"/>
      <family val="2"/>
      <scheme val="minor"/>
    </font>
    <font>
      <i/>
      <sz val="6"/>
      <color rgb="FFFF0000"/>
      <name val="Calibri"/>
      <family val="2"/>
      <scheme val="minor"/>
    </font>
    <font>
      <b/>
      <u val="singleAccounting"/>
      <sz val="6"/>
      <color rgb="FFFF0000"/>
      <name val="Calibri"/>
      <family val="2"/>
      <scheme val="minor"/>
    </font>
    <font>
      <i/>
      <u/>
      <sz val="11"/>
      <name val="Calibri"/>
      <family val="2"/>
      <scheme val="minor"/>
    </font>
    <font>
      <i/>
      <sz val="9"/>
      <color theme="3" tint="0.39997558519241921"/>
      <name val="Calibri"/>
      <family val="2"/>
      <scheme val="minor"/>
    </font>
    <font>
      <i/>
      <u/>
      <sz val="11"/>
      <color theme="3" tint="0.39997558519241921"/>
      <name val="Calibri"/>
      <family val="2"/>
      <scheme val="minor"/>
    </font>
    <font>
      <sz val="9.5"/>
      <name val="Calibri"/>
      <family val="2"/>
      <scheme val="minor"/>
    </font>
    <font>
      <sz val="11"/>
      <color theme="3" tint="0.39997558519241921"/>
      <name val="Calibri"/>
      <family val="2"/>
      <scheme val="minor"/>
    </font>
    <font>
      <b/>
      <sz val="10.5"/>
      <color rgb="FFE7E6E6"/>
      <name val="Calibri"/>
      <family val="2"/>
    </font>
    <font>
      <sz val="10.5"/>
      <color rgb="FFE7E6E6"/>
      <name val="Calibri"/>
      <family val="2"/>
    </font>
    <font>
      <sz val="8"/>
      <color rgb="FFE7E6E6"/>
      <name val="Calibri"/>
      <family val="2"/>
    </font>
    <font>
      <b/>
      <sz val="10.5"/>
      <name val="Calibri"/>
      <family val="2"/>
      <scheme val="minor"/>
    </font>
    <font>
      <sz val="10.5"/>
      <name val="Calibri"/>
      <family val="2"/>
      <scheme val="minor"/>
    </font>
    <font>
      <sz val="9"/>
      <name val="Calibri"/>
      <family val="2"/>
      <scheme val="minor"/>
    </font>
    <font>
      <b/>
      <sz val="10.5"/>
      <name val="Calibri"/>
      <family val="2"/>
    </font>
    <font>
      <sz val="11"/>
      <color theme="1" tint="0.14999847407452621"/>
      <name val="Calibri"/>
      <family val="2"/>
      <scheme val="minor"/>
    </font>
    <font>
      <b/>
      <sz val="11"/>
      <color theme="1" tint="0.14999847407452621"/>
      <name val="Calibri"/>
      <family val="2"/>
      <scheme val="minor"/>
    </font>
    <font>
      <b/>
      <u/>
      <sz val="11"/>
      <color theme="1" tint="0.14999847407452621"/>
      <name val="Calibri"/>
      <family val="2"/>
      <scheme val="minor"/>
    </font>
    <font>
      <u val="singleAccounting"/>
      <sz val="11"/>
      <color theme="1" tint="0.14999847407452621"/>
      <name val="Calibri"/>
      <family val="2"/>
      <scheme val="minor"/>
    </font>
    <font>
      <sz val="11"/>
      <color theme="0"/>
      <name val="Calibri"/>
      <family val="2"/>
      <scheme val="minor"/>
    </font>
    <font>
      <i/>
      <sz val="11"/>
      <color theme="4" tint="-0.249977111117893"/>
      <name val="Calibri"/>
      <family val="2"/>
      <scheme val="minor"/>
    </font>
    <font>
      <b/>
      <i/>
      <sz val="11"/>
      <color theme="4" tint="-0.249977111117893"/>
      <name val="Calibri"/>
      <family val="2"/>
      <scheme val="minor"/>
    </font>
    <font>
      <i/>
      <u val="singleAccounting"/>
      <sz val="11"/>
      <color theme="4" tint="-0.249977111117893"/>
      <name val="Calibri"/>
      <family val="2"/>
      <scheme val="minor"/>
    </font>
    <font>
      <b/>
      <i/>
      <u val="singleAccounting"/>
      <sz val="11"/>
      <color theme="4" tint="-0.249977111117893"/>
      <name val="Calibri"/>
      <family val="2"/>
      <scheme val="minor"/>
    </font>
    <font>
      <i/>
      <sz val="8"/>
      <name val="Calibri"/>
      <family val="2"/>
      <scheme val="minor"/>
    </font>
  </fonts>
  <fills count="18">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indexed="43"/>
      </patternFill>
    </fill>
    <fill>
      <patternFill patternType="solid">
        <fgColor indexed="22"/>
        <bgColor indexed="64"/>
      </patternFill>
    </fill>
    <fill>
      <patternFill patternType="solid">
        <fgColor indexed="27"/>
        <bgColor indexed="64"/>
      </patternFill>
    </fill>
    <fill>
      <patternFill patternType="solid">
        <fgColor indexed="26"/>
        <bgColor indexed="64"/>
      </patternFill>
    </fill>
    <fill>
      <patternFill patternType="solid">
        <fgColor indexed="44"/>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0.2499465926084170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3" tint="0.39997558519241921"/>
        <bgColor indexed="64"/>
      </patternFill>
    </fill>
    <fill>
      <patternFill patternType="solid">
        <fgColor rgb="FFFFFF00"/>
        <bgColor indexed="64"/>
      </patternFill>
    </fill>
  </fills>
  <borders count="135">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thin">
        <color auto="1"/>
      </top>
      <bottom style="thin">
        <color auto="1"/>
      </bottom>
      <diagonal/>
    </border>
    <border>
      <left/>
      <right/>
      <top style="hair">
        <color indexed="8"/>
      </top>
      <bottom style="hair">
        <color indexed="8"/>
      </bottom>
      <diagonal/>
    </border>
    <border>
      <left/>
      <right/>
      <top/>
      <bottom style="medium">
        <color indexed="18"/>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hair">
        <color auto="1"/>
      </bottom>
      <diagonal/>
    </border>
    <border>
      <left/>
      <right/>
      <top/>
      <bottom style="hair">
        <color auto="1"/>
      </bottom>
      <diagonal/>
    </border>
    <border>
      <left/>
      <right/>
      <top style="hair">
        <color auto="1"/>
      </top>
      <bottom/>
      <diagonal/>
    </border>
    <border>
      <left style="thin">
        <color auto="1"/>
      </left>
      <right style="thin">
        <color auto="1"/>
      </right>
      <top style="hair">
        <color auto="1"/>
      </top>
      <bottom/>
      <diagonal/>
    </border>
    <border>
      <left style="thin">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auto="1"/>
      </bottom>
      <diagonal/>
    </border>
    <border>
      <left/>
      <right style="thin">
        <color theme="0" tint="-0.24994659260841701"/>
      </right>
      <top/>
      <bottom style="thin">
        <color auto="1"/>
      </bottom>
      <diagonal/>
    </border>
    <border>
      <left style="thin">
        <color auto="1"/>
      </left>
      <right/>
      <top style="thin">
        <color auto="1"/>
      </top>
      <bottom style="thin">
        <color theme="1" tint="0.24994659260841701"/>
      </bottom>
      <diagonal/>
    </border>
    <border>
      <left/>
      <right/>
      <top style="thin">
        <color auto="1"/>
      </top>
      <bottom style="thin">
        <color theme="1" tint="0.24994659260841701"/>
      </bottom>
      <diagonal/>
    </border>
    <border>
      <left/>
      <right style="thin">
        <color auto="1"/>
      </right>
      <top style="thin">
        <color auto="1"/>
      </top>
      <bottom style="thin">
        <color theme="1" tint="0.24994659260841701"/>
      </bottom>
      <diagonal/>
    </border>
    <border>
      <left style="thin">
        <color theme="1" tint="0.24994659260841701"/>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bottom/>
      <diagonal/>
    </border>
    <border>
      <left/>
      <right style="thin">
        <color theme="1" tint="0.24994659260841701"/>
      </right>
      <top/>
      <bottom/>
      <diagonal/>
    </border>
    <border>
      <left style="thin">
        <color auto="1"/>
      </left>
      <right style="thin">
        <color theme="0" tint="-0.24994659260841701"/>
      </right>
      <top style="thin">
        <color theme="0" tint="-0.24994659260841701"/>
      </top>
      <bottom/>
      <diagonal/>
    </border>
    <border>
      <left style="thin">
        <color auto="1"/>
      </left>
      <right style="thin">
        <color theme="0" tint="-0.24994659260841701"/>
      </right>
      <top/>
      <bottom/>
      <diagonal/>
    </border>
    <border>
      <left style="thin">
        <color auto="1"/>
      </left>
      <right style="thin">
        <color theme="1" tint="0.24994659260841701"/>
      </right>
      <top style="thin">
        <color theme="1" tint="0.24994659260841701"/>
      </top>
      <bottom/>
      <diagonal/>
    </border>
    <border>
      <left style="thin">
        <color auto="1"/>
      </left>
      <right style="thin">
        <color theme="1" tint="0.24994659260841701"/>
      </right>
      <top/>
      <bottom/>
      <diagonal/>
    </border>
    <border>
      <left/>
      <right/>
      <top style="thin">
        <color theme="0" tint="-0.24994659260841701"/>
      </top>
      <bottom/>
      <diagonal/>
    </border>
    <border>
      <left/>
      <right style="thin">
        <color auto="1"/>
      </right>
      <top style="thin">
        <color theme="0" tint="-0.24994659260841701"/>
      </top>
      <bottom/>
      <diagonal/>
    </border>
    <border>
      <left style="thin">
        <color auto="1"/>
      </left>
      <right/>
      <top style="mediumDashed">
        <color auto="1"/>
      </top>
      <bottom/>
      <diagonal/>
    </border>
    <border>
      <left/>
      <right style="thin">
        <color auto="1"/>
      </right>
      <top style="mediumDashed">
        <color auto="1"/>
      </top>
      <bottom/>
      <diagonal/>
    </border>
    <border>
      <left/>
      <right/>
      <top style="mediumDashed">
        <color auto="1"/>
      </top>
      <bottom/>
      <diagonal/>
    </border>
    <border>
      <left style="thin">
        <color auto="1"/>
      </left>
      <right style="thin">
        <color auto="1"/>
      </right>
      <top/>
      <bottom style="mediumDashed">
        <color auto="1"/>
      </bottom>
      <diagonal/>
    </border>
    <border>
      <left style="thin">
        <color auto="1"/>
      </left>
      <right/>
      <top/>
      <bottom style="mediumDashed">
        <color auto="1"/>
      </bottom>
      <diagonal/>
    </border>
    <border>
      <left/>
      <right style="thin">
        <color auto="1"/>
      </right>
      <top/>
      <bottom style="mediumDashed">
        <color auto="1"/>
      </bottom>
      <diagonal/>
    </border>
    <border>
      <left/>
      <right/>
      <top/>
      <bottom style="mediumDashed">
        <color auto="1"/>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medium">
        <color rgb="FF606372"/>
      </left>
      <right/>
      <top style="medium">
        <color rgb="FF606372"/>
      </top>
      <bottom style="medium">
        <color rgb="FF606372"/>
      </bottom>
      <diagonal/>
    </border>
    <border>
      <left/>
      <right/>
      <top style="medium">
        <color rgb="FF606372"/>
      </top>
      <bottom style="medium">
        <color rgb="FF606372"/>
      </bottom>
      <diagonal/>
    </border>
    <border>
      <left/>
      <right style="medium">
        <color rgb="FFBFBFBF"/>
      </right>
      <top style="medium">
        <color rgb="FF606372"/>
      </top>
      <bottom style="medium">
        <color rgb="FF606372"/>
      </bottom>
      <diagonal/>
    </border>
    <border>
      <left style="medium">
        <color rgb="FF9D9FAC"/>
      </left>
      <right style="medium">
        <color rgb="FF9D9FAC"/>
      </right>
      <top/>
      <bottom style="medium">
        <color rgb="FF9D9FAC"/>
      </bottom>
      <diagonal/>
    </border>
    <border>
      <left/>
      <right style="medium">
        <color rgb="FF9D9FAC"/>
      </right>
      <top/>
      <bottom style="medium">
        <color rgb="FF9D9FAC"/>
      </bottom>
      <diagonal/>
    </border>
    <border>
      <left/>
      <right style="medium">
        <color rgb="FF9D9FAC"/>
      </right>
      <top/>
      <bottom/>
      <diagonal/>
    </border>
    <border>
      <left/>
      <right style="medium">
        <color rgb="FFBFBFBF"/>
      </right>
      <top/>
      <bottom style="medium">
        <color rgb="FF9D9FAC"/>
      </bottom>
      <diagonal/>
    </border>
    <border>
      <left/>
      <right style="medium">
        <color rgb="FFBFBFBF"/>
      </right>
      <top/>
      <bottom/>
      <diagonal/>
    </border>
    <border>
      <left style="medium">
        <color rgb="FFBFBFBF"/>
      </left>
      <right/>
      <top style="medium">
        <color rgb="FF606372"/>
      </top>
      <bottom style="medium">
        <color rgb="FF606372"/>
      </bottom>
      <diagonal/>
    </border>
    <border>
      <left style="medium">
        <color rgb="FF9D9FAC"/>
      </left>
      <right style="medium">
        <color rgb="FF9D9FAC"/>
      </right>
      <top style="medium">
        <color rgb="FF606372"/>
      </top>
      <bottom/>
      <diagonal/>
    </border>
    <border>
      <left style="medium">
        <color rgb="FFBFBFBF"/>
      </left>
      <right style="medium">
        <color rgb="FF9D9FAC"/>
      </right>
      <top style="medium">
        <color rgb="FF606372"/>
      </top>
      <bottom/>
      <diagonal/>
    </border>
    <border>
      <left style="medium">
        <color rgb="FFBFBFBF"/>
      </left>
      <right style="medium">
        <color rgb="FF9D9FAC"/>
      </right>
      <top/>
      <bottom style="medium">
        <color rgb="FF9D9FAC"/>
      </bottom>
      <diagonal/>
    </border>
    <border>
      <left style="medium">
        <color rgb="FF9D9FAC"/>
      </left>
      <right style="medium">
        <color rgb="FF9D9FAC"/>
      </right>
      <top style="medium">
        <color rgb="FF9D9FAC"/>
      </top>
      <bottom/>
      <diagonal/>
    </border>
    <border>
      <left/>
      <right/>
      <top style="medium">
        <color rgb="FF9D9FAC"/>
      </top>
      <bottom/>
      <diagonal/>
    </border>
    <border>
      <left/>
      <right style="medium">
        <color rgb="FF9D9FAC"/>
      </right>
      <top style="medium">
        <color rgb="FF9D9FAC"/>
      </top>
      <bottom/>
      <diagonal/>
    </border>
    <border>
      <left style="medium">
        <color rgb="FF9D9FAC"/>
      </left>
      <right/>
      <top style="medium">
        <color rgb="FF9D9FAC"/>
      </top>
      <bottom/>
      <diagonal/>
    </border>
    <border>
      <left style="medium">
        <color rgb="FF9D9FAC"/>
      </left>
      <right style="medium">
        <color rgb="FF9D9FAC"/>
      </right>
      <top style="medium">
        <color rgb="FF9D9FAC"/>
      </top>
      <bottom style="medium">
        <color rgb="FF9D9FAC"/>
      </bottom>
      <diagonal/>
    </border>
    <border>
      <left/>
      <right style="medium">
        <color rgb="FF9D9FAC"/>
      </right>
      <top style="medium">
        <color rgb="FF9D9FAC"/>
      </top>
      <bottom style="medium">
        <color rgb="FF9D9FAC"/>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right style="thin">
        <color auto="1"/>
      </right>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hair">
        <color theme="0" tint="-0.499984740745262"/>
      </top>
      <bottom style="thin">
        <color theme="0" tint="-0.499984740745262"/>
      </bottom>
      <diagonal/>
    </border>
    <border>
      <left style="thin">
        <color theme="0" tint="-0.499984740745262"/>
      </left>
      <right style="hair">
        <color theme="0" tint="-0.499984740745262"/>
      </right>
      <top style="thin">
        <color theme="0" tint="-0.499984740745262"/>
      </top>
      <bottom style="hair">
        <color theme="0" tint="-0.499984740745262"/>
      </bottom>
      <diagonal/>
    </border>
    <border>
      <left style="hair">
        <color theme="0" tint="-0.499984740745262"/>
      </left>
      <right style="hair">
        <color theme="0" tint="-0.499984740745262"/>
      </right>
      <top style="thin">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right/>
      <top style="hair">
        <color theme="0" tint="-0.499984740745262"/>
      </top>
      <bottom style="hair">
        <color theme="0" tint="-0.499984740745262"/>
      </bottom>
      <diagonal/>
    </border>
    <border>
      <left/>
      <right style="hair">
        <color theme="0" tint="-0.499984740745262"/>
      </right>
      <top style="hair">
        <color theme="0" tint="-0.499984740745262"/>
      </top>
      <bottom style="thin">
        <color theme="0" tint="-0.499984740745262"/>
      </bottom>
      <diagonal/>
    </border>
    <border>
      <left style="hair">
        <color theme="0" tint="-0.499984740745262"/>
      </left>
      <right/>
      <top style="thin">
        <color theme="0" tint="-0.499984740745262"/>
      </top>
      <bottom style="hair">
        <color theme="0" tint="-0.499984740745262"/>
      </bottom>
      <diagonal/>
    </border>
    <border>
      <left style="hair">
        <color theme="0" tint="-0.499984740745262"/>
      </left>
      <right/>
      <top style="hair">
        <color theme="0" tint="-0.499984740745262"/>
      </top>
      <bottom style="thin">
        <color theme="0" tint="-0.499984740745262"/>
      </bottom>
      <diagonal/>
    </border>
    <border>
      <left style="thin">
        <color theme="0" tint="-0.499984740745262"/>
      </left>
      <right style="thin">
        <color theme="0" tint="-0.499984740745262"/>
      </right>
      <top/>
      <bottom style="hair">
        <color theme="0" tint="-0.499984740745262"/>
      </bottom>
      <diagonal/>
    </border>
    <border>
      <left style="thin">
        <color theme="0" tint="-0.499984740745262"/>
      </left>
      <right style="thin">
        <color theme="0" tint="-0.499984740745262"/>
      </right>
      <top style="hair">
        <color theme="0" tint="-0.499984740745262"/>
      </top>
      <bottom/>
      <diagonal/>
    </border>
    <border>
      <left style="thin">
        <color theme="0" tint="-0.499984740745262"/>
      </left>
      <right style="hair">
        <color theme="0" tint="-0.499984740745262"/>
      </right>
      <top style="hair">
        <color theme="0" tint="-0.499984740745262"/>
      </top>
      <bottom/>
      <diagonal/>
    </border>
    <border>
      <left/>
      <right style="hair">
        <color theme="0" tint="-0.499984740745262"/>
      </right>
      <top style="hair">
        <color theme="0" tint="-0.499984740745262"/>
      </top>
      <bottom/>
      <diagonal/>
    </border>
    <border>
      <left style="hair">
        <color theme="0" tint="-0.499984740745262"/>
      </left>
      <right style="hair">
        <color theme="0" tint="-0.499984740745262"/>
      </right>
      <top/>
      <bottom/>
      <diagonal/>
    </border>
    <border>
      <left style="hair">
        <color theme="0" tint="-0.499984740745262"/>
      </left>
      <right/>
      <top style="hair">
        <color theme="0" tint="-0.499984740745262"/>
      </top>
      <bottom/>
      <diagonal/>
    </border>
    <border>
      <left/>
      <right style="hair">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rgb="FFBFBFBF"/>
      </left>
      <right style="medium">
        <color rgb="FFBFBFBF"/>
      </right>
      <top style="medium">
        <color rgb="FFBFBFBF"/>
      </top>
      <bottom style="medium">
        <color rgb="FFBFBFBF"/>
      </bottom>
      <diagonal/>
    </border>
    <border>
      <left style="thin">
        <color theme="0" tint="-0.499984740745262"/>
      </left>
      <right/>
      <top style="thin">
        <color auto="1"/>
      </top>
      <bottom style="thin">
        <color theme="0" tint="-0.499984740745262"/>
      </bottom>
      <diagonal/>
    </border>
    <border>
      <left/>
      <right/>
      <top style="thin">
        <color auto="1"/>
      </top>
      <bottom style="thin">
        <color theme="0" tint="-0.499984740745262"/>
      </bottom>
      <diagonal/>
    </border>
    <border>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hair">
        <color theme="0" tint="-0.499984740745262"/>
      </left>
      <right style="thin">
        <color auto="1"/>
      </right>
      <top style="thin">
        <color theme="0" tint="-0.499984740745262"/>
      </top>
      <bottom style="hair">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style="hair">
        <color theme="0" tint="-0.499984740745262"/>
      </bottom>
      <diagonal/>
    </border>
    <border>
      <left style="thin">
        <color auto="1"/>
      </left>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diagonal/>
    </border>
    <border>
      <left style="hair">
        <color theme="0" tint="-0.499984740745262"/>
      </left>
      <right style="thin">
        <color auto="1"/>
      </right>
      <top style="hair">
        <color theme="0" tint="-0.499984740745262"/>
      </top>
      <bottom style="thin">
        <color theme="0" tint="-0.499984740745262"/>
      </bottom>
      <diagonal/>
    </border>
    <border>
      <left style="medium">
        <color rgb="FF9D9FAC"/>
      </left>
      <right/>
      <top style="medium">
        <color rgb="FF9D9FAC"/>
      </top>
      <bottom style="medium">
        <color rgb="FF9D9FAC"/>
      </bottom>
      <diagonal/>
    </border>
    <border>
      <left/>
      <right/>
      <top style="medium">
        <color rgb="FF9D9FAC"/>
      </top>
      <bottom style="medium">
        <color rgb="FF9D9FAC"/>
      </bottom>
      <diagonal/>
    </border>
    <border>
      <left style="medium">
        <color rgb="FFBFBFBF"/>
      </left>
      <right style="medium">
        <color rgb="FFBFBFBF"/>
      </right>
      <top style="medium">
        <color rgb="FF606372"/>
      </top>
      <bottom/>
      <diagonal/>
    </border>
    <border>
      <left style="medium">
        <color rgb="FFBFBFBF"/>
      </left>
      <right style="medium">
        <color rgb="FFBFBFBF"/>
      </right>
      <top/>
      <bottom style="medium">
        <color rgb="FF9D9FAC"/>
      </bottom>
      <diagonal/>
    </border>
    <border>
      <left style="medium">
        <color rgb="FF9D9FAC"/>
      </left>
      <right/>
      <top style="medium">
        <color rgb="FF606372"/>
      </top>
      <bottom style="medium">
        <color rgb="FF9D9FAC"/>
      </bottom>
      <diagonal/>
    </border>
    <border>
      <left/>
      <right/>
      <top style="medium">
        <color rgb="FF606372"/>
      </top>
      <bottom style="medium">
        <color rgb="FF9D9FAC"/>
      </bottom>
      <diagonal/>
    </border>
    <border>
      <left/>
      <right style="medium">
        <color rgb="FF9D9FAC"/>
      </right>
      <top style="medium">
        <color rgb="FF606372"/>
      </top>
      <bottom style="medium">
        <color rgb="FF9D9FAC"/>
      </bottom>
      <diagonal/>
    </border>
  </borders>
  <cellStyleXfs count="3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top"/>
    </xf>
    <xf numFmtId="0" fontId="5" fillId="0" borderId="0"/>
    <xf numFmtId="43" fontId="5"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 fillId="4" borderId="0" applyNumberFormat="0" applyFont="0" applyAlignment="0" applyProtection="0"/>
    <xf numFmtId="174" fontId="3" fillId="0" borderId="0" applyFont="0" applyFill="0" applyBorder="0" applyAlignment="0" applyProtection="0"/>
    <xf numFmtId="175" fontId="3" fillId="0" borderId="0" applyFont="0" applyFill="0" applyBorder="0" applyProtection="0">
      <alignment horizontal="right"/>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1" fillId="0" borderId="17" applyNumberFormat="0" applyFill="0" applyAlignment="0" applyProtection="0"/>
    <xf numFmtId="0" fontId="12" fillId="0" borderId="18" applyNumberFormat="0" applyFill="0" applyProtection="0">
      <alignment horizontal="center"/>
    </xf>
    <xf numFmtId="0" fontId="12" fillId="0" borderId="0" applyNumberFormat="0" applyFill="0" applyBorder="0" applyProtection="0">
      <alignment horizontal="left"/>
    </xf>
    <xf numFmtId="0" fontId="13" fillId="0" borderId="0" applyNumberFormat="0" applyFill="0" applyBorder="0" applyProtection="0">
      <alignment horizontal="centerContinuous"/>
    </xf>
    <xf numFmtId="0" fontId="14" fillId="0" borderId="0" applyNumberFormat="0" applyFill="0" applyBorder="0" applyAlignment="0" applyProtection="0"/>
    <xf numFmtId="0" fontId="15" fillId="0" borderId="0"/>
    <xf numFmtId="176" fontId="16" fillId="0" borderId="0">
      <alignment horizontal="center"/>
    </xf>
    <xf numFmtId="37" fontId="17" fillId="0" borderId="0"/>
    <xf numFmtId="37" fontId="18" fillId="0" borderId="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 fillId="0" borderId="0" applyAlignment="0" applyProtection="0"/>
    <xf numFmtId="178" fontId="20" fillId="0" borderId="0" applyFill="0" applyBorder="0" applyAlignment="0"/>
    <xf numFmtId="179" fontId="3" fillId="0" borderId="0" applyFill="0" applyBorder="0" applyAlignment="0"/>
    <xf numFmtId="180" fontId="3" fillId="0" borderId="0" applyFill="0" applyBorder="0" applyAlignment="0"/>
    <xf numFmtId="164" fontId="3" fillId="0" borderId="0" applyFill="0" applyBorder="0" applyAlignment="0"/>
    <xf numFmtId="181" fontId="3" fillId="0" borderId="0" applyFill="0" applyBorder="0" applyAlignment="0"/>
    <xf numFmtId="182" fontId="3" fillId="0" borderId="0" applyFill="0" applyBorder="0" applyAlignment="0"/>
    <xf numFmtId="183" fontId="3" fillId="0" borderId="0" applyFill="0" applyBorder="0" applyAlignment="0"/>
    <xf numFmtId="184" fontId="3" fillId="0" borderId="0" applyFill="0" applyBorder="0" applyAlignment="0"/>
    <xf numFmtId="185" fontId="3" fillId="0" borderId="0" applyFill="0" applyBorder="0" applyAlignment="0"/>
    <xf numFmtId="186" fontId="3" fillId="0" borderId="0" applyFill="0" applyBorder="0" applyAlignment="0"/>
    <xf numFmtId="178" fontId="20"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0" fontId="21" fillId="0" borderId="0" applyFill="0" applyBorder="0" applyProtection="0">
      <alignment horizontal="center"/>
      <protection locked="0"/>
    </xf>
    <xf numFmtId="0" fontId="22"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1" fontId="22" fillId="0" borderId="7"/>
    <xf numFmtId="192" fontId="1" fillId="0" borderId="0"/>
    <xf numFmtId="0" fontId="15" fillId="0" borderId="7"/>
    <xf numFmtId="192" fontId="1" fillId="0" borderId="0"/>
    <xf numFmtId="178" fontId="3" fillId="0" borderId="0" applyFont="0" applyFill="0" applyBorder="0" applyAlignment="0" applyProtection="0"/>
    <xf numFmtId="187" fontId="3" fillId="0" borderId="0" applyFont="0" applyFill="0" applyBorder="0" applyAlignment="0" applyProtection="0"/>
    <xf numFmtId="43" fontId="3" fillId="0" borderId="0" applyFont="0" applyFill="0" applyBorder="0" applyAlignment="0" applyProtection="0">
      <alignment wrapText="1"/>
    </xf>
    <xf numFmtId="43" fontId="1" fillId="0" borderId="0" applyFont="0" applyFill="0" applyBorder="0" applyAlignment="0" applyProtection="0"/>
    <xf numFmtId="43" fontId="3" fillId="0" borderId="0" applyFont="0" applyFill="0" applyBorder="0" applyAlignment="0" applyProtection="0">
      <alignment wrapText="1"/>
    </xf>
    <xf numFmtId="43" fontId="3" fillId="0" borderId="0" applyFont="0" applyFill="0" applyBorder="0" applyAlignment="0" applyProtection="0">
      <alignment wrapText="1"/>
    </xf>
    <xf numFmtId="43" fontId="3" fillId="0" borderId="0" applyFont="0" applyFill="0" applyBorder="0" applyAlignment="0" applyProtection="0"/>
    <xf numFmtId="4" fontId="22" fillId="0" borderId="0" applyFont="0" applyFill="0" applyBorder="0" applyAlignment="0" applyProtection="0"/>
    <xf numFmtId="4" fontId="22" fillId="0" borderId="0" applyFont="0" applyFill="0" applyBorder="0" applyAlignment="0" applyProtection="0"/>
    <xf numFmtId="43" fontId="1" fillId="0" borderId="0" applyFont="0" applyFill="0" applyBorder="0" applyAlignment="0" applyProtection="0"/>
    <xf numFmtId="4" fontId="1" fillId="0" borderId="0" applyFont="0" applyFill="0" applyBorder="0" applyAlignment="0" applyProtection="0"/>
    <xf numFmtId="43" fontId="23" fillId="0" borderId="0" applyFont="0" applyFill="0" applyBorder="0" applyAlignment="0" applyProtection="0"/>
    <xf numFmtId="4" fontId="1" fillId="0" borderId="0" applyFont="0" applyFill="0" applyBorder="0" applyAlignment="0" applyProtection="0"/>
    <xf numFmtId="4" fontId="15"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24" fillId="0" borderId="0" applyNumberFormat="0" applyFill="0" applyBorder="0" applyAlignment="0" applyProtection="0"/>
    <xf numFmtId="0" fontId="25" fillId="0" borderId="0" applyFill="0" applyBorder="0" applyAlignment="0" applyProtection="0">
      <protection locked="0"/>
    </xf>
    <xf numFmtId="193" fontId="3" fillId="0" borderId="0">
      <alignment horizontal="center"/>
    </xf>
    <xf numFmtId="194" fontId="26" fillId="0" borderId="0" applyFill="0" applyBorder="0" applyProtection="0"/>
    <xf numFmtId="195" fontId="27" fillId="0" borderId="0" applyFont="0" applyFill="0" applyBorder="0" applyAlignment="0" applyProtection="0"/>
    <xf numFmtId="196" fontId="28" fillId="0" borderId="19">
      <protection hidden="1"/>
    </xf>
    <xf numFmtId="180" fontId="3" fillId="0" borderId="0" applyFont="0" applyFill="0" applyBorder="0" applyAlignment="0" applyProtection="0"/>
    <xf numFmtId="164" fontId="3" fillId="0" borderId="0" applyFont="0" applyFill="0" applyBorder="0" applyAlignment="0" applyProtection="0"/>
    <xf numFmtId="8" fontId="1" fillId="0" borderId="0" applyFont="0" applyFill="0" applyBorder="0" applyAlignment="0" applyProtection="0"/>
    <xf numFmtId="44" fontId="3" fillId="0" borderId="0" applyFont="0" applyFill="0" applyBorder="0" applyAlignment="0" applyProtection="0"/>
    <xf numFmtId="0" fontId="24" fillId="0" borderId="0" applyNumberFormat="0" applyFill="0" applyBorder="0" applyAlignment="0" applyProtection="0"/>
    <xf numFmtId="1" fontId="16" fillId="0" borderId="0"/>
    <xf numFmtId="14" fontId="29" fillId="0" borderId="0">
      <alignment horizontal="center"/>
    </xf>
    <xf numFmtId="14" fontId="20" fillId="0" borderId="0" applyFill="0" applyBorder="0" applyAlignment="0"/>
    <xf numFmtId="15" fontId="30" fillId="5" borderId="0" applyNumberFormat="0" applyFont="0" applyFill="0" applyBorder="0" applyAlignment="0">
      <alignment horizontal="center" wrapText="1"/>
    </xf>
    <xf numFmtId="0" fontId="20" fillId="0" borderId="16" applyNumberFormat="0" applyFill="0" applyBorder="0" applyAlignment="0" applyProtection="0"/>
    <xf numFmtId="197" fontId="22" fillId="0" borderId="0" applyFont="0" applyFill="0" applyBorder="0" applyAlignment="0" applyProtection="0"/>
    <xf numFmtId="198" fontId="27" fillId="0" borderId="0" applyFont="0" applyFill="0" applyBorder="0" applyAlignment="0" applyProtection="0"/>
    <xf numFmtId="178" fontId="31"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1"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196" fontId="28" fillId="0" borderId="19">
      <protection hidden="1"/>
    </xf>
    <xf numFmtId="199" fontId="3" fillId="0" borderId="0" applyFont="0" applyFill="0" applyBorder="0" applyAlignment="0" applyProtection="0"/>
    <xf numFmtId="38" fontId="32" fillId="5" borderId="0" applyNumberFormat="0" applyBorder="0" applyAlignment="0" applyProtection="0"/>
    <xf numFmtId="0" fontId="33" fillId="0" borderId="20" applyNumberFormat="0" applyAlignment="0" applyProtection="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1" fillId="0" borderId="0">
      <alignment horizontal="left" vertical="center"/>
    </xf>
    <xf numFmtId="14" fontId="34" fillId="6" borderId="19">
      <alignment horizontal="center" vertical="center" wrapText="1"/>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1" fillId="0" borderId="0" applyFill="0" applyAlignment="0" applyProtection="0">
      <protection locked="0"/>
    </xf>
    <xf numFmtId="0" fontId="21" fillId="0" borderId="7" applyFill="0" applyAlignment="0" applyProtection="0">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10" fontId="32" fillId="7" borderId="16" applyNumberFormat="0" applyBorder="0" applyAlignment="0" applyProtection="0"/>
    <xf numFmtId="178" fontId="38"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8"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200" fontId="3" fillId="0" borderId="0" applyFont="0" applyFill="0" applyBorder="0" applyAlignment="0" applyProtection="0"/>
    <xf numFmtId="201" fontId="3" fillId="0" borderId="0" applyFont="0" applyFill="0" applyBorder="0" applyAlignment="0" applyProtection="0"/>
    <xf numFmtId="38" fontId="39" fillId="0" borderId="0" applyFont="0" applyFill="0" applyBorder="0" applyAlignment="0" applyProtection="0"/>
    <xf numFmtId="40" fontId="39" fillId="0" borderId="0" applyFont="0" applyFill="0" applyBorder="0" applyAlignment="0" applyProtection="0"/>
    <xf numFmtId="202" fontId="3" fillId="0" borderId="0" applyFont="0" applyFill="0" applyBorder="0" applyAlignment="0" applyProtection="0"/>
    <xf numFmtId="203" fontId="3" fillId="0" borderId="0" applyFont="0" applyFill="0" applyBorder="0" applyAlignment="0" applyProtection="0"/>
    <xf numFmtId="6" fontId="39" fillId="0" borderId="0" applyFont="0" applyFill="0" applyBorder="0" applyAlignment="0" applyProtection="0"/>
    <xf numFmtId="8" fontId="39" fillId="0" borderId="0" applyFont="0" applyFill="0" applyBorder="0" applyAlignment="0" applyProtection="0"/>
    <xf numFmtId="204" fontId="16" fillId="0" borderId="7"/>
    <xf numFmtId="37" fontId="40" fillId="0" borderId="0"/>
    <xf numFmtId="205" fontId="22" fillId="0" borderId="0"/>
    <xf numFmtId="205" fontId="1" fillId="0" borderId="0"/>
    <xf numFmtId="206" fontId="3" fillId="0" borderId="0"/>
    <xf numFmtId="207" fontId="3" fillId="0" borderId="0"/>
    <xf numFmtId="0" fontId="41" fillId="0" borderId="0"/>
    <xf numFmtId="0" fontId="41" fillId="0" borderId="0"/>
    <xf numFmtId="0" fontId="41" fillId="0" borderId="0"/>
    <xf numFmtId="0" fontId="41" fillId="0" borderId="0"/>
    <xf numFmtId="0" fontId="3" fillId="0" borderId="0"/>
    <xf numFmtId="0" fontId="3" fillId="0" borderId="0"/>
    <xf numFmtId="0" fontId="1" fillId="0" borderId="0"/>
    <xf numFmtId="0" fontId="3" fillId="0" borderId="0"/>
    <xf numFmtId="0" fontId="3" fillId="0" borderId="0">
      <alignment wrapText="1"/>
    </xf>
    <xf numFmtId="0" fontId="3" fillId="0" borderId="0"/>
    <xf numFmtId="0" fontId="42" fillId="0" borderId="0"/>
    <xf numFmtId="0" fontId="3" fillId="0" borderId="0"/>
    <xf numFmtId="0" fontId="3" fillId="0" borderId="0"/>
    <xf numFmtId="37" fontId="43" fillId="0" borderId="0"/>
    <xf numFmtId="0" fontId="1" fillId="0" borderId="0"/>
    <xf numFmtId="0" fontId="1" fillId="0" borderId="0"/>
    <xf numFmtId="0" fontId="3" fillId="0" borderId="0">
      <alignment wrapText="1"/>
    </xf>
    <xf numFmtId="0" fontId="3" fillId="0" borderId="0"/>
    <xf numFmtId="37" fontId="43" fillId="0" borderId="0"/>
    <xf numFmtId="0" fontId="3" fillId="0" borderId="0"/>
    <xf numFmtId="37" fontId="43" fillId="0" borderId="0"/>
    <xf numFmtId="0" fontId="1" fillId="0" borderId="0"/>
    <xf numFmtId="0" fontId="23" fillId="0" borderId="0"/>
    <xf numFmtId="37" fontId="1" fillId="0" borderId="0"/>
    <xf numFmtId="0" fontId="1" fillId="0" borderId="0"/>
    <xf numFmtId="37" fontId="1" fillId="0" borderId="0"/>
    <xf numFmtId="0" fontId="3" fillId="0" borderId="0">
      <alignment wrapText="1"/>
    </xf>
    <xf numFmtId="37" fontId="44" fillId="0" borderId="0"/>
    <xf numFmtId="0" fontId="3" fillId="0" borderId="0"/>
    <xf numFmtId="37" fontId="3" fillId="0" borderId="0"/>
    <xf numFmtId="37" fontId="3" fillId="0" borderId="0"/>
    <xf numFmtId="208" fontId="3" fillId="0" borderId="0"/>
    <xf numFmtId="209" fontId="3" fillId="0" borderId="0"/>
    <xf numFmtId="39" fontId="3" fillId="0" borderId="0"/>
    <xf numFmtId="39" fontId="3" fillId="0" borderId="0"/>
    <xf numFmtId="210" fontId="3" fillId="0" borderId="0"/>
    <xf numFmtId="211" fontId="3" fillId="0" borderId="0"/>
    <xf numFmtId="212" fontId="3" fillId="0" borderId="0"/>
    <xf numFmtId="213" fontId="3" fillId="0" borderId="0"/>
    <xf numFmtId="214" fontId="3" fillId="0" borderId="0"/>
    <xf numFmtId="215" fontId="3" fillId="0" borderId="0"/>
    <xf numFmtId="216" fontId="3" fillId="0" borderId="0"/>
    <xf numFmtId="217" fontId="39" fillId="0" borderId="0"/>
    <xf numFmtId="218" fontId="28" fillId="0" borderId="0">
      <protection hidden="1"/>
    </xf>
    <xf numFmtId="185" fontId="3" fillId="0" borderId="0" applyFont="0" applyFill="0" applyBorder="0" applyAlignment="0" applyProtection="0"/>
    <xf numFmtId="186" fontId="3" fillId="0" borderId="0" applyFont="0" applyFill="0" applyBorder="0" applyAlignment="0" applyProtection="0"/>
    <xf numFmtId="206" fontId="3" fillId="0" borderId="0" applyFont="0" applyFill="0" applyBorder="0" applyAlignment="0" applyProtection="0"/>
    <xf numFmtId="207" fontId="3" fillId="0" borderId="0" applyFont="0" applyFill="0" applyBorder="0" applyAlignment="0" applyProtection="0"/>
    <xf numFmtId="10" fontId="3" fillId="0" borderId="0" applyFont="0" applyFill="0" applyBorder="0" applyAlignment="0" applyProtection="0"/>
    <xf numFmtId="9" fontId="45"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39" fillId="0" borderId="21" applyNumberFormat="0" applyBorder="0"/>
    <xf numFmtId="204" fontId="16" fillId="0" borderId="0"/>
    <xf numFmtId="0" fontId="46" fillId="8" borderId="22" applyNumberFormat="0" applyFont="0" applyFill="0" applyAlignment="0">
      <alignment horizontal="center" vertical="center"/>
    </xf>
    <xf numFmtId="178" fontId="47"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47"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37" fontId="43" fillId="0" borderId="23"/>
    <xf numFmtId="0" fontId="48" fillId="0" borderId="0"/>
    <xf numFmtId="0" fontId="22" fillId="0" borderId="0"/>
    <xf numFmtId="0" fontId="39" fillId="0" borderId="0"/>
    <xf numFmtId="37" fontId="49" fillId="0" borderId="19">
      <alignment horizontal="right"/>
      <protection locked="0"/>
    </xf>
    <xf numFmtId="37" fontId="50" fillId="0" borderId="19">
      <alignment horizontal="right"/>
      <protection locked="0"/>
    </xf>
    <xf numFmtId="49" fontId="20" fillId="0" borderId="0" applyFill="0" applyBorder="0" applyAlignment="0"/>
    <xf numFmtId="219" fontId="3" fillId="0" borderId="0" applyFill="0" applyBorder="0" applyAlignment="0"/>
    <xf numFmtId="220" fontId="3" fillId="0" borderId="0" applyFill="0" applyBorder="0" applyAlignment="0"/>
    <xf numFmtId="221" fontId="3" fillId="0" borderId="0" applyFill="0" applyBorder="0" applyAlignment="0"/>
    <xf numFmtId="222" fontId="3" fillId="0" borderId="0" applyFill="0" applyBorder="0" applyAlignment="0"/>
    <xf numFmtId="49" fontId="3" fillId="0" borderId="0"/>
    <xf numFmtId="0" fontId="51" fillId="0" borderId="0" applyFill="0" applyBorder="0" applyProtection="0">
      <alignment horizontal="left" vertical="top"/>
    </xf>
    <xf numFmtId="40" fontId="5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37" fontId="43" fillId="0" borderId="7"/>
    <xf numFmtId="37" fontId="43" fillId="0" borderId="24"/>
    <xf numFmtId="223" fontId="3" fillId="0" borderId="0" applyFont="0" applyFill="0" applyBorder="0" applyAlignment="0" applyProtection="0"/>
    <xf numFmtId="224" fontId="3" fillId="0" borderId="0" applyFont="0" applyFill="0" applyBorder="0" applyAlignment="0" applyProtection="0"/>
    <xf numFmtId="0" fontId="3" fillId="0" borderId="0"/>
    <xf numFmtId="0" fontId="3" fillId="0" borderId="0"/>
    <xf numFmtId="0" fontId="53" fillId="0" borderId="0" applyNumberFormat="0" applyFill="0" applyBorder="0" applyAlignment="0" applyProtection="0"/>
  </cellStyleXfs>
  <cellXfs count="765">
    <xf numFmtId="0" fontId="0" fillId="0" borderId="0" xfId="0"/>
    <xf numFmtId="165" fontId="0" fillId="0" borderId="0" xfId="1" applyNumberFormat="1" applyFont="1"/>
    <xf numFmtId="166" fontId="0" fillId="0" borderId="0" xfId="2" applyNumberFormat="1" applyFont="1"/>
    <xf numFmtId="164" fontId="4" fillId="0" borderId="0" xfId="1" applyNumberFormat="1" applyFont="1" applyAlignment="1">
      <alignment horizontal="right"/>
    </xf>
    <xf numFmtId="0" fontId="4" fillId="0" borderId="0" xfId="0" applyFont="1"/>
    <xf numFmtId="0" fontId="0" fillId="0" borderId="0" xfId="0" applyAlignment="1">
      <alignment wrapText="1"/>
    </xf>
    <xf numFmtId="0" fontId="0" fillId="0" borderId="0" xfId="0"/>
    <xf numFmtId="0" fontId="2" fillId="0" borderId="0" xfId="0" applyFont="1" applyAlignment="1">
      <alignment horizontal="left"/>
    </xf>
    <xf numFmtId="0" fontId="0" fillId="0" borderId="0" xfId="0" applyFill="1" applyBorder="1"/>
    <xf numFmtId="0" fontId="0" fillId="0" borderId="0" xfId="0" applyFill="1" applyAlignment="1">
      <alignment horizontal="center" textRotation="90"/>
    </xf>
    <xf numFmtId="0" fontId="54" fillId="0" borderId="0" xfId="0" applyFont="1" applyFill="1" applyAlignment="1">
      <alignment horizontal="center" vertical="center" wrapText="1"/>
    </xf>
    <xf numFmtId="0" fontId="0" fillId="0" borderId="0" xfId="0" applyAlignment="1">
      <alignment horizontal="center" vertical="center"/>
    </xf>
    <xf numFmtId="165" fontId="0" fillId="0" borderId="0" xfId="1" applyNumberFormat="1" applyFont="1" applyFill="1" applyBorder="1"/>
    <xf numFmtId="164" fontId="6" fillId="0" borderId="0" xfId="1" quotePrefix="1" applyNumberFormat="1" applyFont="1" applyFill="1" applyBorder="1" applyAlignment="1">
      <alignment horizontal="left"/>
    </xf>
    <xf numFmtId="164" fontId="6" fillId="0" borderId="0" xfId="1" quotePrefix="1" applyNumberFormat="1" applyFont="1" applyFill="1" applyBorder="1" applyAlignment="1">
      <alignment horizontal="right"/>
    </xf>
    <xf numFmtId="164" fontId="0" fillId="0" borderId="0" xfId="1" applyNumberFormat="1" applyFont="1" applyFill="1" applyBorder="1"/>
    <xf numFmtId="166" fontId="0" fillId="0" borderId="0" xfId="2" applyNumberFormat="1" applyFont="1" applyFill="1" applyBorder="1"/>
    <xf numFmtId="0" fontId="0" fillId="0" borderId="3" xfId="0" applyBorder="1"/>
    <xf numFmtId="0" fontId="0" fillId="0" borderId="6" xfId="0" applyBorder="1"/>
    <xf numFmtId="1" fontId="0" fillId="0" borderId="40" xfId="0" applyNumberFormat="1" applyBorder="1" applyAlignment="1">
      <alignment horizontal="center" vertical="center"/>
    </xf>
    <xf numFmtId="1" fontId="0" fillId="0" borderId="42" xfId="0" applyNumberFormat="1" applyBorder="1" applyAlignment="1">
      <alignment horizontal="center" vertical="center"/>
    </xf>
    <xf numFmtId="164" fontId="6" fillId="2" borderId="38" xfId="1" quotePrefix="1" applyNumberFormat="1" applyFont="1" applyFill="1" applyBorder="1" applyAlignment="1">
      <alignment horizontal="center" vertical="center" wrapText="1"/>
    </xf>
    <xf numFmtId="164" fontId="6" fillId="2" borderId="39" xfId="1" quotePrefix="1" applyNumberFormat="1" applyFont="1" applyFill="1" applyBorder="1" applyAlignment="1">
      <alignment horizontal="center" vertical="center" wrapText="1"/>
    </xf>
    <xf numFmtId="164" fontId="6" fillId="2" borderId="55" xfId="1" quotePrefix="1" applyNumberFormat="1" applyFont="1" applyFill="1" applyBorder="1" applyAlignment="1">
      <alignment horizontal="center" vertical="center" wrapText="1"/>
    </xf>
    <xf numFmtId="164" fontId="6" fillId="2" borderId="56" xfId="1" quotePrefix="1" applyNumberFormat="1" applyFont="1" applyFill="1" applyBorder="1" applyAlignment="1">
      <alignment horizontal="center" vertical="center" wrapText="1"/>
    </xf>
    <xf numFmtId="164" fontId="6" fillId="2" borderId="40" xfId="1" quotePrefix="1" applyNumberFormat="1" applyFont="1" applyFill="1" applyBorder="1" applyAlignment="1">
      <alignment horizontal="center" vertical="center" wrapText="1"/>
    </xf>
    <xf numFmtId="164" fontId="6" fillId="2" borderId="41" xfId="1" quotePrefix="1" applyNumberFormat="1" applyFont="1" applyFill="1" applyBorder="1" applyAlignment="1">
      <alignment horizontal="center" vertical="center" wrapText="1"/>
    </xf>
    <xf numFmtId="164" fontId="6" fillId="2" borderId="4" xfId="1" quotePrefix="1" applyNumberFormat="1" applyFont="1" applyFill="1" applyBorder="1" applyAlignment="1">
      <alignment horizontal="center" vertical="center" wrapText="1"/>
    </xf>
    <xf numFmtId="164" fontId="56" fillId="12" borderId="47" xfId="1" quotePrefix="1" applyNumberFormat="1" applyFont="1" applyFill="1" applyBorder="1" applyAlignment="1">
      <alignment horizontal="center" vertical="center" wrapText="1"/>
    </xf>
    <xf numFmtId="164" fontId="56" fillId="12" borderId="48" xfId="1" quotePrefix="1" applyNumberFormat="1" applyFont="1" applyFill="1" applyBorder="1" applyAlignment="1">
      <alignment horizontal="center" vertical="center" wrapText="1"/>
    </xf>
    <xf numFmtId="164" fontId="56" fillId="12" borderId="49" xfId="1" quotePrefix="1" applyNumberFormat="1" applyFont="1" applyFill="1" applyBorder="1" applyAlignment="1">
      <alignment horizontal="center" vertical="center" wrapText="1"/>
    </xf>
    <xf numFmtId="164" fontId="56" fillId="12" borderId="50" xfId="1" quotePrefix="1" applyNumberFormat="1" applyFont="1" applyFill="1" applyBorder="1" applyAlignment="1">
      <alignment horizontal="center" vertical="center" wrapText="1"/>
    </xf>
    <xf numFmtId="43" fontId="58" fillId="0" borderId="9" xfId="1" applyNumberFormat="1" applyFont="1" applyFill="1" applyBorder="1" applyAlignment="1">
      <alignment horizontal="right"/>
    </xf>
    <xf numFmtId="0" fontId="4" fillId="0" borderId="0" xfId="0" applyFont="1" applyAlignment="1">
      <alignment horizontal="right"/>
    </xf>
    <xf numFmtId="0" fontId="59" fillId="0" borderId="0" xfId="329" applyFont="1" applyAlignment="1">
      <alignment horizontal="right"/>
    </xf>
    <xf numFmtId="43" fontId="4" fillId="0" borderId="0" xfId="1" applyFont="1" applyAlignment="1">
      <alignment horizontal="right"/>
    </xf>
    <xf numFmtId="165" fontId="4" fillId="0" borderId="0" xfId="1" applyNumberFormat="1" applyFont="1" applyAlignment="1">
      <alignment horizontal="right"/>
    </xf>
    <xf numFmtId="43" fontId="4" fillId="0" borderId="0" xfId="1" applyFont="1" applyFill="1" applyAlignment="1">
      <alignment horizontal="left"/>
    </xf>
    <xf numFmtId="165" fontId="4" fillId="0" borderId="0" xfId="1" applyNumberFormat="1" applyFont="1" applyFill="1" applyAlignment="1">
      <alignment horizontal="right"/>
    </xf>
    <xf numFmtId="43" fontId="4" fillId="0" borderId="0" xfId="1" applyFont="1" applyFill="1" applyAlignment="1">
      <alignment horizontal="right"/>
    </xf>
    <xf numFmtId="20" fontId="4" fillId="0" borderId="0" xfId="1" applyNumberFormat="1" applyFont="1" applyFill="1" applyAlignment="1">
      <alignment horizontal="right"/>
    </xf>
    <xf numFmtId="9" fontId="4" fillId="0" borderId="0" xfId="2" applyNumberFormat="1" applyFont="1" applyAlignment="1">
      <alignment horizontal="right"/>
    </xf>
    <xf numFmtId="167" fontId="4" fillId="0" borderId="0" xfId="1" applyNumberFormat="1" applyFont="1" applyAlignment="1">
      <alignment horizontal="right"/>
    </xf>
    <xf numFmtId="43" fontId="4" fillId="0" borderId="0" xfId="1" applyFont="1" applyFill="1"/>
    <xf numFmtId="165" fontId="4" fillId="0" borderId="0" xfId="0" applyNumberFormat="1" applyFont="1" applyFill="1"/>
    <xf numFmtId="167" fontId="4" fillId="0" borderId="0" xfId="1" applyNumberFormat="1" applyFont="1" applyFill="1"/>
    <xf numFmtId="165" fontId="4" fillId="0" borderId="0" xfId="1" applyNumberFormat="1" applyFont="1" applyFill="1" applyBorder="1" applyAlignment="1">
      <alignment horizontal="right"/>
    </xf>
    <xf numFmtId="165" fontId="4" fillId="0" borderId="5" xfId="1" applyNumberFormat="1" applyFont="1" applyFill="1" applyBorder="1" applyAlignment="1">
      <alignment horizontal="right"/>
    </xf>
    <xf numFmtId="165" fontId="4" fillId="0" borderId="5" xfId="1" applyNumberFormat="1" applyFont="1" applyBorder="1" applyAlignment="1">
      <alignment horizontal="right"/>
    </xf>
    <xf numFmtId="9" fontId="4" fillId="0" borderId="7" xfId="2" applyFont="1" applyFill="1" applyBorder="1" applyAlignment="1">
      <alignment horizontal="right"/>
    </xf>
    <xf numFmtId="0" fontId="58" fillId="0" borderId="0" xfId="0" applyFont="1" applyFill="1" applyBorder="1" applyAlignment="1">
      <alignment horizontal="left"/>
    </xf>
    <xf numFmtId="164" fontId="60" fillId="0" borderId="0" xfId="1" quotePrefix="1" applyNumberFormat="1" applyFont="1" applyFill="1" applyBorder="1" applyAlignment="1">
      <alignment horizontal="right"/>
    </xf>
    <xf numFmtId="164" fontId="60" fillId="0" borderId="0" xfId="1" quotePrefix="1" applyNumberFormat="1" applyFont="1" applyBorder="1" applyAlignment="1">
      <alignment horizontal="right"/>
    </xf>
    <xf numFmtId="164" fontId="60" fillId="0" borderId="5" xfId="1" quotePrefix="1" applyNumberFormat="1" applyFont="1" applyFill="1" applyBorder="1" applyAlignment="1">
      <alignment horizontal="right"/>
    </xf>
    <xf numFmtId="165" fontId="4" fillId="0" borderId="0" xfId="1" quotePrefix="1" applyNumberFormat="1" applyFont="1" applyFill="1" applyBorder="1" applyAlignment="1">
      <alignment horizontal="right"/>
    </xf>
    <xf numFmtId="165" fontId="4" fillId="0" borderId="5" xfId="1" quotePrefix="1" applyNumberFormat="1" applyFont="1" applyBorder="1" applyAlignment="1">
      <alignment horizontal="right"/>
    </xf>
    <xf numFmtId="165" fontId="4" fillId="0" borderId="31" xfId="1" quotePrefix="1" applyNumberFormat="1" applyFont="1" applyBorder="1" applyAlignment="1">
      <alignment horizontal="right"/>
    </xf>
    <xf numFmtId="0" fontId="4" fillId="0" borderId="0" xfId="0" applyFont="1" applyAlignment="1">
      <alignment horizontal="left"/>
    </xf>
    <xf numFmtId="0" fontId="4" fillId="0" borderId="0" xfId="0" applyFont="1" applyFill="1"/>
    <xf numFmtId="165" fontId="4" fillId="0" borderId="5" xfId="1" quotePrefix="1" applyNumberFormat="1" applyFont="1" applyFill="1" applyBorder="1" applyAlignment="1">
      <alignment horizontal="right"/>
    </xf>
    <xf numFmtId="0" fontId="58" fillId="0" borderId="0" xfId="0" applyFont="1"/>
    <xf numFmtId="165" fontId="4" fillId="0" borderId="31" xfId="1" quotePrefix="1" applyNumberFormat="1" applyFont="1" applyFill="1" applyBorder="1" applyAlignment="1">
      <alignment horizontal="right"/>
    </xf>
    <xf numFmtId="9" fontId="4" fillId="0" borderId="5" xfId="2" quotePrefix="1" applyFont="1" applyBorder="1" applyAlignment="1">
      <alignment horizontal="right"/>
    </xf>
    <xf numFmtId="9" fontId="4" fillId="0" borderId="0" xfId="2" quotePrefix="1" applyFont="1" applyFill="1" applyBorder="1" applyAlignment="1">
      <alignment horizontal="right"/>
    </xf>
    <xf numFmtId="0" fontId="4" fillId="0" borderId="0" xfId="0" applyFont="1" applyBorder="1"/>
    <xf numFmtId="9" fontId="4" fillId="0" borderId="0" xfId="2" applyFont="1" applyBorder="1" applyAlignment="1">
      <alignment horizontal="right"/>
    </xf>
    <xf numFmtId="9" fontId="4" fillId="0" borderId="5" xfId="2" applyFont="1" applyBorder="1" applyAlignment="1">
      <alignment horizontal="right"/>
    </xf>
    <xf numFmtId="9" fontId="4" fillId="0" borderId="0" xfId="2" applyFont="1" applyFill="1" applyBorder="1" applyAlignment="1">
      <alignment horizontal="right"/>
    </xf>
    <xf numFmtId="9" fontId="4" fillId="0" borderId="8" xfId="2" applyFont="1" applyFill="1" applyBorder="1" applyAlignment="1">
      <alignment horizontal="right"/>
    </xf>
    <xf numFmtId="164" fontId="4" fillId="0" borderId="0" xfId="1" applyNumberFormat="1" applyFont="1" applyFill="1" applyAlignment="1">
      <alignment horizontal="right"/>
    </xf>
    <xf numFmtId="164" fontId="58" fillId="0" borderId="0" xfId="1" quotePrefix="1" applyNumberFormat="1" applyFont="1" applyFill="1" applyBorder="1" applyAlignment="1">
      <alignment horizontal="right"/>
    </xf>
    <xf numFmtId="164" fontId="4" fillId="0" borderId="0" xfId="1" applyNumberFormat="1" applyFont="1" applyBorder="1" applyAlignment="1">
      <alignment horizontal="right"/>
    </xf>
    <xf numFmtId="0" fontId="4" fillId="0" borderId="0" xfId="0" applyFont="1" applyBorder="1" applyAlignment="1">
      <alignment horizontal="right"/>
    </xf>
    <xf numFmtId="43" fontId="58" fillId="0" borderId="0" xfId="1" quotePrefix="1" applyNumberFormat="1" applyFont="1" applyBorder="1" applyAlignment="1">
      <alignment horizontal="right"/>
    </xf>
    <xf numFmtId="43" fontId="58" fillId="0" borderId="0" xfId="1" quotePrefix="1" applyNumberFormat="1" applyFont="1" applyFill="1" applyBorder="1" applyAlignment="1">
      <alignment horizontal="right"/>
    </xf>
    <xf numFmtId="167" fontId="4" fillId="0" borderId="0" xfId="1" applyNumberFormat="1" applyFont="1" applyBorder="1" applyAlignment="1">
      <alignment horizontal="right"/>
    </xf>
    <xf numFmtId="43" fontId="4" fillId="0" borderId="0" xfId="1" applyFont="1"/>
    <xf numFmtId="165" fontId="4" fillId="0" borderId="0" xfId="1" applyNumberFormat="1" applyFont="1" applyBorder="1" applyAlignment="1">
      <alignment horizontal="right"/>
    </xf>
    <xf numFmtId="165" fontId="4" fillId="0" borderId="33" xfId="1" applyNumberFormat="1" applyFont="1" applyBorder="1" applyAlignment="1">
      <alignment horizontal="right"/>
    </xf>
    <xf numFmtId="165" fontId="4" fillId="0" borderId="34" xfId="1" applyNumberFormat="1" applyFont="1" applyBorder="1" applyAlignment="1">
      <alignment horizontal="right"/>
    </xf>
    <xf numFmtId="164" fontId="60" fillId="0" borderId="5" xfId="1" quotePrefix="1" applyNumberFormat="1" applyFont="1" applyBorder="1" applyAlignment="1">
      <alignment horizontal="right"/>
    </xf>
    <xf numFmtId="166" fontId="4" fillId="0" borderId="5" xfId="2" quotePrefix="1" applyNumberFormat="1" applyFont="1" applyBorder="1" applyAlignment="1">
      <alignment horizontal="right"/>
    </xf>
    <xf numFmtId="0" fontId="61" fillId="0" borderId="4" xfId="0" applyFont="1" applyFill="1" applyBorder="1" applyAlignment="1">
      <alignment horizontal="left"/>
    </xf>
    <xf numFmtId="164" fontId="4" fillId="0" borderId="5" xfId="1" quotePrefix="1" applyNumberFormat="1" applyFont="1" applyFill="1" applyBorder="1" applyAlignment="1">
      <alignment horizontal="right"/>
    </xf>
    <xf numFmtId="9" fontId="4" fillId="0" borderId="0" xfId="2" applyFont="1" applyAlignment="1">
      <alignment horizontal="right"/>
    </xf>
    <xf numFmtId="164" fontId="4" fillId="0" borderId="0" xfId="1" applyNumberFormat="1" applyFont="1" applyFill="1" applyAlignment="1">
      <alignment horizontal="left"/>
    </xf>
    <xf numFmtId="165" fontId="4" fillId="0" borderId="2" xfId="1" applyNumberFormat="1" applyFont="1" applyBorder="1" applyAlignment="1">
      <alignment horizontal="right"/>
    </xf>
    <xf numFmtId="165" fontId="4" fillId="0" borderId="2" xfId="1" applyNumberFormat="1" applyFont="1" applyFill="1" applyBorder="1" applyAlignment="1">
      <alignment horizontal="right"/>
    </xf>
    <xf numFmtId="0" fontId="4" fillId="0" borderId="0" xfId="0" applyFont="1" applyBorder="1" applyAlignment="1">
      <alignment horizontal="left"/>
    </xf>
    <xf numFmtId="9" fontId="4" fillId="0" borderId="5" xfId="2" quotePrefix="1" applyFont="1" applyFill="1" applyBorder="1" applyAlignment="1">
      <alignment horizontal="right"/>
    </xf>
    <xf numFmtId="164" fontId="60" fillId="0" borderId="2" xfId="1" quotePrefix="1" applyNumberFormat="1" applyFont="1" applyFill="1" applyBorder="1" applyAlignment="1">
      <alignment horizontal="right"/>
    </xf>
    <xf numFmtId="9" fontId="58" fillId="0" borderId="2" xfId="2" quotePrefix="1" applyFont="1" applyFill="1" applyBorder="1" applyAlignment="1">
      <alignment horizontal="right"/>
    </xf>
    <xf numFmtId="164" fontId="4" fillId="0" borderId="4" xfId="1" applyNumberFormat="1" applyFont="1" applyBorder="1" applyAlignment="1">
      <alignment horizontal="right"/>
    </xf>
    <xf numFmtId="0" fontId="4" fillId="0" borderId="0" xfId="0" applyFont="1" applyBorder="1" applyAlignment="1">
      <alignment vertical="top" wrapText="1"/>
    </xf>
    <xf numFmtId="164" fontId="57" fillId="3" borderId="0" xfId="1" quotePrefix="1" applyNumberFormat="1" applyFont="1" applyFill="1" applyBorder="1" applyAlignment="1">
      <alignment horizontal="right"/>
    </xf>
    <xf numFmtId="164" fontId="62" fillId="2" borderId="2" xfId="1" quotePrefix="1" applyNumberFormat="1" applyFont="1" applyFill="1" applyBorder="1" applyAlignment="1">
      <alignment horizontal="right"/>
    </xf>
    <xf numFmtId="164" fontId="63" fillId="2" borderId="0" xfId="1" quotePrefix="1" applyNumberFormat="1" applyFont="1" applyFill="1" applyBorder="1" applyAlignment="1">
      <alignment horizontal="right"/>
    </xf>
    <xf numFmtId="164" fontId="2" fillId="3" borderId="2" xfId="1" quotePrefix="1" applyNumberFormat="1" applyFont="1" applyFill="1" applyBorder="1" applyAlignment="1">
      <alignment horizontal="right"/>
    </xf>
    <xf numFmtId="165" fontId="66" fillId="0" borderId="0" xfId="1" applyNumberFormat="1" applyFont="1" applyBorder="1" applyAlignment="1">
      <alignment horizontal="right"/>
    </xf>
    <xf numFmtId="165" fontId="66" fillId="0" borderId="5" xfId="1" applyNumberFormat="1" applyFont="1" applyBorder="1" applyAlignment="1">
      <alignment horizontal="right"/>
    </xf>
    <xf numFmtId="0" fontId="67" fillId="0" borderId="3" xfId="0" applyFont="1" applyBorder="1" applyAlignment="1">
      <alignment horizontal="left"/>
    </xf>
    <xf numFmtId="0" fontId="4" fillId="0" borderId="4" xfId="0" applyFont="1" applyBorder="1" applyAlignment="1"/>
    <xf numFmtId="0" fontId="58" fillId="0" borderId="4" xfId="0" applyFont="1" applyBorder="1" applyAlignment="1"/>
    <xf numFmtId="165" fontId="69" fillId="0" borderId="0" xfId="1" applyNumberFormat="1" applyFont="1" applyBorder="1" applyAlignment="1">
      <alignment horizontal="right"/>
    </xf>
    <xf numFmtId="165" fontId="69" fillId="0" borderId="5" xfId="1" applyNumberFormat="1" applyFont="1" applyBorder="1" applyAlignment="1">
      <alignment horizontal="right"/>
    </xf>
    <xf numFmtId="165" fontId="66" fillId="0" borderId="0" xfId="1" applyNumberFormat="1" applyFont="1" applyFill="1" applyBorder="1" applyAlignment="1">
      <alignment horizontal="right"/>
    </xf>
    <xf numFmtId="165" fontId="69" fillId="0" borderId="0" xfId="1" applyNumberFormat="1" applyFont="1" applyFill="1" applyBorder="1" applyAlignment="1">
      <alignment horizontal="right"/>
    </xf>
    <xf numFmtId="0" fontId="68" fillId="0" borderId="4" xfId="0" applyFont="1" applyBorder="1" applyAlignment="1"/>
    <xf numFmtId="165" fontId="57" fillId="0" borderId="5" xfId="1" applyNumberFormat="1" applyFont="1" applyBorder="1" applyAlignment="1">
      <alignment horizontal="right"/>
    </xf>
    <xf numFmtId="165" fontId="57" fillId="0" borderId="0" xfId="1" applyNumberFormat="1" applyFont="1" applyFill="1" applyBorder="1" applyAlignment="1">
      <alignment horizontal="right"/>
    </xf>
    <xf numFmtId="165" fontId="57" fillId="0" borderId="5" xfId="1" applyNumberFormat="1" applyFont="1" applyFill="1" applyBorder="1" applyAlignment="1">
      <alignment horizontal="right"/>
    </xf>
    <xf numFmtId="0" fontId="68" fillId="0" borderId="0" xfId="0" applyFont="1"/>
    <xf numFmtId="165" fontId="68" fillId="0" borderId="0" xfId="1" applyNumberFormat="1" applyFont="1" applyBorder="1" applyAlignment="1">
      <alignment horizontal="right"/>
    </xf>
    <xf numFmtId="165" fontId="68" fillId="0" borderId="5" xfId="1" applyNumberFormat="1" applyFont="1" applyBorder="1" applyAlignment="1">
      <alignment horizontal="right"/>
    </xf>
    <xf numFmtId="165" fontId="68" fillId="0" borderId="0" xfId="1" applyNumberFormat="1" applyFont="1" applyFill="1" applyBorder="1" applyAlignment="1">
      <alignment horizontal="right"/>
    </xf>
    <xf numFmtId="165" fontId="68" fillId="0" borderId="5" xfId="1" applyNumberFormat="1" applyFont="1" applyFill="1" applyBorder="1" applyAlignment="1">
      <alignment horizontal="right"/>
    </xf>
    <xf numFmtId="0" fontId="66" fillId="0" borderId="0" xfId="0" applyFont="1"/>
    <xf numFmtId="165" fontId="66" fillId="0" borderId="5" xfId="1" applyNumberFormat="1" applyFont="1" applyFill="1" applyBorder="1" applyAlignment="1">
      <alignment horizontal="right"/>
    </xf>
    <xf numFmtId="43" fontId="68" fillId="0" borderId="0" xfId="1" applyNumberFormat="1" applyFont="1" applyFill="1" applyBorder="1" applyAlignment="1">
      <alignment horizontal="right"/>
    </xf>
    <xf numFmtId="43" fontId="68" fillId="0" borderId="5" xfId="1" applyNumberFormat="1" applyFont="1" applyFill="1" applyBorder="1" applyAlignment="1">
      <alignment horizontal="right"/>
    </xf>
    <xf numFmtId="43" fontId="66" fillId="0" borderId="0" xfId="1" applyNumberFormat="1" applyFont="1" applyFill="1" applyBorder="1" applyAlignment="1">
      <alignment horizontal="right"/>
    </xf>
    <xf numFmtId="43" fontId="66" fillId="0" borderId="5" xfId="1" applyNumberFormat="1" applyFont="1" applyFill="1" applyBorder="1" applyAlignment="1">
      <alignment horizontal="right"/>
    </xf>
    <xf numFmtId="9" fontId="66" fillId="0" borderId="7" xfId="2" applyFont="1" applyFill="1" applyBorder="1" applyAlignment="1">
      <alignment horizontal="right"/>
    </xf>
    <xf numFmtId="0" fontId="66" fillId="0" borderId="0" xfId="0" applyFont="1" applyFill="1" applyBorder="1" applyAlignment="1">
      <alignment horizontal="left"/>
    </xf>
    <xf numFmtId="0" fontId="68" fillId="0" borderId="14" xfId="0" applyFont="1" applyBorder="1" applyAlignment="1">
      <alignment horizontal="left"/>
    </xf>
    <xf numFmtId="0" fontId="68" fillId="0" borderId="15" xfId="0" applyFont="1" applyBorder="1" applyAlignment="1">
      <alignment horizontal="left"/>
    </xf>
    <xf numFmtId="165" fontId="58" fillId="0" borderId="31" xfId="1" quotePrefix="1" applyNumberFormat="1" applyFont="1" applyBorder="1" applyAlignment="1">
      <alignment horizontal="right"/>
    </xf>
    <xf numFmtId="165" fontId="58" fillId="0" borderId="31" xfId="1" quotePrefix="1" applyNumberFormat="1" applyFont="1" applyFill="1" applyBorder="1" applyAlignment="1">
      <alignment horizontal="right"/>
    </xf>
    <xf numFmtId="0" fontId="66" fillId="0" borderId="3" xfId="0" applyFont="1" applyBorder="1" applyAlignment="1">
      <alignment horizontal="left" indent="1"/>
    </xf>
    <xf numFmtId="41" fontId="66" fillId="0" borderId="0" xfId="1" quotePrefix="1" applyNumberFormat="1" applyFont="1" applyBorder="1" applyAlignment="1">
      <alignment horizontal="right"/>
    </xf>
    <xf numFmtId="41" fontId="68" fillId="0" borderId="0" xfId="1" quotePrefix="1" applyNumberFormat="1" applyFont="1" applyFill="1" applyBorder="1" applyAlignment="1">
      <alignment horizontal="right"/>
    </xf>
    <xf numFmtId="164" fontId="60" fillId="13" borderId="0" xfId="1" quotePrefix="1" applyNumberFormat="1" applyFont="1" applyFill="1" applyBorder="1" applyAlignment="1">
      <alignment horizontal="right"/>
    </xf>
    <xf numFmtId="0" fontId="66" fillId="13" borderId="3" xfId="0" applyFont="1" applyFill="1" applyBorder="1" applyAlignment="1">
      <alignment horizontal="left" indent="1"/>
    </xf>
    <xf numFmtId="0" fontId="66" fillId="13" borderId="4" xfId="0" applyFont="1" applyFill="1" applyBorder="1" applyAlignment="1">
      <alignment horizontal="left"/>
    </xf>
    <xf numFmtId="41" fontId="66" fillId="13" borderId="0" xfId="1" quotePrefix="1" applyNumberFormat="1" applyFont="1" applyFill="1" applyBorder="1" applyAlignment="1">
      <alignment horizontal="right"/>
    </xf>
    <xf numFmtId="7" fontId="66" fillId="13" borderId="0" xfId="1" quotePrefix="1" applyNumberFormat="1" applyFont="1" applyFill="1" applyBorder="1" applyAlignment="1">
      <alignment horizontal="right"/>
    </xf>
    <xf numFmtId="0" fontId="68" fillId="13" borderId="15" xfId="0" applyFont="1" applyFill="1" applyBorder="1" applyAlignment="1">
      <alignment horizontal="left"/>
    </xf>
    <xf numFmtId="0" fontId="68" fillId="13" borderId="14" xfId="0" applyFont="1" applyFill="1" applyBorder="1" applyAlignment="1">
      <alignment horizontal="left"/>
    </xf>
    <xf numFmtId="164" fontId="60" fillId="0" borderId="59" xfId="1" quotePrefix="1" applyNumberFormat="1" applyFont="1" applyBorder="1" applyAlignment="1">
      <alignment horizontal="right"/>
    </xf>
    <xf numFmtId="0" fontId="68" fillId="13" borderId="4" xfId="0" applyFont="1" applyFill="1" applyBorder="1" applyAlignment="1">
      <alignment horizontal="left"/>
    </xf>
    <xf numFmtId="0" fontId="68" fillId="13" borderId="3" xfId="0" applyFont="1" applyFill="1" applyBorder="1" applyAlignment="1">
      <alignment horizontal="left"/>
    </xf>
    <xf numFmtId="165" fontId="4" fillId="13" borderId="5" xfId="1" quotePrefix="1" applyNumberFormat="1" applyFont="1" applyFill="1" applyBorder="1" applyAlignment="1">
      <alignment horizontal="right"/>
    </xf>
    <xf numFmtId="165" fontId="4" fillId="13" borderId="31" xfId="1" quotePrefix="1" applyNumberFormat="1" applyFont="1" applyFill="1" applyBorder="1" applyAlignment="1">
      <alignment horizontal="right"/>
    </xf>
    <xf numFmtId="165" fontId="4" fillId="13" borderId="60" xfId="1" quotePrefix="1" applyNumberFormat="1" applyFont="1" applyFill="1" applyBorder="1" applyAlignment="1">
      <alignment horizontal="right"/>
    </xf>
    <xf numFmtId="165" fontId="66" fillId="0" borderId="0" xfId="1" quotePrefix="1" applyNumberFormat="1" applyFont="1" applyFill="1" applyBorder="1" applyAlignment="1">
      <alignment horizontal="right"/>
    </xf>
    <xf numFmtId="165" fontId="66" fillId="10" borderId="0" xfId="1" quotePrefix="1" applyNumberFormat="1" applyFont="1" applyFill="1" applyBorder="1" applyAlignment="1">
      <alignment horizontal="right"/>
    </xf>
    <xf numFmtId="0" fontId="66" fillId="0" borderId="3" xfId="0" applyFont="1" applyBorder="1" applyAlignment="1">
      <alignment horizontal="left" indent="3"/>
    </xf>
    <xf numFmtId="9" fontId="66" fillId="10" borderId="0" xfId="2" quotePrefix="1" applyFont="1" applyFill="1" applyBorder="1" applyAlignment="1">
      <alignment horizontal="right"/>
    </xf>
    <xf numFmtId="7" fontId="66" fillId="0" borderId="0" xfId="1" quotePrefix="1" applyNumberFormat="1" applyFont="1" applyFill="1" applyBorder="1" applyAlignment="1">
      <alignment horizontal="right"/>
    </xf>
    <xf numFmtId="41" fontId="68" fillId="0" borderId="32" xfId="1" quotePrefix="1" applyNumberFormat="1" applyFont="1" applyFill="1" applyBorder="1" applyAlignment="1">
      <alignment horizontal="right"/>
    </xf>
    <xf numFmtId="0" fontId="66" fillId="13" borderId="3" xfId="0" applyFont="1" applyFill="1" applyBorder="1" applyAlignment="1">
      <alignment horizontal="left" indent="3"/>
    </xf>
    <xf numFmtId="166" fontId="66" fillId="13" borderId="0" xfId="2" quotePrefix="1" applyNumberFormat="1" applyFont="1" applyFill="1" applyBorder="1" applyAlignment="1">
      <alignment horizontal="right"/>
    </xf>
    <xf numFmtId="9" fontId="4" fillId="13" borderId="5" xfId="2" quotePrefix="1" applyFont="1" applyFill="1" applyBorder="1" applyAlignment="1">
      <alignment horizontal="right"/>
    </xf>
    <xf numFmtId="41" fontId="68" fillId="13" borderId="32" xfId="1" quotePrefix="1" applyNumberFormat="1" applyFont="1" applyFill="1" applyBorder="1" applyAlignment="1">
      <alignment horizontal="right"/>
    </xf>
    <xf numFmtId="41" fontId="68" fillId="13" borderId="0" xfId="1" quotePrefix="1" applyNumberFormat="1" applyFont="1" applyFill="1" applyBorder="1" applyAlignment="1">
      <alignment horizontal="right"/>
    </xf>
    <xf numFmtId="0" fontId="71" fillId="0" borderId="4" xfId="0" applyFont="1" applyBorder="1" applyAlignment="1">
      <alignment horizontal="left"/>
    </xf>
    <xf numFmtId="0" fontId="66" fillId="0" borderId="3" xfId="3" applyFont="1" applyBorder="1" applyAlignment="1">
      <alignment horizontal="left" vertical="top"/>
    </xf>
    <xf numFmtId="0" fontId="66" fillId="0" borderId="4" xfId="3" applyFont="1" applyBorder="1" applyAlignment="1">
      <alignment horizontal="left" vertical="top"/>
    </xf>
    <xf numFmtId="165" fontId="69" fillId="0" borderId="5" xfId="1" applyNumberFormat="1" applyFont="1" applyFill="1" applyBorder="1" applyAlignment="1">
      <alignment horizontal="right"/>
    </xf>
    <xf numFmtId="165" fontId="68" fillId="0" borderId="7" xfId="1" applyNumberFormat="1" applyFont="1" applyBorder="1" applyAlignment="1">
      <alignment horizontal="right"/>
    </xf>
    <xf numFmtId="165" fontId="68" fillId="0" borderId="8" xfId="1" applyNumberFormat="1" applyFont="1" applyBorder="1" applyAlignment="1">
      <alignment horizontal="right"/>
    </xf>
    <xf numFmtId="165" fontId="68" fillId="0" borderId="7" xfId="1" applyNumberFormat="1" applyFont="1" applyFill="1" applyBorder="1" applyAlignment="1">
      <alignment horizontal="right"/>
    </xf>
    <xf numFmtId="165" fontId="73" fillId="0" borderId="0" xfId="1" quotePrefix="1" applyNumberFormat="1" applyFont="1" applyFill="1" applyBorder="1" applyAlignment="1">
      <alignment horizontal="right"/>
    </xf>
    <xf numFmtId="165" fontId="4" fillId="13" borderId="0" xfId="1" quotePrefix="1" applyNumberFormat="1" applyFont="1" applyFill="1" applyBorder="1" applyAlignment="1">
      <alignment horizontal="right"/>
    </xf>
    <xf numFmtId="0" fontId="66" fillId="13" borderId="3" xfId="0" applyFont="1" applyFill="1" applyBorder="1" applyAlignment="1">
      <alignment horizontal="left" indent="2"/>
    </xf>
    <xf numFmtId="0" fontId="68" fillId="13" borderId="14" xfId="0" applyFont="1" applyFill="1" applyBorder="1" applyAlignment="1">
      <alignment horizontal="left" indent="2"/>
    </xf>
    <xf numFmtId="0" fontId="66" fillId="13" borderId="27" xfId="0" applyFont="1" applyFill="1" applyBorder="1" applyAlignment="1">
      <alignment horizontal="left" indent="2"/>
    </xf>
    <xf numFmtId="0" fontId="66" fillId="13" borderId="28" xfId="0" applyFont="1" applyFill="1" applyBorder="1" applyAlignment="1">
      <alignment horizontal="left"/>
    </xf>
    <xf numFmtId="41" fontId="66" fillId="13" borderId="33" xfId="1" quotePrefix="1" applyNumberFormat="1" applyFont="1" applyFill="1" applyBorder="1" applyAlignment="1">
      <alignment horizontal="right"/>
    </xf>
    <xf numFmtId="0" fontId="68" fillId="13" borderId="3" xfId="0" applyFont="1" applyFill="1" applyBorder="1" applyAlignment="1">
      <alignment horizontal="left" indent="2"/>
    </xf>
    <xf numFmtId="165" fontId="4" fillId="13" borderId="34" xfId="1" quotePrefix="1" applyNumberFormat="1" applyFont="1" applyFill="1" applyBorder="1" applyAlignment="1">
      <alignment horizontal="right"/>
    </xf>
    <xf numFmtId="166" fontId="66" fillId="0" borderId="0" xfId="2" quotePrefix="1" applyNumberFormat="1" applyFont="1" applyFill="1" applyBorder="1" applyAlignment="1">
      <alignment horizontal="right"/>
    </xf>
    <xf numFmtId="0" fontId="68" fillId="0" borderId="15" xfId="0" applyFont="1" applyFill="1" applyBorder="1" applyAlignment="1">
      <alignment horizontal="left"/>
    </xf>
    <xf numFmtId="165" fontId="66" fillId="13" borderId="0" xfId="1" quotePrefix="1" applyNumberFormat="1" applyFont="1" applyFill="1" applyBorder="1" applyAlignment="1">
      <alignment horizontal="right"/>
    </xf>
    <xf numFmtId="165" fontId="68" fillId="13" borderId="0" xfId="1" quotePrefix="1" applyNumberFormat="1" applyFont="1" applyFill="1" applyBorder="1" applyAlignment="1">
      <alignment horizontal="right"/>
    </xf>
    <xf numFmtId="165" fontId="66" fillId="0" borderId="5" xfId="1" quotePrefix="1" applyNumberFormat="1" applyFont="1" applyFill="1" applyBorder="1" applyAlignment="1">
      <alignment horizontal="right"/>
    </xf>
    <xf numFmtId="0" fontId="71" fillId="13" borderId="4" xfId="0" applyFont="1" applyFill="1" applyBorder="1" applyAlignment="1">
      <alignment horizontal="left"/>
    </xf>
    <xf numFmtId="0" fontId="68" fillId="13" borderId="3" xfId="0" applyFont="1" applyFill="1" applyBorder="1" applyAlignment="1">
      <alignment horizontal="left" indent="1"/>
    </xf>
    <xf numFmtId="165" fontId="58" fillId="13" borderId="5" xfId="1" quotePrefix="1" applyNumberFormat="1" applyFont="1" applyFill="1" applyBorder="1" applyAlignment="1">
      <alignment horizontal="right"/>
    </xf>
    <xf numFmtId="165" fontId="68" fillId="13" borderId="31" xfId="1" quotePrefix="1" applyNumberFormat="1" applyFont="1" applyFill="1" applyBorder="1" applyAlignment="1">
      <alignment horizontal="right"/>
    </xf>
    <xf numFmtId="0" fontId="71" fillId="0" borderId="4" xfId="0" applyFont="1" applyFill="1" applyBorder="1" applyAlignment="1">
      <alignment horizontal="left"/>
    </xf>
    <xf numFmtId="165" fontId="66" fillId="0" borderId="31" xfId="1" quotePrefix="1" applyNumberFormat="1" applyFont="1" applyFill="1" applyBorder="1" applyAlignment="1">
      <alignment horizontal="right"/>
    </xf>
    <xf numFmtId="166" fontId="66" fillId="10" borderId="0" xfId="2" quotePrefix="1" applyNumberFormat="1" applyFont="1" applyFill="1" applyBorder="1" applyAlignment="1">
      <alignment horizontal="right"/>
    </xf>
    <xf numFmtId="0" fontId="66" fillId="13" borderId="3" xfId="0" applyFont="1" applyFill="1" applyBorder="1" applyAlignment="1">
      <alignment horizontal="left"/>
    </xf>
    <xf numFmtId="166" fontId="4" fillId="13" borderId="5" xfId="2" quotePrefix="1" applyNumberFormat="1" applyFont="1" applyFill="1" applyBorder="1" applyAlignment="1">
      <alignment horizontal="right"/>
    </xf>
    <xf numFmtId="0" fontId="70" fillId="13" borderId="27" xfId="0" applyFont="1" applyFill="1" applyBorder="1" applyAlignment="1">
      <alignment horizontal="left"/>
    </xf>
    <xf numFmtId="0" fontId="68" fillId="13" borderId="61" xfId="0" applyFont="1" applyFill="1" applyBorder="1" applyAlignment="1">
      <alignment horizontal="left"/>
    </xf>
    <xf numFmtId="0" fontId="68" fillId="13" borderId="62" xfId="0" applyFont="1" applyFill="1" applyBorder="1" applyAlignment="1">
      <alignment horizontal="left"/>
    </xf>
    <xf numFmtId="166" fontId="68" fillId="13" borderId="63" xfId="2" quotePrefix="1" applyNumberFormat="1" applyFont="1" applyFill="1" applyBorder="1" applyAlignment="1">
      <alignment horizontal="right"/>
    </xf>
    <xf numFmtId="227" fontId="72" fillId="10" borderId="0" xfId="1" quotePrefix="1" applyNumberFormat="1" applyFont="1" applyFill="1" applyBorder="1" applyAlignment="1">
      <alignment horizontal="right"/>
    </xf>
    <xf numFmtId="165" fontId="68" fillId="10" borderId="0" xfId="1" quotePrefix="1" applyNumberFormat="1" applyFont="1" applyFill="1" applyBorder="1" applyAlignment="1">
      <alignment horizontal="right"/>
    </xf>
    <xf numFmtId="9" fontId="66" fillId="13" borderId="33" xfId="2" quotePrefix="1" applyFont="1" applyFill="1" applyBorder="1" applyAlignment="1">
      <alignment horizontal="right"/>
    </xf>
    <xf numFmtId="9" fontId="66" fillId="0" borderId="0" xfId="2" quotePrefix="1" applyFont="1" applyFill="1" applyBorder="1" applyAlignment="1">
      <alignment horizontal="right"/>
    </xf>
    <xf numFmtId="165" fontId="73" fillId="0" borderId="5" xfId="1" quotePrefix="1" applyNumberFormat="1" applyFont="1" applyFill="1" applyBorder="1" applyAlignment="1">
      <alignment horizontal="right"/>
    </xf>
    <xf numFmtId="165" fontId="73" fillId="0" borderId="0" xfId="2" applyNumberFormat="1" applyFont="1" applyFill="1" applyBorder="1" applyAlignment="1">
      <alignment horizontal="right"/>
    </xf>
    <xf numFmtId="165" fontId="68" fillId="0" borderId="0" xfId="1" quotePrefix="1" applyNumberFormat="1" applyFont="1" applyFill="1" applyBorder="1" applyAlignment="1">
      <alignment horizontal="right"/>
    </xf>
    <xf numFmtId="165" fontId="68" fillId="13" borderId="5" xfId="1" quotePrefix="1" applyNumberFormat="1" applyFont="1" applyFill="1" applyBorder="1" applyAlignment="1">
      <alignment horizontal="right"/>
    </xf>
    <xf numFmtId="165" fontId="66" fillId="0" borderId="0" xfId="2" quotePrefix="1" applyNumberFormat="1" applyFont="1" applyFill="1" applyBorder="1" applyAlignment="1">
      <alignment horizontal="right"/>
    </xf>
    <xf numFmtId="166" fontId="68" fillId="13" borderId="32" xfId="2" quotePrefix="1" applyNumberFormat="1" applyFont="1" applyFill="1" applyBorder="1" applyAlignment="1">
      <alignment horizontal="right"/>
    </xf>
    <xf numFmtId="166" fontId="66" fillId="0" borderId="0" xfId="2" applyNumberFormat="1" applyFont="1" applyFill="1" applyBorder="1" applyAlignment="1">
      <alignment horizontal="right"/>
    </xf>
    <xf numFmtId="0" fontId="4" fillId="0" borderId="0" xfId="0" applyFont="1" applyFill="1" applyBorder="1"/>
    <xf numFmtId="0" fontId="77" fillId="0" borderId="0" xfId="0" applyFont="1" applyFill="1"/>
    <xf numFmtId="0" fontId="58" fillId="0" borderId="0" xfId="0" applyFont="1" applyFill="1"/>
    <xf numFmtId="165" fontId="68" fillId="0" borderId="5" xfId="1" quotePrefix="1" applyNumberFormat="1" applyFont="1" applyFill="1" applyBorder="1" applyAlignment="1">
      <alignment horizontal="right"/>
    </xf>
    <xf numFmtId="165" fontId="69" fillId="0" borderId="0" xfId="1" quotePrefix="1" applyNumberFormat="1" applyFont="1" applyFill="1" applyBorder="1" applyAlignment="1">
      <alignment horizontal="right"/>
    </xf>
    <xf numFmtId="165" fontId="69" fillId="0" borderId="5" xfId="1" quotePrefix="1" applyNumberFormat="1" applyFont="1" applyFill="1" applyBorder="1" applyAlignment="1">
      <alignment horizontal="right"/>
    </xf>
    <xf numFmtId="0" fontId="76" fillId="0" borderId="3" xfId="0" applyFont="1" applyBorder="1" applyAlignment="1">
      <alignment horizontal="left"/>
    </xf>
    <xf numFmtId="165" fontId="4" fillId="0" borderId="34" xfId="1" quotePrefix="1" applyNumberFormat="1" applyFont="1" applyFill="1" applyBorder="1" applyAlignment="1">
      <alignment horizontal="right"/>
    </xf>
    <xf numFmtId="165" fontId="66" fillId="0" borderId="33" xfId="1" quotePrefix="1" applyNumberFormat="1" applyFont="1" applyFill="1" applyBorder="1" applyAlignment="1">
      <alignment horizontal="right"/>
    </xf>
    <xf numFmtId="165" fontId="66" fillId="0" borderId="34" xfId="1" quotePrefix="1" applyNumberFormat="1" applyFont="1" applyFill="1" applyBorder="1" applyAlignment="1">
      <alignment horizontal="right"/>
    </xf>
    <xf numFmtId="9" fontId="68" fillId="0" borderId="5" xfId="2" quotePrefix="1" applyFont="1" applyFill="1" applyBorder="1" applyAlignment="1">
      <alignment horizontal="right"/>
    </xf>
    <xf numFmtId="10" fontId="68" fillId="0" borderId="0" xfId="2" applyNumberFormat="1" applyFont="1" applyFill="1" applyBorder="1" applyAlignment="1">
      <alignment horizontal="right"/>
    </xf>
    <xf numFmtId="10" fontId="66" fillId="0" borderId="5" xfId="2" applyNumberFormat="1" applyFont="1" applyBorder="1" applyAlignment="1">
      <alignment horizontal="right"/>
    </xf>
    <xf numFmtId="10" fontId="66" fillId="0" borderId="0" xfId="2" applyNumberFormat="1" applyFont="1" applyFill="1" applyBorder="1" applyAlignment="1">
      <alignment horizontal="right"/>
    </xf>
    <xf numFmtId="9" fontId="66" fillId="0" borderId="5" xfId="2" applyFont="1" applyBorder="1" applyAlignment="1">
      <alignment horizontal="right"/>
    </xf>
    <xf numFmtId="166" fontId="66" fillId="0" borderId="5" xfId="2" applyNumberFormat="1" applyFont="1" applyBorder="1" applyAlignment="1">
      <alignment horizontal="right"/>
    </xf>
    <xf numFmtId="166" fontId="66" fillId="0" borderId="5" xfId="2" quotePrefix="1" applyNumberFormat="1" applyFont="1" applyFill="1" applyBorder="1" applyAlignment="1">
      <alignment horizontal="right"/>
    </xf>
    <xf numFmtId="10" fontId="66" fillId="0" borderId="5" xfId="2" quotePrefix="1" applyNumberFormat="1" applyFont="1" applyFill="1" applyBorder="1" applyAlignment="1">
      <alignment horizontal="right"/>
    </xf>
    <xf numFmtId="10" fontId="66" fillId="0" borderId="0" xfId="2" quotePrefix="1" applyNumberFormat="1" applyFont="1" applyFill="1" applyBorder="1" applyAlignment="1">
      <alignment horizontal="right"/>
    </xf>
    <xf numFmtId="225" fontId="66" fillId="0" borderId="5" xfId="2" applyNumberFormat="1" applyFont="1" applyBorder="1" applyAlignment="1">
      <alignment horizontal="right"/>
    </xf>
    <xf numFmtId="6" fontId="66" fillId="0" borderId="5" xfId="2" applyNumberFormat="1" applyFont="1" applyBorder="1" applyAlignment="1">
      <alignment horizontal="right"/>
    </xf>
    <xf numFmtId="165" fontId="66" fillId="0" borderId="32" xfId="1" quotePrefix="1" applyNumberFormat="1" applyFont="1" applyFill="1" applyBorder="1" applyAlignment="1">
      <alignment horizontal="right"/>
    </xf>
    <xf numFmtId="165" fontId="79" fillId="0" borderId="31" xfId="1" quotePrefix="1" applyNumberFormat="1" applyFont="1" applyFill="1" applyBorder="1" applyAlignment="1">
      <alignment horizontal="right"/>
    </xf>
    <xf numFmtId="165" fontId="66" fillId="10" borderId="5" xfId="1" quotePrefix="1" applyNumberFormat="1" applyFont="1" applyFill="1" applyBorder="1" applyAlignment="1">
      <alignment horizontal="right"/>
    </xf>
    <xf numFmtId="165" fontId="69" fillId="10" borderId="0" xfId="1" quotePrefix="1" applyNumberFormat="1" applyFont="1" applyFill="1" applyBorder="1" applyAlignment="1">
      <alignment horizontal="right"/>
    </xf>
    <xf numFmtId="165" fontId="69" fillId="10" borderId="5" xfId="1" quotePrefix="1" applyNumberFormat="1" applyFont="1" applyFill="1" applyBorder="1" applyAlignment="1">
      <alignment horizontal="right"/>
    </xf>
    <xf numFmtId="10" fontId="66" fillId="10" borderId="5" xfId="2" applyNumberFormat="1" applyFont="1" applyFill="1" applyBorder="1" applyAlignment="1">
      <alignment horizontal="right"/>
    </xf>
    <xf numFmtId="10" fontId="66" fillId="10" borderId="5" xfId="2" quotePrefix="1" applyNumberFormat="1" applyFont="1" applyFill="1" applyBorder="1" applyAlignment="1">
      <alignment horizontal="right"/>
    </xf>
    <xf numFmtId="6" fontId="66" fillId="10" borderId="5" xfId="2" applyNumberFormat="1" applyFont="1" applyFill="1" applyBorder="1" applyAlignment="1">
      <alignment horizontal="right"/>
    </xf>
    <xf numFmtId="225" fontId="68" fillId="0" borderId="0" xfId="1" applyNumberFormat="1" applyFont="1" applyFill="1" applyBorder="1" applyAlignment="1">
      <alignment horizontal="right"/>
    </xf>
    <xf numFmtId="225" fontId="68" fillId="0" borderId="0" xfId="2" applyNumberFormat="1" applyFont="1" applyFill="1" applyBorder="1" applyAlignment="1">
      <alignment horizontal="right"/>
    </xf>
    <xf numFmtId="225" fontId="66" fillId="0" borderId="0" xfId="2" applyNumberFormat="1" applyFont="1" applyFill="1" applyBorder="1" applyAlignment="1">
      <alignment horizontal="right"/>
    </xf>
    <xf numFmtId="225" fontId="68" fillId="0" borderId="0" xfId="1" quotePrefix="1" applyNumberFormat="1" applyFont="1" applyFill="1" applyBorder="1" applyAlignment="1">
      <alignment horizontal="right"/>
    </xf>
    <xf numFmtId="225" fontId="66" fillId="10" borderId="5" xfId="2" applyNumberFormat="1" applyFont="1" applyFill="1" applyBorder="1" applyAlignment="1">
      <alignment horizontal="right"/>
    </xf>
    <xf numFmtId="165" fontId="79" fillId="10" borderId="31" xfId="1" quotePrefix="1" applyNumberFormat="1" applyFont="1" applyFill="1" applyBorder="1" applyAlignment="1">
      <alignment horizontal="right"/>
    </xf>
    <xf numFmtId="0" fontId="66" fillId="0" borderId="0" xfId="0" applyFont="1" applyFill="1"/>
    <xf numFmtId="165" fontId="66" fillId="0" borderId="5" xfId="2" quotePrefix="1" applyNumberFormat="1" applyFont="1" applyFill="1" applyBorder="1" applyAlignment="1">
      <alignment horizontal="right"/>
    </xf>
    <xf numFmtId="0" fontId="68" fillId="0" borderId="0" xfId="0" applyFont="1" applyFill="1"/>
    <xf numFmtId="6" fontId="66" fillId="0" borderId="5" xfId="2" applyNumberFormat="1" applyFont="1" applyFill="1" applyBorder="1" applyAlignment="1">
      <alignment horizontal="right"/>
    </xf>
    <xf numFmtId="9" fontId="66" fillId="0" borderId="0" xfId="2" applyFont="1" applyBorder="1" applyAlignment="1">
      <alignment horizontal="right"/>
    </xf>
    <xf numFmtId="166" fontId="66" fillId="0" borderId="0" xfId="2" applyNumberFormat="1" applyFont="1" applyBorder="1" applyAlignment="1">
      <alignment horizontal="right"/>
    </xf>
    <xf numFmtId="166" fontId="66" fillId="0" borderId="5" xfId="2" applyNumberFormat="1" applyFont="1" applyFill="1" applyBorder="1" applyAlignment="1">
      <alignment horizontal="right"/>
    </xf>
    <xf numFmtId="0" fontId="66" fillId="0" borderId="3" xfId="0" applyFont="1" applyBorder="1" applyAlignment="1"/>
    <xf numFmtId="164" fontId="66" fillId="0" borderId="0" xfId="1" quotePrefix="1" applyNumberFormat="1" applyFont="1" applyFill="1" applyBorder="1" applyAlignment="1">
      <alignment horizontal="right"/>
    </xf>
    <xf numFmtId="164" fontId="66" fillId="0" borderId="5" xfId="1" quotePrefix="1" applyNumberFormat="1" applyFont="1" applyFill="1" applyBorder="1" applyAlignment="1">
      <alignment horizontal="right"/>
    </xf>
    <xf numFmtId="164" fontId="66" fillId="10" borderId="0" xfId="1" quotePrefix="1" applyNumberFormat="1" applyFont="1" applyFill="1" applyBorder="1" applyAlignment="1">
      <alignment horizontal="right"/>
    </xf>
    <xf numFmtId="167" fontId="66" fillId="0" borderId="5" xfId="1" quotePrefix="1" applyNumberFormat="1" applyFont="1" applyFill="1" applyBorder="1" applyAlignment="1">
      <alignment horizontal="right"/>
    </xf>
    <xf numFmtId="165" fontId="69" fillId="10" borderId="0" xfId="1" applyNumberFormat="1" applyFont="1" applyFill="1" applyBorder="1" applyAlignment="1">
      <alignment horizontal="right"/>
    </xf>
    <xf numFmtId="9" fontId="66" fillId="0" borderId="5" xfId="2" quotePrefix="1" applyFont="1" applyFill="1" applyBorder="1" applyAlignment="1">
      <alignment horizontal="right"/>
    </xf>
    <xf numFmtId="165" fontId="66" fillId="10" borderId="0" xfId="1" applyNumberFormat="1" applyFont="1" applyFill="1" applyBorder="1" applyAlignment="1">
      <alignment horizontal="right"/>
    </xf>
    <xf numFmtId="9" fontId="66" fillId="10" borderId="0" xfId="2" applyFont="1" applyFill="1" applyBorder="1" applyAlignment="1">
      <alignment horizontal="right"/>
    </xf>
    <xf numFmtId="166" fontId="66" fillId="10" borderId="0" xfId="2" applyNumberFormat="1" applyFont="1" applyFill="1" applyBorder="1" applyAlignment="1">
      <alignment horizontal="right"/>
    </xf>
    <xf numFmtId="166" fontId="66" fillId="0" borderId="33" xfId="2" quotePrefix="1" applyNumberFormat="1" applyFont="1" applyFill="1" applyBorder="1" applyAlignment="1">
      <alignment horizontal="right"/>
    </xf>
    <xf numFmtId="43" fontId="66" fillId="10" borderId="0" xfId="1" quotePrefix="1" applyNumberFormat="1" applyFont="1" applyFill="1" applyBorder="1" applyAlignment="1">
      <alignment horizontal="right"/>
    </xf>
    <xf numFmtId="0" fontId="76" fillId="0" borderId="3" xfId="3" applyFont="1" applyFill="1" applyBorder="1" applyAlignment="1">
      <alignment horizontal="left" vertical="top"/>
    </xf>
    <xf numFmtId="0" fontId="66" fillId="0" borderId="3" xfId="3" applyFont="1" applyFill="1" applyBorder="1" applyAlignment="1">
      <alignment horizontal="left" vertical="top" indent="1"/>
    </xf>
    <xf numFmtId="0" fontId="66" fillId="0" borderId="3" xfId="0" applyFont="1" applyFill="1" applyBorder="1" applyAlignment="1">
      <alignment horizontal="left" indent="2"/>
    </xf>
    <xf numFmtId="165" fontId="66" fillId="10" borderId="5" xfId="2" quotePrefix="1" applyNumberFormat="1" applyFont="1" applyFill="1" applyBorder="1" applyAlignment="1">
      <alignment horizontal="right"/>
    </xf>
    <xf numFmtId="0" fontId="66" fillId="0" borderId="27" xfId="0" applyFont="1" applyBorder="1" applyAlignment="1">
      <alignment horizontal="left" indent="1"/>
    </xf>
    <xf numFmtId="0" fontId="66" fillId="0" borderId="3" xfId="0" applyFont="1" applyFill="1" applyBorder="1" applyAlignment="1">
      <alignment horizontal="left" indent="3"/>
    </xf>
    <xf numFmtId="165" fontId="66" fillId="10" borderId="33" xfId="1" quotePrefix="1" applyNumberFormat="1" applyFont="1" applyFill="1" applyBorder="1" applyAlignment="1">
      <alignment horizontal="right"/>
    </xf>
    <xf numFmtId="165" fontId="58" fillId="0" borderId="9" xfId="1" applyNumberFormat="1" applyFont="1" applyFill="1" applyBorder="1" applyAlignment="1">
      <alignment horizontal="right"/>
    </xf>
    <xf numFmtId="0" fontId="70" fillId="0" borderId="27" xfId="0" applyFont="1" applyFill="1" applyBorder="1" applyAlignment="1">
      <alignment horizontal="left"/>
    </xf>
    <xf numFmtId="7" fontId="66" fillId="0" borderId="0" xfId="1" applyNumberFormat="1" applyFont="1" applyFill="1" applyBorder="1" applyAlignment="1">
      <alignment horizontal="right"/>
    </xf>
    <xf numFmtId="7" fontId="4" fillId="0" borderId="5" xfId="1" applyNumberFormat="1" applyFont="1" applyFill="1" applyBorder="1" applyAlignment="1">
      <alignment horizontal="right"/>
    </xf>
    <xf numFmtId="7" fontId="66" fillId="10" borderId="0" xfId="1" applyNumberFormat="1" applyFont="1" applyFill="1" applyBorder="1" applyAlignment="1">
      <alignment horizontal="right"/>
    </xf>
    <xf numFmtId="10" fontId="66" fillId="0" borderId="5" xfId="2" applyNumberFormat="1" applyFont="1" applyFill="1" applyBorder="1" applyAlignment="1">
      <alignment horizontal="right"/>
    </xf>
    <xf numFmtId="225" fontId="66" fillId="0" borderId="5" xfId="2" applyNumberFormat="1" applyFont="1" applyFill="1" applyBorder="1" applyAlignment="1">
      <alignment horizontal="right"/>
    </xf>
    <xf numFmtId="164" fontId="66" fillId="0" borderId="5" xfId="1" applyNumberFormat="1" applyFont="1" applyFill="1" applyBorder="1" applyAlignment="1">
      <alignment horizontal="right"/>
    </xf>
    <xf numFmtId="41" fontId="66" fillId="0" borderId="0" xfId="1" quotePrefix="1" applyNumberFormat="1" applyFont="1" applyFill="1" applyBorder="1" applyAlignment="1">
      <alignment horizontal="right"/>
    </xf>
    <xf numFmtId="41" fontId="66" fillId="0" borderId="33" xfId="1" quotePrefix="1" applyNumberFormat="1" applyFont="1" applyFill="1" applyBorder="1" applyAlignment="1">
      <alignment horizontal="right"/>
    </xf>
    <xf numFmtId="165" fontId="74" fillId="0" borderId="0" xfId="1" quotePrefix="1" applyNumberFormat="1" applyFont="1" applyFill="1" applyBorder="1" applyAlignment="1">
      <alignment horizontal="right"/>
    </xf>
    <xf numFmtId="164" fontId="75" fillId="0" borderId="5" xfId="1" quotePrefix="1" applyNumberFormat="1" applyFont="1" applyFill="1" applyBorder="1" applyAlignment="1">
      <alignment horizontal="right"/>
    </xf>
    <xf numFmtId="164" fontId="60" fillId="0" borderId="59" xfId="1" quotePrefix="1" applyNumberFormat="1" applyFont="1" applyFill="1" applyBorder="1" applyAlignment="1">
      <alignment horizontal="right"/>
    </xf>
    <xf numFmtId="165" fontId="68" fillId="0" borderId="32" xfId="1" quotePrefix="1" applyNumberFormat="1" applyFont="1" applyFill="1" applyBorder="1" applyAlignment="1">
      <alignment horizontal="right"/>
    </xf>
    <xf numFmtId="0" fontId="68" fillId="0" borderId="3" xfId="0" applyFont="1" applyBorder="1" applyAlignment="1">
      <alignment horizontal="left" indent="4"/>
    </xf>
    <xf numFmtId="7" fontId="66" fillId="0" borderId="5" xfId="1" applyNumberFormat="1" applyFont="1" applyFill="1" applyBorder="1" applyAlignment="1">
      <alignment horizontal="right"/>
    </xf>
    <xf numFmtId="164" fontId="66" fillId="0" borderId="7" xfId="1" applyNumberFormat="1" applyFont="1" applyFill="1" applyBorder="1" applyAlignment="1">
      <alignment horizontal="right"/>
    </xf>
    <xf numFmtId="164" fontId="66" fillId="0" borderId="8" xfId="1" applyNumberFormat="1" applyFont="1" applyFill="1" applyBorder="1" applyAlignment="1">
      <alignment horizontal="right"/>
    </xf>
    <xf numFmtId="9" fontId="66" fillId="0" borderId="7" xfId="2" applyFont="1" applyFill="1" applyBorder="1" applyAlignment="1">
      <alignment horizontal="left"/>
    </xf>
    <xf numFmtId="166" fontId="66" fillId="0" borderId="7" xfId="2" applyNumberFormat="1" applyFont="1" applyFill="1" applyBorder="1" applyAlignment="1">
      <alignment horizontal="right"/>
    </xf>
    <xf numFmtId="0" fontId="66" fillId="0" borderId="3" xfId="0" applyFont="1" applyFill="1" applyBorder="1"/>
    <xf numFmtId="9" fontId="66" fillId="10" borderId="4" xfId="2" applyNumberFormat="1" applyFont="1" applyFill="1" applyBorder="1" applyAlignment="1">
      <alignment horizontal="right"/>
    </xf>
    <xf numFmtId="165" fontId="66" fillId="0" borderId="33" xfId="1" applyNumberFormat="1" applyFont="1" applyBorder="1" applyAlignment="1">
      <alignment horizontal="right"/>
    </xf>
    <xf numFmtId="43" fontId="66" fillId="0" borderId="7" xfId="1" applyFont="1" applyBorder="1" applyAlignment="1">
      <alignment horizontal="right"/>
    </xf>
    <xf numFmtId="43" fontId="66" fillId="0" borderId="8" xfId="1" applyFont="1" applyBorder="1" applyAlignment="1">
      <alignment horizontal="right"/>
    </xf>
    <xf numFmtId="0" fontId="66" fillId="0" borderId="3" xfId="0" applyFont="1" applyBorder="1"/>
    <xf numFmtId="43" fontId="69" fillId="10" borderId="4" xfId="1" quotePrefix="1" applyNumberFormat="1" applyFont="1" applyFill="1" applyBorder="1" applyAlignment="1">
      <alignment horizontal="right"/>
    </xf>
    <xf numFmtId="165" fontId="66" fillId="0" borderId="7" xfId="1" applyNumberFormat="1" applyFont="1" applyFill="1" applyBorder="1" applyAlignment="1">
      <alignment horizontal="right"/>
    </xf>
    <xf numFmtId="165" fontId="66" fillId="0" borderId="8" xfId="1" applyNumberFormat="1" applyFont="1" applyFill="1" applyBorder="1" applyAlignment="1">
      <alignment horizontal="right"/>
    </xf>
    <xf numFmtId="0" fontId="4" fillId="0" borderId="4" xfId="0" applyFont="1" applyBorder="1" applyAlignment="1">
      <alignment horizontal="left"/>
    </xf>
    <xf numFmtId="0" fontId="66" fillId="0" borderId="3" xfId="0" applyFont="1" applyBorder="1" applyAlignment="1">
      <alignment horizontal="left"/>
    </xf>
    <xf numFmtId="0" fontId="66" fillId="0" borderId="4" xfId="0" applyFont="1" applyBorder="1" applyAlignment="1">
      <alignment horizontal="left"/>
    </xf>
    <xf numFmtId="0" fontId="70" fillId="0" borderId="4" xfId="0" applyFont="1" applyBorder="1" applyAlignment="1">
      <alignment horizontal="left"/>
    </xf>
    <xf numFmtId="0" fontId="68" fillId="0" borderId="3" xfId="0" applyFont="1" applyBorder="1" applyAlignment="1">
      <alignment horizontal="left" indent="1"/>
    </xf>
    <xf numFmtId="0" fontId="68" fillId="0" borderId="4" xfId="0" applyFont="1" applyBorder="1" applyAlignment="1">
      <alignment horizontal="left" indent="1"/>
    </xf>
    <xf numFmtId="0" fontId="66" fillId="0" borderId="3" xfId="0" applyFont="1" applyFill="1" applyBorder="1" applyAlignment="1">
      <alignment horizontal="left"/>
    </xf>
    <xf numFmtId="0" fontId="66" fillId="0" borderId="4" xfId="0" applyFont="1" applyFill="1" applyBorder="1" applyAlignment="1">
      <alignment horizontal="left"/>
    </xf>
    <xf numFmtId="0" fontId="65" fillId="2" borderId="3" xfId="0" applyFont="1" applyFill="1" applyBorder="1" applyAlignment="1">
      <alignment horizontal="left"/>
    </xf>
    <xf numFmtId="0" fontId="70" fillId="13" borderId="4" xfId="0" applyFont="1" applyFill="1" applyBorder="1" applyAlignment="1">
      <alignment horizontal="left"/>
    </xf>
    <xf numFmtId="0" fontId="68" fillId="0" borderId="3" xfId="0" applyFont="1" applyBorder="1" applyAlignment="1">
      <alignment horizontal="left"/>
    </xf>
    <xf numFmtId="0" fontId="68" fillId="0" borderId="4" xfId="0" applyFont="1" applyBorder="1" applyAlignment="1">
      <alignment horizontal="left" indent="2"/>
    </xf>
    <xf numFmtId="0" fontId="66" fillId="0" borderId="3" xfId="0" applyFont="1" applyFill="1" applyBorder="1" applyAlignment="1">
      <alignment horizontal="left" indent="1"/>
    </xf>
    <xf numFmtId="0" fontId="66" fillId="0" borderId="4" xfId="3" applyFont="1" applyFill="1" applyBorder="1" applyAlignment="1">
      <alignment horizontal="left" vertical="top"/>
    </xf>
    <xf numFmtId="0" fontId="66" fillId="0" borderId="27" xfId="0" applyFont="1" applyBorder="1" applyAlignment="1">
      <alignment horizontal="left"/>
    </xf>
    <xf numFmtId="0" fontId="66" fillId="0" borderId="28" xfId="0" applyFont="1" applyBorder="1" applyAlignment="1">
      <alignment horizontal="left"/>
    </xf>
    <xf numFmtId="0" fontId="68" fillId="0" borderId="3" xfId="0" applyFont="1" applyFill="1" applyBorder="1" applyAlignment="1">
      <alignment horizontal="left"/>
    </xf>
    <xf numFmtId="0" fontId="68" fillId="0" borderId="4" xfId="0" applyFont="1" applyFill="1" applyBorder="1" applyAlignment="1">
      <alignment horizontal="left"/>
    </xf>
    <xf numFmtId="0" fontId="66" fillId="0" borderId="3" xfId="0" applyFont="1" applyBorder="1" applyAlignment="1">
      <alignment horizontal="left" indent="2"/>
    </xf>
    <xf numFmtId="0" fontId="66" fillId="0" borderId="4" xfId="0" applyFont="1" applyBorder="1" applyAlignment="1">
      <alignment horizontal="left" indent="2"/>
    </xf>
    <xf numFmtId="0" fontId="66" fillId="0" borderId="6" xfId="0" applyFont="1" applyFill="1" applyBorder="1" applyAlignment="1">
      <alignment horizontal="left"/>
    </xf>
    <xf numFmtId="0" fontId="66" fillId="0" borderId="10" xfId="0" applyFont="1" applyFill="1" applyBorder="1" applyAlignment="1">
      <alignment horizontal="left"/>
    </xf>
    <xf numFmtId="166" fontId="66" fillId="0" borderId="5" xfId="2" quotePrefix="1" applyNumberFormat="1" applyFont="1" applyBorder="1" applyAlignment="1">
      <alignment horizontal="right"/>
    </xf>
    <xf numFmtId="166" fontId="66" fillId="0" borderId="8" xfId="1" applyNumberFormat="1" applyFont="1" applyFill="1" applyBorder="1" applyAlignment="1">
      <alignment horizontal="right"/>
    </xf>
    <xf numFmtId="43" fontId="4" fillId="0" borderId="0" xfId="1" applyNumberFormat="1" applyFont="1" applyBorder="1" applyAlignment="1">
      <alignment horizontal="right"/>
    </xf>
    <xf numFmtId="166" fontId="66" fillId="10" borderId="33" xfId="2" applyNumberFormat="1" applyFont="1" applyFill="1" applyBorder="1" applyAlignment="1">
      <alignment horizontal="right"/>
    </xf>
    <xf numFmtId="9" fontId="66" fillId="10" borderId="7" xfId="2" applyFont="1" applyFill="1" applyBorder="1" applyAlignment="1">
      <alignment horizontal="right"/>
    </xf>
    <xf numFmtId="165" fontId="66" fillId="10" borderId="7" xfId="1" applyNumberFormat="1" applyFont="1" applyFill="1" applyBorder="1" applyAlignment="1">
      <alignment horizontal="right"/>
    </xf>
    <xf numFmtId="0" fontId="66" fillId="0" borderId="27" xfId="0" applyFont="1" applyFill="1" applyBorder="1" applyAlignment="1">
      <alignment horizontal="left" indent="2"/>
    </xf>
    <xf numFmtId="0" fontId="66" fillId="0" borderId="28" xfId="0" applyFont="1" applyFill="1" applyBorder="1" applyAlignment="1">
      <alignment horizontal="left"/>
    </xf>
    <xf numFmtId="0" fontId="68" fillId="0" borderId="3" xfId="0" applyFont="1" applyFill="1" applyBorder="1" applyAlignment="1">
      <alignment horizontal="left" indent="2"/>
    </xf>
    <xf numFmtId="0" fontId="66" fillId="0" borderId="3" xfId="0" applyFont="1" applyFill="1" applyBorder="1" applyAlignment="1">
      <alignment horizontal="left" indent="4"/>
    </xf>
    <xf numFmtId="166" fontId="66" fillId="13" borderId="33" xfId="2" quotePrefix="1" applyNumberFormat="1" applyFont="1" applyFill="1" applyBorder="1" applyAlignment="1">
      <alignment horizontal="right"/>
    </xf>
    <xf numFmtId="227" fontId="72" fillId="13" borderId="0" xfId="1" quotePrefix="1" applyNumberFormat="1" applyFont="1" applyFill="1" applyBorder="1" applyAlignment="1">
      <alignment horizontal="right"/>
    </xf>
    <xf numFmtId="227" fontId="72" fillId="13" borderId="5" xfId="1" quotePrefix="1" applyNumberFormat="1" applyFont="1" applyFill="1" applyBorder="1" applyAlignment="1">
      <alignment horizontal="right"/>
    </xf>
    <xf numFmtId="165" fontId="73" fillId="13" borderId="0" xfId="1" quotePrefix="1" applyNumberFormat="1" applyFont="1" applyFill="1" applyBorder="1" applyAlignment="1">
      <alignment horizontal="right"/>
    </xf>
    <xf numFmtId="9" fontId="66" fillId="13" borderId="0" xfId="2" quotePrefix="1" applyFont="1" applyFill="1" applyBorder="1" applyAlignment="1">
      <alignment horizontal="right"/>
    </xf>
    <xf numFmtId="166" fontId="4" fillId="13" borderId="5" xfId="1" quotePrefix="1" applyNumberFormat="1" applyFont="1" applyFill="1" applyBorder="1" applyAlignment="1">
      <alignment horizontal="right"/>
    </xf>
    <xf numFmtId="166" fontId="68" fillId="13" borderId="0" xfId="2" quotePrefix="1" applyNumberFormat="1" applyFont="1" applyFill="1" applyBorder="1" applyAlignment="1">
      <alignment horizontal="right"/>
    </xf>
    <xf numFmtId="166" fontId="58" fillId="13" borderId="5" xfId="2" quotePrefix="1" applyNumberFormat="1" applyFont="1" applyFill="1" applyBorder="1" applyAlignment="1">
      <alignment horizontal="right"/>
    </xf>
    <xf numFmtId="0" fontId="68" fillId="0" borderId="14" xfId="0" applyFont="1" applyFill="1" applyBorder="1" applyAlignment="1">
      <alignment horizontal="left"/>
    </xf>
    <xf numFmtId="165" fontId="68" fillId="0" borderId="31" xfId="1" quotePrefix="1" applyNumberFormat="1" applyFont="1" applyFill="1" applyBorder="1" applyAlignment="1">
      <alignment horizontal="right"/>
    </xf>
    <xf numFmtId="0" fontId="76" fillId="0" borderId="27" xfId="0" applyFont="1" applyFill="1" applyBorder="1" applyAlignment="1">
      <alignment horizontal="left"/>
    </xf>
    <xf numFmtId="0" fontId="71" fillId="0" borderId="28" xfId="0" applyFont="1" applyFill="1" applyBorder="1" applyAlignment="1">
      <alignment horizontal="left"/>
    </xf>
    <xf numFmtId="165" fontId="55" fillId="0" borderId="33" xfId="1" quotePrefix="1" applyNumberFormat="1" applyFont="1" applyFill="1" applyBorder="1" applyAlignment="1">
      <alignment horizontal="right"/>
    </xf>
    <xf numFmtId="166" fontId="4" fillId="0" borderId="34" xfId="2" quotePrefix="1" applyNumberFormat="1" applyFont="1" applyFill="1" applyBorder="1" applyAlignment="1">
      <alignment horizontal="right"/>
    </xf>
    <xf numFmtId="165" fontId="66" fillId="10" borderId="32" xfId="1" quotePrefix="1" applyNumberFormat="1" applyFont="1" applyFill="1" applyBorder="1" applyAlignment="1">
      <alignment horizontal="right"/>
    </xf>
    <xf numFmtId="0" fontId="76" fillId="13" borderId="27" xfId="0" applyFont="1" applyFill="1" applyBorder="1" applyAlignment="1">
      <alignment horizontal="left"/>
    </xf>
    <xf numFmtId="0" fontId="71" fillId="13" borderId="28" xfId="0" applyFont="1" applyFill="1" applyBorder="1" applyAlignment="1">
      <alignment horizontal="left"/>
    </xf>
    <xf numFmtId="43" fontId="66" fillId="13" borderId="33" xfId="1" quotePrefix="1" applyFont="1" applyFill="1" applyBorder="1" applyAlignment="1">
      <alignment horizontal="right"/>
    </xf>
    <xf numFmtId="165" fontId="66" fillId="13" borderId="34" xfId="1" quotePrefix="1" applyNumberFormat="1" applyFont="1" applyFill="1" applyBorder="1" applyAlignment="1">
      <alignment horizontal="right"/>
    </xf>
    <xf numFmtId="166" fontId="4" fillId="13" borderId="34" xfId="2" quotePrefix="1" applyNumberFormat="1" applyFont="1" applyFill="1" applyBorder="1" applyAlignment="1">
      <alignment horizontal="right"/>
    </xf>
    <xf numFmtId="165" fontId="66" fillId="13" borderId="5" xfId="1" quotePrefix="1" applyNumberFormat="1" applyFont="1" applyFill="1" applyBorder="1" applyAlignment="1">
      <alignment horizontal="right"/>
    </xf>
    <xf numFmtId="0" fontId="78" fillId="13" borderId="3" xfId="0" applyFont="1" applyFill="1" applyBorder="1" applyAlignment="1">
      <alignment horizontal="left"/>
    </xf>
    <xf numFmtId="0" fontId="66" fillId="13" borderId="4" xfId="0" applyFont="1" applyFill="1" applyBorder="1" applyAlignment="1">
      <alignment horizontal="left" indent="1"/>
    </xf>
    <xf numFmtId="0" fontId="77" fillId="13" borderId="3" xfId="0" applyFont="1" applyFill="1" applyBorder="1" applyAlignment="1">
      <alignment horizontal="left" indent="1"/>
    </xf>
    <xf numFmtId="0" fontId="77" fillId="13" borderId="4" xfId="0" applyFont="1" applyFill="1" applyBorder="1" applyAlignment="1">
      <alignment horizontal="left" indent="1"/>
    </xf>
    <xf numFmtId="165" fontId="77" fillId="13" borderId="0" xfId="1" quotePrefix="1" applyNumberFormat="1" applyFont="1" applyFill="1" applyBorder="1" applyAlignment="1">
      <alignment horizontal="right"/>
    </xf>
    <xf numFmtId="165" fontId="77" fillId="13" borderId="5" xfId="1" quotePrefix="1" applyNumberFormat="1" applyFont="1" applyFill="1" applyBorder="1" applyAlignment="1">
      <alignment horizontal="right"/>
    </xf>
    <xf numFmtId="165" fontId="68" fillId="0" borderId="33" xfId="1" quotePrefix="1" applyNumberFormat="1" applyFont="1" applyFill="1" applyBorder="1" applyAlignment="1">
      <alignment horizontal="right"/>
    </xf>
    <xf numFmtId="0" fontId="76" fillId="0" borderId="27" xfId="0" applyFont="1" applyBorder="1" applyAlignment="1">
      <alignment horizontal="left"/>
    </xf>
    <xf numFmtId="165" fontId="68" fillId="0" borderId="33" xfId="1" applyNumberFormat="1" applyFont="1" applyFill="1" applyBorder="1" applyAlignment="1">
      <alignment horizontal="right"/>
    </xf>
    <xf numFmtId="165" fontId="68" fillId="0" borderId="34" xfId="1" applyNumberFormat="1" applyFont="1" applyBorder="1" applyAlignment="1">
      <alignment horizontal="right"/>
    </xf>
    <xf numFmtId="165" fontId="58" fillId="0" borderId="34" xfId="1" quotePrefix="1" applyNumberFormat="1" applyFont="1" applyFill="1" applyBorder="1" applyAlignment="1">
      <alignment horizontal="right"/>
    </xf>
    <xf numFmtId="0" fontId="76" fillId="13" borderId="27" xfId="0" applyFont="1" applyFill="1" applyBorder="1" applyAlignment="1">
      <alignment horizontal="left" indent="1"/>
    </xf>
    <xf numFmtId="165" fontId="68" fillId="13" borderId="33" xfId="1" quotePrefix="1" applyNumberFormat="1" applyFont="1" applyFill="1" applyBorder="1" applyAlignment="1">
      <alignment horizontal="right"/>
    </xf>
    <xf numFmtId="9" fontId="68" fillId="13" borderId="34" xfId="2" quotePrefix="1" applyFont="1" applyFill="1" applyBorder="1" applyAlignment="1">
      <alignment horizontal="right"/>
    </xf>
    <xf numFmtId="165" fontId="66" fillId="13" borderId="33" xfId="1" quotePrefix="1" applyNumberFormat="1" applyFont="1" applyFill="1" applyBorder="1" applyAlignment="1">
      <alignment horizontal="right"/>
    </xf>
    <xf numFmtId="165" fontId="69" fillId="13" borderId="0" xfId="1" quotePrefix="1" applyNumberFormat="1" applyFont="1" applyFill="1" applyBorder="1" applyAlignment="1">
      <alignment horizontal="right"/>
    </xf>
    <xf numFmtId="165" fontId="66" fillId="13" borderId="5" xfId="2" quotePrefix="1" applyNumberFormat="1" applyFont="1" applyFill="1" applyBorder="1" applyAlignment="1">
      <alignment horizontal="right"/>
    </xf>
    <xf numFmtId="165" fontId="69" fillId="13" borderId="5" xfId="1" quotePrefix="1" applyNumberFormat="1" applyFont="1" applyFill="1" applyBorder="1" applyAlignment="1">
      <alignment horizontal="right"/>
    </xf>
    <xf numFmtId="165" fontId="57" fillId="13" borderId="0" xfId="1" quotePrefix="1" applyNumberFormat="1" applyFont="1" applyFill="1" applyBorder="1" applyAlignment="1">
      <alignment horizontal="right"/>
    </xf>
    <xf numFmtId="0" fontId="77" fillId="13" borderId="3" xfId="0" applyFont="1" applyFill="1" applyBorder="1" applyAlignment="1">
      <alignment horizontal="left" indent="3"/>
    </xf>
    <xf numFmtId="43" fontId="77" fillId="13" borderId="31" xfId="1" applyFont="1" applyFill="1" applyBorder="1" applyAlignment="1">
      <alignment horizontal="left" indent="3"/>
    </xf>
    <xf numFmtId="165" fontId="77" fillId="13" borderId="31" xfId="1" applyNumberFormat="1" applyFont="1" applyFill="1" applyBorder="1" applyAlignment="1">
      <alignment horizontal="left" indent="3"/>
    </xf>
    <xf numFmtId="0" fontId="66" fillId="0" borderId="14" xfId="0" applyFont="1" applyBorder="1" applyAlignment="1">
      <alignment horizontal="left" indent="2"/>
    </xf>
    <xf numFmtId="0" fontId="76" fillId="13" borderId="3" xfId="0" applyFont="1" applyFill="1" applyBorder="1" applyAlignment="1">
      <alignment horizontal="left"/>
    </xf>
    <xf numFmtId="0" fontId="67" fillId="13" borderId="3" xfId="0" applyFont="1" applyFill="1" applyBorder="1" applyAlignment="1">
      <alignment horizontal="left" indent="1"/>
    </xf>
    <xf numFmtId="165" fontId="68" fillId="13" borderId="0" xfId="1" applyNumberFormat="1" applyFont="1" applyFill="1" applyBorder="1" applyAlignment="1">
      <alignment horizontal="right"/>
    </xf>
    <xf numFmtId="165" fontId="68" fillId="13" borderId="5" xfId="1" applyNumberFormat="1" applyFont="1" applyFill="1" applyBorder="1" applyAlignment="1">
      <alignment horizontal="right"/>
    </xf>
    <xf numFmtId="166" fontId="66" fillId="11" borderId="33" xfId="2" applyNumberFormat="1" applyFont="1" applyFill="1" applyBorder="1" applyAlignment="1">
      <alignment horizontal="right"/>
    </xf>
    <xf numFmtId="166" fontId="66" fillId="13" borderId="33" xfId="2" applyNumberFormat="1" applyFont="1" applyFill="1" applyBorder="1" applyAlignment="1">
      <alignment horizontal="right"/>
    </xf>
    <xf numFmtId="166" fontId="66" fillId="13" borderId="34" xfId="2" applyNumberFormat="1" applyFont="1" applyFill="1" applyBorder="1" applyAlignment="1">
      <alignment horizontal="right"/>
    </xf>
    <xf numFmtId="166" fontId="66" fillId="13" borderId="0" xfId="2" applyNumberFormat="1" applyFont="1" applyFill="1" applyBorder="1" applyAlignment="1">
      <alignment horizontal="right"/>
    </xf>
    <xf numFmtId="166" fontId="4" fillId="13" borderId="0" xfId="2" applyNumberFormat="1" applyFont="1" applyFill="1" applyBorder="1" applyAlignment="1">
      <alignment horizontal="right"/>
    </xf>
    <xf numFmtId="166" fontId="66" fillId="13" borderId="5" xfId="2" applyNumberFormat="1" applyFont="1" applyFill="1" applyBorder="1" applyAlignment="1">
      <alignment horizontal="right"/>
    </xf>
    <xf numFmtId="9" fontId="4" fillId="13" borderId="5" xfId="2" applyFont="1" applyFill="1" applyBorder="1" applyAlignment="1">
      <alignment horizontal="right"/>
    </xf>
    <xf numFmtId="165" fontId="66" fillId="0" borderId="33" xfId="1" applyNumberFormat="1" applyFont="1" applyFill="1" applyBorder="1" applyAlignment="1">
      <alignment horizontal="right"/>
    </xf>
    <xf numFmtId="165" fontId="66" fillId="0" borderId="34" xfId="1" applyNumberFormat="1" applyFont="1" applyBorder="1" applyAlignment="1">
      <alignment horizontal="right"/>
    </xf>
    <xf numFmtId="165" fontId="66" fillId="13" borderId="33" xfId="1" applyNumberFormat="1" applyFont="1" applyFill="1" applyBorder="1" applyAlignment="1">
      <alignment horizontal="right"/>
    </xf>
    <xf numFmtId="165" fontId="66" fillId="13" borderId="34" xfId="1" applyNumberFormat="1" applyFont="1" applyFill="1" applyBorder="1" applyAlignment="1">
      <alignment horizontal="right"/>
    </xf>
    <xf numFmtId="165" fontId="4" fillId="13" borderId="33" xfId="1" applyNumberFormat="1" applyFont="1" applyFill="1" applyBorder="1" applyAlignment="1">
      <alignment horizontal="right"/>
    </xf>
    <xf numFmtId="165" fontId="66" fillId="13" borderId="0" xfId="1" applyNumberFormat="1" applyFont="1" applyFill="1" applyBorder="1" applyAlignment="1">
      <alignment horizontal="right"/>
    </xf>
    <xf numFmtId="165" fontId="66" fillId="13" borderId="5" xfId="1" applyNumberFormat="1" applyFont="1" applyFill="1" applyBorder="1" applyAlignment="1">
      <alignment horizontal="right"/>
    </xf>
    <xf numFmtId="165" fontId="69" fillId="13" borderId="0" xfId="1" applyNumberFormat="1" applyFont="1" applyFill="1" applyBorder="1" applyAlignment="1">
      <alignment horizontal="right"/>
    </xf>
    <xf numFmtId="165" fontId="69" fillId="13" borderId="5" xfId="1" applyNumberFormat="1" applyFont="1" applyFill="1" applyBorder="1" applyAlignment="1">
      <alignment horizontal="right"/>
    </xf>
    <xf numFmtId="0" fontId="66" fillId="13" borderId="3" xfId="3" applyFont="1" applyFill="1" applyBorder="1" applyAlignment="1">
      <alignment horizontal="left" vertical="top"/>
    </xf>
    <xf numFmtId="0" fontId="66" fillId="13" borderId="4" xfId="3" applyFont="1" applyFill="1" applyBorder="1" applyAlignment="1">
      <alignment horizontal="left" vertical="top"/>
    </xf>
    <xf numFmtId="165" fontId="4" fillId="13" borderId="0" xfId="1" applyNumberFormat="1" applyFont="1" applyFill="1" applyBorder="1" applyAlignment="1">
      <alignment horizontal="right"/>
    </xf>
    <xf numFmtId="165" fontId="4" fillId="13" borderId="5" xfId="1" applyNumberFormat="1" applyFont="1" applyFill="1" applyBorder="1" applyAlignment="1">
      <alignment horizontal="right"/>
    </xf>
    <xf numFmtId="165" fontId="66" fillId="13" borderId="32" xfId="1" applyNumberFormat="1" applyFont="1" applyFill="1" applyBorder="1" applyAlignment="1">
      <alignment horizontal="right"/>
    </xf>
    <xf numFmtId="165" fontId="66" fillId="13" borderId="31" xfId="1" applyNumberFormat="1" applyFont="1" applyFill="1" applyBorder="1" applyAlignment="1">
      <alignment horizontal="right"/>
    </xf>
    <xf numFmtId="9" fontId="66" fillId="0" borderId="33" xfId="2" applyFont="1" applyFill="1" applyBorder="1" applyAlignment="1">
      <alignment horizontal="right"/>
    </xf>
    <xf numFmtId="9" fontId="66" fillId="0" borderId="33" xfId="2" applyFont="1" applyBorder="1" applyAlignment="1">
      <alignment horizontal="right"/>
    </xf>
    <xf numFmtId="9" fontId="66" fillId="0" borderId="34" xfId="2" applyFont="1" applyBorder="1" applyAlignment="1">
      <alignment horizontal="right"/>
    </xf>
    <xf numFmtId="9" fontId="66" fillId="10" borderId="33" xfId="2" applyFont="1" applyFill="1" applyBorder="1" applyAlignment="1">
      <alignment horizontal="right"/>
    </xf>
    <xf numFmtId="0" fontId="66" fillId="13" borderId="27" xfId="0" applyFont="1" applyFill="1" applyBorder="1" applyAlignment="1">
      <alignment horizontal="left"/>
    </xf>
    <xf numFmtId="164" fontId="66" fillId="13" borderId="34" xfId="1" quotePrefix="1" applyNumberFormat="1" applyFont="1" applyFill="1" applyBorder="1" applyAlignment="1">
      <alignment horizontal="right"/>
    </xf>
    <xf numFmtId="166" fontId="66" fillId="13" borderId="34" xfId="2" quotePrefix="1" applyNumberFormat="1" applyFont="1" applyFill="1" applyBorder="1" applyAlignment="1">
      <alignment horizontal="right"/>
    </xf>
    <xf numFmtId="164" fontId="66" fillId="13" borderId="0" xfId="1" quotePrefix="1" applyNumberFormat="1" applyFont="1" applyFill="1" applyBorder="1" applyAlignment="1">
      <alignment horizontal="right"/>
    </xf>
    <xf numFmtId="43" fontId="66" fillId="13" borderId="0" xfId="1" quotePrefix="1" applyNumberFormat="1" applyFont="1" applyFill="1" applyBorder="1" applyAlignment="1">
      <alignment horizontal="right"/>
    </xf>
    <xf numFmtId="164" fontId="66" fillId="13" borderId="5" xfId="1" quotePrefix="1" applyNumberFormat="1" applyFont="1" applyFill="1" applyBorder="1" applyAlignment="1">
      <alignment horizontal="right"/>
    </xf>
    <xf numFmtId="43" fontId="66" fillId="13" borderId="5" xfId="1" quotePrefix="1" applyNumberFormat="1" applyFont="1" applyFill="1" applyBorder="1" applyAlignment="1">
      <alignment horizontal="right"/>
    </xf>
    <xf numFmtId="9" fontId="66" fillId="13" borderId="5" xfId="2" applyFont="1" applyFill="1" applyBorder="1" applyAlignment="1">
      <alignment horizontal="right"/>
    </xf>
    <xf numFmtId="166" fontId="66" fillId="13" borderId="5" xfId="2" quotePrefix="1" applyNumberFormat="1" applyFont="1" applyFill="1" applyBorder="1" applyAlignment="1">
      <alignment horizontal="right"/>
    </xf>
    <xf numFmtId="165" fontId="66" fillId="0" borderId="34" xfId="1" applyNumberFormat="1" applyFont="1" applyFill="1" applyBorder="1" applyAlignment="1">
      <alignment horizontal="right"/>
    </xf>
    <xf numFmtId="165" fontId="4" fillId="0" borderId="33" xfId="1" applyNumberFormat="1" applyFont="1" applyFill="1" applyBorder="1" applyAlignment="1">
      <alignment horizontal="right"/>
    </xf>
    <xf numFmtId="165" fontId="66" fillId="10" borderId="33" xfId="1" applyNumberFormat="1" applyFont="1" applyFill="1" applyBorder="1" applyAlignment="1">
      <alignment horizontal="right"/>
    </xf>
    <xf numFmtId="164" fontId="62" fillId="2" borderId="64" xfId="1" quotePrefix="1" applyNumberFormat="1" applyFont="1" applyFill="1" applyBorder="1" applyAlignment="1">
      <alignment horizontal="right"/>
    </xf>
    <xf numFmtId="164" fontId="63" fillId="2" borderId="5" xfId="1" quotePrefix="1" applyNumberFormat="1" applyFont="1" applyFill="1" applyBorder="1" applyAlignment="1">
      <alignment horizontal="right"/>
    </xf>
    <xf numFmtId="9" fontId="66" fillId="0" borderId="8" xfId="2" quotePrefix="1" applyFont="1" applyFill="1" applyBorder="1" applyAlignment="1">
      <alignment horizontal="right"/>
    </xf>
    <xf numFmtId="0" fontId="4" fillId="0" borderId="10" xfId="0" applyFont="1" applyFill="1" applyBorder="1" applyAlignment="1">
      <alignment horizontal="left"/>
    </xf>
    <xf numFmtId="164" fontId="2" fillId="3" borderId="64" xfId="1" quotePrefix="1" applyNumberFormat="1" applyFont="1" applyFill="1" applyBorder="1" applyAlignment="1">
      <alignment horizontal="right"/>
    </xf>
    <xf numFmtId="164" fontId="57" fillId="3" borderId="5" xfId="1" quotePrefix="1" applyNumberFormat="1" applyFont="1" applyFill="1" applyBorder="1" applyAlignment="1">
      <alignment horizontal="right"/>
    </xf>
    <xf numFmtId="0" fontId="65" fillId="2" borderId="4" xfId="0" applyFont="1" applyFill="1" applyBorder="1" applyAlignment="1">
      <alignment horizontal="left"/>
    </xf>
    <xf numFmtId="0" fontId="4" fillId="0" borderId="4" xfId="0" applyFont="1" applyFill="1" applyBorder="1" applyAlignment="1">
      <alignment horizontal="left"/>
    </xf>
    <xf numFmtId="0" fontId="70" fillId="13" borderId="28" xfId="0" applyFont="1" applyFill="1" applyBorder="1" applyAlignment="1">
      <alignment horizontal="left"/>
    </xf>
    <xf numFmtId="0" fontId="72" fillId="0" borderId="28" xfId="0" applyFont="1" applyBorder="1" applyAlignment="1">
      <alignment horizontal="left"/>
    </xf>
    <xf numFmtId="0" fontId="72" fillId="0" borderId="4" xfId="0" applyFont="1" applyBorder="1" applyAlignment="1">
      <alignment horizontal="left"/>
    </xf>
    <xf numFmtId="0" fontId="72" fillId="0" borderId="15" xfId="0" applyFont="1" applyBorder="1" applyAlignment="1">
      <alignment horizontal="left"/>
    </xf>
    <xf numFmtId="0" fontId="70" fillId="0" borderId="28" xfId="0" applyFont="1" applyBorder="1" applyAlignment="1">
      <alignment horizontal="left"/>
    </xf>
    <xf numFmtId="9" fontId="66" fillId="0" borderId="8" xfId="2" applyNumberFormat="1" applyFont="1" applyFill="1" applyBorder="1" applyAlignment="1">
      <alignment horizontal="right"/>
    </xf>
    <xf numFmtId="9" fontId="66" fillId="0" borderId="8" xfId="2" applyFont="1" applyFill="1" applyBorder="1" applyAlignment="1">
      <alignment horizontal="right"/>
    </xf>
    <xf numFmtId="225" fontId="66" fillId="11" borderId="5" xfId="2" applyNumberFormat="1" applyFont="1" applyFill="1" applyBorder="1" applyAlignment="1">
      <alignment horizontal="right"/>
    </xf>
    <xf numFmtId="6" fontId="66" fillId="11" borderId="5" xfId="2" applyNumberFormat="1" applyFont="1" applyFill="1" applyBorder="1" applyAlignment="1">
      <alignment horizontal="right"/>
    </xf>
    <xf numFmtId="43" fontId="4" fillId="0" borderId="5" xfId="1" quotePrefix="1" applyNumberFormat="1" applyFont="1" applyBorder="1" applyAlignment="1">
      <alignment horizontal="right"/>
    </xf>
    <xf numFmtId="43" fontId="4" fillId="13" borderId="5" xfId="1" quotePrefix="1" applyNumberFormat="1" applyFont="1" applyFill="1" applyBorder="1" applyAlignment="1">
      <alignment horizontal="right"/>
    </xf>
    <xf numFmtId="10" fontId="4" fillId="0" borderId="5" xfId="2" applyNumberFormat="1" applyFont="1" applyBorder="1" applyAlignment="1">
      <alignment horizontal="right"/>
    </xf>
    <xf numFmtId="166" fontId="66" fillId="11" borderId="5" xfId="2" applyNumberFormat="1" applyFont="1" applyFill="1" applyBorder="1" applyAlignment="1">
      <alignment horizontal="right"/>
    </xf>
    <xf numFmtId="164" fontId="6" fillId="2" borderId="51" xfId="1" quotePrefix="1" applyNumberFormat="1" applyFont="1" applyFill="1" applyBorder="1" applyAlignment="1">
      <alignment horizontal="left" vertical="center" wrapText="1"/>
    </xf>
    <xf numFmtId="164" fontId="6" fillId="2" borderId="52" xfId="1" quotePrefix="1" applyNumberFormat="1" applyFont="1" applyFill="1" applyBorder="1" applyAlignment="1">
      <alignment horizontal="left" vertical="center" wrapText="1"/>
    </xf>
    <xf numFmtId="165" fontId="66" fillId="11" borderId="5" xfId="1" applyNumberFormat="1" applyFont="1" applyFill="1" applyBorder="1" applyAlignment="1">
      <alignment horizontal="right"/>
    </xf>
    <xf numFmtId="166" fontId="73" fillId="0" borderId="0" xfId="2" applyNumberFormat="1" applyFont="1" applyFill="1" applyBorder="1" applyAlignment="1">
      <alignment horizontal="right"/>
    </xf>
    <xf numFmtId="165" fontId="66" fillId="13" borderId="60" xfId="1" quotePrefix="1" applyNumberFormat="1" applyFont="1" applyFill="1" applyBorder="1" applyAlignment="1">
      <alignment horizontal="right"/>
    </xf>
    <xf numFmtId="165" fontId="68" fillId="11" borderId="5" xfId="1" quotePrefix="1" applyNumberFormat="1" applyFont="1" applyFill="1" applyBorder="1" applyAlignment="1">
      <alignment horizontal="right"/>
    </xf>
    <xf numFmtId="165" fontId="66" fillId="11" borderId="60" xfId="1" quotePrefix="1" applyNumberFormat="1" applyFont="1" applyFill="1" applyBorder="1" applyAlignment="1">
      <alignment horizontal="right"/>
    </xf>
    <xf numFmtId="165" fontId="66" fillId="3" borderId="0" xfId="1" quotePrefix="1" applyNumberFormat="1" applyFont="1" applyFill="1" applyBorder="1" applyAlignment="1">
      <alignment horizontal="right"/>
    </xf>
    <xf numFmtId="164" fontId="66" fillId="0" borderId="32" xfId="1" quotePrefix="1" applyNumberFormat="1" applyFont="1" applyFill="1" applyBorder="1" applyAlignment="1">
      <alignment horizontal="right"/>
    </xf>
    <xf numFmtId="167" fontId="66" fillId="0" borderId="0" xfId="1" quotePrefix="1" applyNumberFormat="1" applyFont="1" applyFill="1" applyBorder="1" applyAlignment="1">
      <alignment horizontal="left"/>
    </xf>
    <xf numFmtId="0" fontId="82" fillId="2" borderId="72" xfId="0" applyFont="1" applyFill="1" applyBorder="1" applyAlignment="1">
      <alignment horizontal="center" vertical="center" wrapText="1"/>
    </xf>
    <xf numFmtId="0" fontId="82" fillId="2" borderId="74" xfId="0" applyFont="1" applyFill="1" applyBorder="1" applyAlignment="1">
      <alignment horizontal="center" vertical="center" wrapText="1"/>
    </xf>
    <xf numFmtId="0" fontId="83" fillId="2" borderId="71" xfId="0" applyFont="1" applyFill="1" applyBorder="1" applyAlignment="1">
      <alignment horizontal="center" vertical="center" wrapText="1"/>
    </xf>
    <xf numFmtId="0" fontId="83" fillId="2" borderId="73" xfId="0" applyFont="1" applyFill="1" applyBorder="1" applyAlignment="1">
      <alignment horizontal="center" vertical="center" wrapText="1"/>
    </xf>
    <xf numFmtId="0" fontId="84" fillId="0" borderId="79" xfId="0" applyFont="1" applyFill="1" applyBorder="1" applyAlignment="1">
      <alignment vertical="center" wrapText="1"/>
    </xf>
    <xf numFmtId="14" fontId="85" fillId="0" borderId="83" xfId="0" applyNumberFormat="1" applyFont="1" applyFill="1" applyBorder="1" applyAlignment="1">
      <alignment horizontal="center" vertical="center" wrapText="1"/>
    </xf>
    <xf numFmtId="14" fontId="85" fillId="0" borderId="84" xfId="0" applyNumberFormat="1" applyFont="1" applyFill="1" applyBorder="1" applyAlignment="1">
      <alignment horizontal="center" vertical="center" wrapText="1"/>
    </xf>
    <xf numFmtId="14" fontId="85" fillId="0" borderId="70" xfId="0" applyNumberFormat="1" applyFont="1" applyFill="1" applyBorder="1" applyAlignment="1">
      <alignment horizontal="center" vertical="center" wrapText="1"/>
    </xf>
    <xf numFmtId="14" fontId="85" fillId="0" borderId="72" xfId="0" applyNumberFormat="1" applyFont="1" applyFill="1" applyBorder="1" applyAlignment="1">
      <alignment horizontal="center" vertical="center" wrapText="1"/>
    </xf>
    <xf numFmtId="14" fontId="85" fillId="0" borderId="79" xfId="0" applyNumberFormat="1" applyFont="1" applyFill="1" applyBorder="1" applyAlignment="1">
      <alignment horizontal="center" vertical="center" wrapText="1"/>
    </xf>
    <xf numFmtId="14" fontId="85" fillId="0" borderId="81" xfId="0" applyNumberFormat="1" applyFont="1" applyFill="1" applyBorder="1" applyAlignment="1">
      <alignment horizontal="center" vertical="center" wrapText="1"/>
    </xf>
    <xf numFmtId="0" fontId="84" fillId="0" borderId="83" xfId="0" applyFont="1" applyFill="1" applyBorder="1" applyAlignment="1">
      <alignment vertical="center" wrapText="1"/>
    </xf>
    <xf numFmtId="8" fontId="85" fillId="0" borderId="84" xfId="0" applyNumberFormat="1" applyFont="1" applyFill="1" applyBorder="1" applyAlignment="1">
      <alignment horizontal="center" vertical="center" wrapText="1"/>
    </xf>
    <xf numFmtId="228" fontId="0" fillId="0" borderId="41" xfId="0" applyNumberFormat="1" applyBorder="1" applyAlignment="1">
      <alignment horizontal="right" vertical="center"/>
    </xf>
    <xf numFmtId="166" fontId="0" fillId="0" borderId="41" xfId="2" applyNumberFormat="1" applyFont="1" applyFill="1" applyBorder="1" applyAlignment="1">
      <alignment horizontal="right" vertical="center"/>
    </xf>
    <xf numFmtId="226" fontId="0" fillId="0" borderId="41" xfId="0" applyNumberFormat="1" applyBorder="1" applyAlignment="1">
      <alignment horizontal="right" vertical="center"/>
    </xf>
    <xf numFmtId="228" fontId="0" fillId="0" borderId="43" xfId="0" applyNumberFormat="1" applyBorder="1" applyAlignment="1">
      <alignment horizontal="right" vertical="center"/>
    </xf>
    <xf numFmtId="228" fontId="0" fillId="0" borderId="4" xfId="0" applyNumberFormat="1" applyBorder="1" applyAlignment="1">
      <alignment horizontal="right" vertical="center"/>
    </xf>
    <xf numFmtId="166" fontId="0" fillId="0" borderId="4" xfId="2" applyNumberFormat="1" applyFont="1" applyFill="1" applyBorder="1" applyAlignment="1">
      <alignment horizontal="right" vertical="center"/>
    </xf>
    <xf numFmtId="226" fontId="0" fillId="0" borderId="4" xfId="0" applyNumberFormat="1" applyBorder="1" applyAlignment="1">
      <alignment horizontal="right" vertical="center"/>
    </xf>
    <xf numFmtId="228" fontId="0" fillId="0" borderId="10" xfId="0" applyNumberFormat="1" applyBorder="1" applyAlignment="1">
      <alignment horizontal="right" vertical="center"/>
    </xf>
    <xf numFmtId="164" fontId="6" fillId="2" borderId="0" xfId="1" quotePrefix="1" applyNumberFormat="1" applyFont="1" applyFill="1" applyBorder="1" applyAlignment="1">
      <alignment horizontal="center" vertical="center" wrapText="1"/>
    </xf>
    <xf numFmtId="228" fontId="0" fillId="0" borderId="0" xfId="0" applyNumberFormat="1" applyBorder="1" applyAlignment="1">
      <alignment horizontal="right" vertical="center"/>
    </xf>
    <xf numFmtId="166" fontId="0" fillId="0" borderId="0" xfId="2" applyNumberFormat="1" applyFont="1" applyFill="1" applyBorder="1" applyAlignment="1">
      <alignment horizontal="right" vertical="center"/>
    </xf>
    <xf numFmtId="226" fontId="0" fillId="0" borderId="0" xfId="0" applyNumberFormat="1" applyBorder="1" applyAlignment="1">
      <alignment horizontal="right" vertical="center"/>
    </xf>
    <xf numFmtId="228" fontId="0" fillId="0" borderId="7" xfId="0" applyNumberFormat="1" applyBorder="1" applyAlignment="1">
      <alignment horizontal="right" vertical="center"/>
    </xf>
    <xf numFmtId="164" fontId="6" fillId="2" borderId="3" xfId="1" quotePrefix="1" applyNumberFormat="1" applyFont="1" applyFill="1" applyBorder="1" applyAlignment="1">
      <alignment horizontal="center" vertical="center" wrapText="1"/>
    </xf>
    <xf numFmtId="164" fontId="6" fillId="2" borderId="86" xfId="1" quotePrefix="1" applyNumberFormat="1" applyFont="1" applyFill="1" applyBorder="1" applyAlignment="1">
      <alignment horizontal="center" vertical="center" wrapText="1"/>
    </xf>
    <xf numFmtId="228" fontId="0" fillId="13" borderId="41" xfId="0" applyNumberFormat="1" applyFill="1" applyBorder="1" applyAlignment="1">
      <alignment horizontal="right" vertical="center"/>
    </xf>
    <xf numFmtId="166" fontId="0" fillId="13" borderId="41" xfId="2" applyNumberFormat="1" applyFont="1" applyFill="1" applyBorder="1" applyAlignment="1">
      <alignment horizontal="right" vertical="center"/>
    </xf>
    <xf numFmtId="226" fontId="0" fillId="13" borderId="41" xfId="0" applyNumberFormat="1" applyFill="1" applyBorder="1" applyAlignment="1">
      <alignment horizontal="right" vertical="center"/>
    </xf>
    <xf numFmtId="228" fontId="0" fillId="13" borderId="43" xfId="0" applyNumberFormat="1" applyFill="1" applyBorder="1" applyAlignment="1">
      <alignment horizontal="right" vertical="center"/>
    </xf>
    <xf numFmtId="228" fontId="55" fillId="0" borderId="0" xfId="0" applyNumberFormat="1" applyFont="1" applyBorder="1" applyAlignment="1">
      <alignment horizontal="right" vertical="center"/>
    </xf>
    <xf numFmtId="228" fontId="0" fillId="0" borderId="41" xfId="0" applyNumberFormat="1" applyFill="1" applyBorder="1" applyAlignment="1">
      <alignment horizontal="right" vertical="center"/>
    </xf>
    <xf numFmtId="226" fontId="0" fillId="0" borderId="41" xfId="0" applyNumberFormat="1" applyFill="1" applyBorder="1" applyAlignment="1">
      <alignment horizontal="right" vertical="center"/>
    </xf>
    <xf numFmtId="228" fontId="0" fillId="0" borderId="43" xfId="0" applyNumberFormat="1" applyFill="1" applyBorder="1" applyAlignment="1">
      <alignment horizontal="right" vertical="center"/>
    </xf>
    <xf numFmtId="164" fontId="6" fillId="2" borderId="85" xfId="1" quotePrefix="1" applyNumberFormat="1" applyFont="1" applyFill="1" applyBorder="1" applyAlignment="1">
      <alignment vertical="center" wrapText="1"/>
    </xf>
    <xf numFmtId="164" fontId="6" fillId="2" borderId="86" xfId="1" quotePrefix="1" applyNumberFormat="1" applyFont="1" applyFill="1" applyBorder="1" applyAlignment="1">
      <alignment vertical="center" wrapText="1"/>
    </xf>
    <xf numFmtId="164" fontId="6" fillId="2" borderId="91" xfId="1" quotePrefix="1" applyNumberFormat="1" applyFont="1" applyFill="1" applyBorder="1" applyAlignment="1">
      <alignment vertical="center" wrapText="1"/>
    </xf>
    <xf numFmtId="164" fontId="6" fillId="2" borderId="89" xfId="1" quotePrefix="1" applyNumberFormat="1" applyFont="1" applyFill="1" applyBorder="1" applyAlignment="1">
      <alignment vertical="center" wrapText="1"/>
    </xf>
    <xf numFmtId="0" fontId="90" fillId="0" borderId="3" xfId="0" applyFont="1" applyBorder="1"/>
    <xf numFmtId="0" fontId="88" fillId="0" borderId="3" xfId="0" applyFont="1" applyBorder="1"/>
    <xf numFmtId="5" fontId="88" fillId="0" borderId="4" xfId="1" applyNumberFormat="1" applyFont="1" applyFill="1" applyBorder="1" applyAlignment="1">
      <alignment horizontal="right"/>
    </xf>
    <xf numFmtId="165" fontId="89" fillId="0" borderId="15" xfId="1" applyNumberFormat="1" applyFont="1" applyBorder="1" applyAlignment="1">
      <alignment horizontal="right"/>
    </xf>
    <xf numFmtId="0" fontId="88" fillId="0" borderId="3" xfId="0" applyFont="1" applyFill="1" applyBorder="1"/>
    <xf numFmtId="167" fontId="88" fillId="10" borderId="4" xfId="1" applyNumberFormat="1" applyFont="1" applyFill="1" applyBorder="1" applyAlignment="1">
      <alignment horizontal="right"/>
    </xf>
    <xf numFmtId="43" fontId="88" fillId="0" borderId="4" xfId="1" applyNumberFormat="1" applyFont="1" applyBorder="1" applyAlignment="1">
      <alignment horizontal="right"/>
    </xf>
    <xf numFmtId="166" fontId="88" fillId="10" borderId="4" xfId="1" applyNumberFormat="1" applyFont="1" applyFill="1" applyBorder="1" applyAlignment="1">
      <alignment horizontal="right"/>
    </xf>
    <xf numFmtId="166" fontId="89" fillId="0" borderId="4" xfId="2" applyNumberFormat="1" applyFont="1" applyBorder="1" applyAlignment="1">
      <alignment horizontal="right"/>
    </xf>
    <xf numFmtId="10" fontId="88" fillId="10" borderId="4" xfId="2" applyNumberFormat="1" applyFont="1" applyFill="1" applyBorder="1" applyAlignment="1">
      <alignment horizontal="right"/>
    </xf>
    <xf numFmtId="166" fontId="66" fillId="0" borderId="4" xfId="2" applyNumberFormat="1" applyFont="1" applyBorder="1" applyAlignment="1">
      <alignment horizontal="right"/>
    </xf>
    <xf numFmtId="166" fontId="68" fillId="0" borderId="15" xfId="2" applyNumberFormat="1" applyFont="1" applyBorder="1" applyAlignment="1">
      <alignment horizontal="right"/>
    </xf>
    <xf numFmtId="0" fontId="89" fillId="0" borderId="14" xfId="0" applyFont="1" applyFill="1" applyBorder="1" applyAlignment="1">
      <alignment horizontal="left" indent="1"/>
    </xf>
    <xf numFmtId="0" fontId="89" fillId="0" borderId="3" xfId="0" applyFont="1" applyFill="1" applyBorder="1" applyAlignment="1">
      <alignment horizontal="left" indent="1"/>
    </xf>
    <xf numFmtId="0" fontId="68" fillId="0" borderId="14" xfId="0" applyFont="1" applyFill="1" applyBorder="1" applyAlignment="1">
      <alignment horizontal="left" indent="1"/>
    </xf>
    <xf numFmtId="166" fontId="89" fillId="0" borderId="15" xfId="2" applyNumberFormat="1" applyFont="1" applyBorder="1" applyAlignment="1">
      <alignment horizontal="right"/>
    </xf>
    <xf numFmtId="166" fontId="66" fillId="10" borderId="4" xfId="2" applyNumberFormat="1" applyFont="1" applyFill="1" applyBorder="1" applyAlignment="1">
      <alignment horizontal="right"/>
    </xf>
    <xf numFmtId="0" fontId="70" fillId="0" borderId="3" xfId="0" applyFont="1" applyBorder="1"/>
    <xf numFmtId="164" fontId="66" fillId="0" borderId="4" xfId="1" applyNumberFormat="1" applyFont="1" applyBorder="1" applyAlignment="1">
      <alignment horizontal="right"/>
    </xf>
    <xf numFmtId="165" fontId="91" fillId="0" borderId="4" xfId="1" applyNumberFormat="1" applyFont="1" applyFill="1" applyBorder="1" applyAlignment="1">
      <alignment horizontal="right"/>
    </xf>
    <xf numFmtId="166" fontId="66" fillId="0" borderId="8" xfId="2" quotePrefix="1" applyNumberFormat="1" applyFont="1" applyFill="1" applyBorder="1" applyAlignment="1">
      <alignment horizontal="right"/>
    </xf>
    <xf numFmtId="166" fontId="4" fillId="0" borderId="0" xfId="2" applyNumberFormat="1" applyFont="1" applyAlignment="1">
      <alignment horizontal="right"/>
    </xf>
    <xf numFmtId="165" fontId="68" fillId="0" borderId="8" xfId="1" applyNumberFormat="1" applyFont="1" applyFill="1" applyBorder="1" applyAlignment="1">
      <alignment horizontal="right"/>
    </xf>
    <xf numFmtId="5" fontId="70" fillId="0" borderId="4" xfId="1" applyNumberFormat="1" applyFont="1" applyBorder="1" applyAlignment="1">
      <alignment horizontal="right"/>
    </xf>
    <xf numFmtId="43" fontId="66" fillId="0" borderId="0" xfId="1" quotePrefix="1" applyNumberFormat="1" applyFont="1" applyFill="1" applyBorder="1" applyAlignment="1">
      <alignment horizontal="right"/>
    </xf>
    <xf numFmtId="43" fontId="4" fillId="0" borderId="5" xfId="1" quotePrefix="1" applyNumberFormat="1" applyFont="1" applyFill="1" applyBorder="1" applyAlignment="1">
      <alignment horizontal="right"/>
    </xf>
    <xf numFmtId="166" fontId="66" fillId="10" borderId="33" xfId="2" quotePrefix="1" applyNumberFormat="1" applyFont="1" applyFill="1" applyBorder="1" applyAlignment="1">
      <alignment horizontal="right"/>
    </xf>
    <xf numFmtId="10" fontId="4" fillId="0" borderId="5" xfId="2" quotePrefix="1" applyNumberFormat="1" applyFont="1" applyFill="1" applyBorder="1" applyAlignment="1">
      <alignment horizontal="right"/>
    </xf>
    <xf numFmtId="165" fontId="66" fillId="0" borderId="4" xfId="1" applyNumberFormat="1" applyFont="1" applyFill="1" applyBorder="1" applyAlignment="1">
      <alignment horizontal="right"/>
    </xf>
    <xf numFmtId="165" fontId="66" fillId="0" borderId="4" xfId="1" applyNumberFormat="1" applyFont="1" applyBorder="1" applyAlignment="1">
      <alignment horizontal="right"/>
    </xf>
    <xf numFmtId="43" fontId="69" fillId="0" borderId="4" xfId="1" applyNumberFormat="1" applyFont="1" applyFill="1" applyBorder="1" applyAlignment="1">
      <alignment horizontal="right"/>
    </xf>
    <xf numFmtId="0" fontId="68" fillId="0" borderId="14" xfId="0" applyFont="1" applyFill="1" applyBorder="1"/>
    <xf numFmtId="5" fontId="68" fillId="0" borderId="15" xfId="1" applyNumberFormat="1" applyFont="1" applyBorder="1" applyAlignment="1">
      <alignment horizontal="right"/>
    </xf>
    <xf numFmtId="43" fontId="66" fillId="0" borderId="0" xfId="1" applyFont="1" applyFill="1" applyAlignment="1">
      <alignment horizontal="right"/>
    </xf>
    <xf numFmtId="165" fontId="66" fillId="0" borderId="0" xfId="1" applyNumberFormat="1" applyFont="1" applyFill="1" applyAlignment="1">
      <alignment horizontal="right"/>
    </xf>
    <xf numFmtId="166" fontId="66" fillId="0" borderId="0" xfId="2" applyNumberFormat="1" applyFont="1" applyFill="1" applyAlignment="1">
      <alignment horizontal="right"/>
    </xf>
    <xf numFmtId="43" fontId="66" fillId="0" borderId="0" xfId="1" applyNumberFormat="1" applyFont="1" applyFill="1" applyAlignment="1">
      <alignment horizontal="right"/>
    </xf>
    <xf numFmtId="167" fontId="66" fillId="0" borderId="0" xfId="1" applyNumberFormat="1" applyFont="1" applyFill="1" applyAlignment="1">
      <alignment horizontal="right"/>
    </xf>
    <xf numFmtId="166" fontId="66" fillId="0" borderId="0" xfId="1" applyNumberFormat="1" applyFont="1" applyFill="1" applyAlignment="1">
      <alignment horizontal="right"/>
    </xf>
    <xf numFmtId="166" fontId="66" fillId="0" borderId="0" xfId="2" applyNumberFormat="1" applyFont="1"/>
    <xf numFmtId="229" fontId="66" fillId="10" borderId="4" xfId="1" applyNumberFormat="1" applyFont="1" applyFill="1" applyBorder="1" applyAlignment="1">
      <alignment horizontal="right"/>
    </xf>
    <xf numFmtId="0" fontId="68" fillId="0" borderId="3" xfId="0" applyFont="1" applyFill="1" applyBorder="1"/>
    <xf numFmtId="229" fontId="66" fillId="0" borderId="4" xfId="2" applyNumberFormat="1" applyFont="1" applyFill="1" applyBorder="1" applyAlignment="1">
      <alignment horizontal="right"/>
    </xf>
    <xf numFmtId="229" fontId="66" fillId="0" borderId="4" xfId="1" applyNumberFormat="1" applyFont="1" applyFill="1" applyBorder="1" applyAlignment="1">
      <alignment horizontal="right"/>
    </xf>
    <xf numFmtId="43" fontId="66" fillId="0" borderId="4" xfId="1" quotePrefix="1" applyNumberFormat="1" applyFont="1" applyBorder="1" applyAlignment="1">
      <alignment horizontal="right"/>
    </xf>
    <xf numFmtId="5" fontId="68" fillId="0" borderId="4" xfId="1" applyNumberFormat="1" applyFont="1" applyBorder="1" applyAlignment="1">
      <alignment horizontal="right"/>
    </xf>
    <xf numFmtId="0" fontId="68" fillId="0" borderId="25" xfId="0" applyFont="1" applyFill="1" applyBorder="1" applyAlignment="1">
      <alignment horizontal="left"/>
    </xf>
    <xf numFmtId="5" fontId="68" fillId="0" borderId="26" xfId="1" applyNumberFormat="1" applyFont="1" applyBorder="1" applyAlignment="1">
      <alignment horizontal="right"/>
    </xf>
    <xf numFmtId="0" fontId="68" fillId="0" borderId="1" xfId="0" applyFont="1" applyFill="1" applyBorder="1" applyAlignment="1">
      <alignment horizontal="left"/>
    </xf>
    <xf numFmtId="5" fontId="68" fillId="0" borderId="11" xfId="1" applyNumberFormat="1" applyFont="1" applyBorder="1" applyAlignment="1">
      <alignment horizontal="right"/>
    </xf>
    <xf numFmtId="0" fontId="66" fillId="0" borderId="1" xfId="0" applyFont="1" applyBorder="1"/>
    <xf numFmtId="5" fontId="66" fillId="0" borderId="4" xfId="1" applyNumberFormat="1" applyFont="1" applyFill="1" applyBorder="1" applyAlignment="1">
      <alignment horizontal="right"/>
    </xf>
    <xf numFmtId="0" fontId="66" fillId="0" borderId="14" xfId="0" applyFont="1" applyFill="1" applyBorder="1"/>
    <xf numFmtId="6" fontId="66" fillId="0" borderId="15" xfId="0" applyNumberFormat="1" applyFont="1" applyBorder="1"/>
    <xf numFmtId="10" fontId="66" fillId="10" borderId="11" xfId="1" applyNumberFormat="1" applyFont="1" applyFill="1" applyBorder="1" applyAlignment="1">
      <alignment horizontal="right"/>
    </xf>
    <xf numFmtId="10" fontId="66" fillId="10" borderId="4" xfId="2" applyNumberFormat="1" applyFont="1" applyFill="1" applyBorder="1" applyAlignment="1">
      <alignment horizontal="right"/>
    </xf>
    <xf numFmtId="7" fontId="66" fillId="0" borderId="4" xfId="1" applyNumberFormat="1" applyFont="1" applyFill="1" applyBorder="1" applyAlignment="1">
      <alignment horizontal="right"/>
    </xf>
    <xf numFmtId="230" fontId="68" fillId="0" borderId="0" xfId="2" applyNumberFormat="1" applyFont="1" applyFill="1" applyBorder="1" applyAlignment="1">
      <alignment horizontal="right"/>
    </xf>
    <xf numFmtId="0" fontId="0" fillId="0" borderId="0" xfId="0" applyBorder="1"/>
    <xf numFmtId="228" fontId="80" fillId="17" borderId="0" xfId="0" applyNumberFormat="1" applyFont="1" applyFill="1" applyBorder="1" applyAlignment="1">
      <alignment horizontal="right" vertical="center"/>
    </xf>
    <xf numFmtId="166" fontId="80" fillId="17" borderId="0" xfId="2" applyNumberFormat="1" applyFont="1" applyFill="1" applyBorder="1" applyAlignment="1">
      <alignment horizontal="right" vertical="center"/>
    </xf>
    <xf numFmtId="226" fontId="80" fillId="17" borderId="0" xfId="0" applyNumberFormat="1" applyFont="1" applyFill="1" applyBorder="1" applyAlignment="1">
      <alignment horizontal="right" vertical="center"/>
    </xf>
    <xf numFmtId="228" fontId="80" fillId="17" borderId="7" xfId="0" applyNumberFormat="1" applyFont="1" applyFill="1" applyBorder="1" applyAlignment="1">
      <alignment horizontal="right" vertical="center"/>
    </xf>
    <xf numFmtId="0" fontId="66" fillId="0" borderId="3" xfId="0" applyFont="1" applyFill="1" applyBorder="1" applyAlignment="1">
      <alignment horizontal="left"/>
    </xf>
    <xf numFmtId="0" fontId="66" fillId="0" borderId="4" xfId="0" applyFont="1" applyFill="1" applyBorder="1" applyAlignment="1">
      <alignment horizontal="left"/>
    </xf>
    <xf numFmtId="165" fontId="4" fillId="0" borderId="0" xfId="1" applyNumberFormat="1" applyFont="1"/>
    <xf numFmtId="165" fontId="58" fillId="0" borderId="0" xfId="1" applyNumberFormat="1" applyFont="1"/>
    <xf numFmtId="10" fontId="85" fillId="0" borderId="81" xfId="0" applyNumberFormat="1" applyFont="1" applyFill="1" applyBorder="1" applyAlignment="1">
      <alignment horizontal="center" vertical="center" wrapText="1"/>
    </xf>
    <xf numFmtId="9" fontId="85" fillId="0" borderId="81" xfId="0" applyNumberFormat="1" applyFont="1" applyFill="1" applyBorder="1" applyAlignment="1">
      <alignment horizontal="center" vertical="center" wrapText="1"/>
    </xf>
    <xf numFmtId="37" fontId="85" fillId="0" borderId="81" xfId="1" applyNumberFormat="1" applyFont="1" applyFill="1" applyBorder="1" applyAlignment="1">
      <alignment horizontal="center" vertical="center" wrapText="1"/>
    </xf>
    <xf numFmtId="10" fontId="85" fillId="0" borderId="83" xfId="0" applyNumberFormat="1" applyFont="1" applyFill="1" applyBorder="1" applyAlignment="1">
      <alignment horizontal="center" vertical="center" wrapText="1"/>
    </xf>
    <xf numFmtId="37" fontId="85" fillId="0" borderId="83" xfId="1" applyNumberFormat="1" applyFont="1" applyFill="1" applyBorder="1" applyAlignment="1">
      <alignment horizontal="center" vertical="center" wrapText="1"/>
    </xf>
    <xf numFmtId="9" fontId="85" fillId="0" borderId="83" xfId="0" applyNumberFormat="1" applyFont="1" applyFill="1" applyBorder="1" applyAlignment="1">
      <alignment horizontal="center" vertical="center" wrapText="1"/>
    </xf>
    <xf numFmtId="14" fontId="85" fillId="0" borderId="84" xfId="0" applyNumberFormat="1" applyFont="1" applyFill="1" applyBorder="1" applyAlignment="1">
      <alignment horizontal="left" vertical="center" wrapText="1"/>
    </xf>
    <xf numFmtId="10" fontId="4" fillId="13" borderId="5" xfId="2" quotePrefix="1" applyNumberFormat="1" applyFont="1" applyFill="1" applyBorder="1" applyAlignment="1">
      <alignment horizontal="right"/>
    </xf>
    <xf numFmtId="165" fontId="66" fillId="9" borderId="0" xfId="1" applyNumberFormat="1" applyFont="1" applyFill="1" applyBorder="1" applyAlignment="1">
      <alignment horizontal="right"/>
    </xf>
    <xf numFmtId="165" fontId="66" fillId="9" borderId="5" xfId="1" applyNumberFormat="1" applyFont="1" applyFill="1" applyBorder="1" applyAlignment="1">
      <alignment horizontal="right"/>
    </xf>
    <xf numFmtId="1" fontId="0" fillId="0" borderId="40" xfId="0" applyNumberFormat="1" applyFill="1" applyBorder="1" applyAlignment="1">
      <alignment horizontal="center" vertical="center"/>
    </xf>
    <xf numFmtId="228" fontId="0" fillId="0" borderId="0" xfId="0" applyNumberFormat="1" applyFill="1" applyBorder="1" applyAlignment="1">
      <alignment horizontal="right" vertical="center"/>
    </xf>
    <xf numFmtId="226" fontId="0" fillId="0" borderId="0" xfId="0" applyNumberFormat="1" applyFill="1" applyBorder="1" applyAlignment="1">
      <alignment horizontal="right" vertical="center"/>
    </xf>
    <xf numFmtId="1" fontId="0" fillId="0" borderId="42" xfId="0" applyNumberFormat="1" applyFill="1" applyBorder="1" applyAlignment="1">
      <alignment horizontal="center" vertical="center"/>
    </xf>
    <xf numFmtId="228" fontId="0" fillId="0" borderId="7" xfId="0" applyNumberFormat="1" applyFill="1" applyBorder="1" applyAlignment="1">
      <alignment horizontal="right" vertical="center"/>
    </xf>
    <xf numFmtId="43" fontId="66" fillId="0" borderId="0" xfId="1" applyNumberFormat="1" applyFont="1" applyFill="1" applyAlignment="1">
      <alignment horizontal="right" wrapText="1"/>
    </xf>
    <xf numFmtId="187" fontId="66" fillId="0" borderId="0" xfId="1" quotePrefix="1" applyNumberFormat="1" applyFont="1" applyFill="1" applyBorder="1" applyAlignment="1">
      <alignment horizontal="right"/>
    </xf>
    <xf numFmtId="0" fontId="93" fillId="0" borderId="0" xfId="0" applyFont="1" applyFill="1"/>
    <xf numFmtId="0" fontId="94" fillId="0" borderId="12" xfId="0" applyFont="1" applyFill="1" applyBorder="1" applyAlignment="1">
      <alignment horizontal="left"/>
    </xf>
    <xf numFmtId="0" fontId="94" fillId="0" borderId="13" xfId="0" applyFont="1" applyFill="1" applyBorder="1" applyAlignment="1">
      <alignment horizontal="left"/>
    </xf>
    <xf numFmtId="165" fontId="94" fillId="0" borderId="66" xfId="1" applyNumberFormat="1" applyFont="1" applyFill="1" applyBorder="1" applyAlignment="1">
      <alignment horizontal="right"/>
    </xf>
    <xf numFmtId="165" fontId="94" fillId="0" borderId="65" xfId="1" applyNumberFormat="1" applyFont="1" applyFill="1" applyBorder="1" applyAlignment="1">
      <alignment horizontal="right"/>
    </xf>
    <xf numFmtId="0" fontId="93" fillId="0" borderId="3" xfId="0" applyFont="1" applyBorder="1" applyAlignment="1">
      <alignment horizontal="left"/>
    </xf>
    <xf numFmtId="0" fontId="93" fillId="0" borderId="4" xfId="0" applyFont="1" applyBorder="1" applyAlignment="1"/>
    <xf numFmtId="165" fontId="95" fillId="0" borderId="0" xfId="1" applyNumberFormat="1" applyFont="1" applyFill="1" applyBorder="1" applyAlignment="1">
      <alignment horizontal="right"/>
    </xf>
    <xf numFmtId="165" fontId="95" fillId="0" borderId="5" xfId="1" applyNumberFormat="1" applyFont="1" applyFill="1" applyBorder="1" applyAlignment="1">
      <alignment horizontal="right"/>
    </xf>
    <xf numFmtId="165" fontId="95" fillId="0" borderId="5" xfId="1" applyNumberFormat="1" applyFont="1" applyBorder="1" applyAlignment="1">
      <alignment horizontal="right"/>
    </xf>
    <xf numFmtId="0" fontId="93" fillId="0" borderId="0" xfId="0" applyFont="1"/>
    <xf numFmtId="0" fontId="94" fillId="0" borderId="3" xfId="0" applyFont="1" applyBorder="1" applyAlignment="1">
      <alignment horizontal="left"/>
    </xf>
    <xf numFmtId="0" fontId="94" fillId="0" borderId="4" xfId="0" applyFont="1" applyBorder="1" applyAlignment="1"/>
    <xf numFmtId="165" fontId="94" fillId="0" borderId="0" xfId="1" applyNumberFormat="1" applyFont="1" applyFill="1" applyBorder="1" applyAlignment="1">
      <alignment horizontal="right"/>
    </xf>
    <xf numFmtId="165" fontId="94" fillId="0" borderId="5" xfId="1" applyNumberFormat="1" applyFont="1" applyFill="1" applyBorder="1" applyAlignment="1">
      <alignment horizontal="right"/>
    </xf>
    <xf numFmtId="165" fontId="94" fillId="0" borderId="5" xfId="1" applyNumberFormat="1" applyFont="1" applyBorder="1" applyAlignment="1">
      <alignment horizontal="right"/>
    </xf>
    <xf numFmtId="0" fontId="94" fillId="0" borderId="4" xfId="0" applyFont="1" applyBorder="1" applyAlignment="1">
      <alignment horizontal="left"/>
    </xf>
    <xf numFmtId="165" fontId="96" fillId="0" borderId="0" xfId="1" applyNumberFormat="1" applyFont="1" applyFill="1" applyBorder="1" applyAlignment="1">
      <alignment horizontal="right"/>
    </xf>
    <xf numFmtId="165" fontId="96" fillId="0" borderId="5" xfId="1" applyNumberFormat="1" applyFont="1" applyFill="1" applyBorder="1" applyAlignment="1">
      <alignment horizontal="right"/>
    </xf>
    <xf numFmtId="165" fontId="96" fillId="0" borderId="0" xfId="1" applyNumberFormat="1" applyFont="1" applyBorder="1" applyAlignment="1">
      <alignment horizontal="right"/>
    </xf>
    <xf numFmtId="165" fontId="96" fillId="0" borderId="5" xfId="1" applyNumberFormat="1" applyFont="1" applyBorder="1" applyAlignment="1">
      <alignment horizontal="right"/>
    </xf>
    <xf numFmtId="165" fontId="94" fillId="0" borderId="0" xfId="1" applyNumberFormat="1" applyFont="1" applyBorder="1" applyAlignment="1">
      <alignment horizontal="right"/>
    </xf>
    <xf numFmtId="0" fontId="94" fillId="0" borderId="4" xfId="0" applyFont="1" applyFill="1" applyBorder="1" applyAlignment="1">
      <alignment horizontal="left"/>
    </xf>
    <xf numFmtId="43" fontId="94" fillId="0" borderId="0" xfId="1" applyNumberFormat="1" applyFont="1" applyFill="1" applyBorder="1" applyAlignment="1">
      <alignment horizontal="right"/>
    </xf>
    <xf numFmtId="43" fontId="94" fillId="0" borderId="5" xfId="1" applyNumberFormat="1" applyFont="1" applyFill="1" applyBorder="1" applyAlignment="1">
      <alignment horizontal="right"/>
    </xf>
    <xf numFmtId="43" fontId="94" fillId="9" borderId="0" xfId="1" applyNumberFormat="1" applyFont="1" applyFill="1" applyBorder="1" applyAlignment="1">
      <alignment horizontal="right"/>
    </xf>
    <xf numFmtId="43" fontId="94" fillId="11" borderId="5" xfId="1" applyNumberFormat="1" applyFont="1" applyFill="1" applyBorder="1" applyAlignment="1">
      <alignment horizontal="right"/>
    </xf>
    <xf numFmtId="43" fontId="94" fillId="9" borderId="5" xfId="1" applyNumberFormat="1" applyFont="1" applyFill="1" applyBorder="1" applyAlignment="1">
      <alignment horizontal="right"/>
    </xf>
    <xf numFmtId="165" fontId="66" fillId="0" borderId="0" xfId="1" applyNumberFormat="1" applyFont="1" applyFill="1" applyAlignment="1">
      <alignment horizontal="left"/>
    </xf>
    <xf numFmtId="43" fontId="66" fillId="0" borderId="0" xfId="1" applyFont="1" applyFill="1" applyAlignment="1">
      <alignment horizontal="left"/>
    </xf>
    <xf numFmtId="9" fontId="66" fillId="0" borderId="0" xfId="1" applyNumberFormat="1" applyFont="1" applyFill="1" applyAlignment="1">
      <alignment horizontal="right"/>
    </xf>
    <xf numFmtId="43" fontId="66" fillId="0" borderId="0" xfId="1" applyNumberFormat="1" applyFont="1" applyFill="1" applyAlignment="1">
      <alignment horizontal="left"/>
    </xf>
    <xf numFmtId="43" fontId="92" fillId="0" borderId="0" xfId="0" applyNumberFormat="1" applyFont="1" applyFill="1" applyBorder="1"/>
    <xf numFmtId="166" fontId="0" fillId="0" borderId="95" xfId="2" applyNumberFormat="1" applyFont="1" applyFill="1" applyBorder="1" applyAlignment="1">
      <alignment horizontal="center" vertical="center"/>
    </xf>
    <xf numFmtId="166" fontId="0" fillId="0" borderId="96" xfId="2" applyNumberFormat="1" applyFont="1" applyFill="1" applyBorder="1" applyAlignment="1">
      <alignment horizontal="center" vertical="center"/>
    </xf>
    <xf numFmtId="166" fontId="0" fillId="0" borderId="107" xfId="2" applyNumberFormat="1" applyFont="1" applyFill="1" applyBorder="1" applyAlignment="1">
      <alignment horizontal="center" vertical="center"/>
    </xf>
    <xf numFmtId="166" fontId="0" fillId="0" borderId="117" xfId="2" applyNumberFormat="1" applyFont="1" applyFill="1" applyBorder="1" applyAlignment="1">
      <alignment horizontal="center" vertical="center"/>
    </xf>
    <xf numFmtId="166" fontId="0" fillId="0" borderId="115" xfId="2" applyNumberFormat="1" applyFont="1" applyFill="1" applyBorder="1" applyAlignment="1">
      <alignment horizontal="center" vertical="center"/>
    </xf>
    <xf numFmtId="166" fontId="0" fillId="0" borderId="122" xfId="2" applyNumberFormat="1" applyFont="1" applyFill="1" applyBorder="1" applyAlignment="1">
      <alignment horizontal="center" vertical="center"/>
    </xf>
    <xf numFmtId="166" fontId="0" fillId="0" borderId="93" xfId="2" applyNumberFormat="1" applyFont="1" applyFill="1" applyBorder="1" applyAlignment="1">
      <alignment horizontal="right" vertical="center"/>
    </xf>
    <xf numFmtId="7" fontId="0" fillId="0" borderId="97" xfId="0" applyNumberFormat="1" applyFill="1" applyBorder="1" applyAlignment="1">
      <alignment horizontal="center"/>
    </xf>
    <xf numFmtId="7" fontId="0" fillId="0" borderId="102" xfId="0" applyNumberFormat="1" applyFill="1" applyBorder="1" applyAlignment="1">
      <alignment horizontal="center"/>
    </xf>
    <xf numFmtId="7" fontId="0" fillId="0" borderId="98" xfId="0" applyNumberFormat="1" applyFill="1" applyBorder="1" applyAlignment="1">
      <alignment horizontal="center"/>
    </xf>
    <xf numFmtId="7" fontId="0" fillId="0" borderId="104" xfId="0" applyNumberFormat="1" applyFill="1" applyBorder="1" applyAlignment="1">
      <alignment horizontal="center"/>
    </xf>
    <xf numFmtId="7" fontId="0" fillId="0" borderId="101" xfId="0" applyNumberFormat="1" applyFill="1" applyBorder="1" applyAlignment="1">
      <alignment horizontal="center"/>
    </xf>
    <xf numFmtId="7" fontId="0" fillId="0" borderId="124" xfId="0" applyNumberFormat="1" applyFill="1" applyBorder="1" applyAlignment="1">
      <alignment horizontal="center"/>
    </xf>
    <xf numFmtId="166" fontId="0" fillId="0" borderId="109" xfId="2" applyNumberFormat="1" applyFont="1" applyFill="1" applyBorder="1" applyAlignment="1">
      <alignment horizontal="right" vertical="center"/>
    </xf>
    <xf numFmtId="7" fontId="0" fillId="0" borderId="103" xfId="0" applyNumberFormat="1" applyFill="1" applyBorder="1" applyAlignment="1">
      <alignment horizontal="center"/>
    </xf>
    <xf numFmtId="166" fontId="0" fillId="0" borderId="110" xfId="2" applyNumberFormat="1" applyFont="1" applyFill="1" applyBorder="1" applyAlignment="1">
      <alignment horizontal="right" vertical="center"/>
    </xf>
    <xf numFmtId="166" fontId="0" fillId="0" borderId="117" xfId="2" applyNumberFormat="1" applyFont="1" applyFill="1" applyBorder="1" applyAlignment="1">
      <alignment horizontal="right" vertical="center"/>
    </xf>
    <xf numFmtId="7" fontId="0" fillId="0" borderId="105" xfId="0" applyNumberFormat="1" applyFill="1" applyBorder="1" applyAlignment="1">
      <alignment horizontal="center"/>
    </xf>
    <xf numFmtId="7" fontId="0" fillId="0" borderId="117" xfId="0" applyNumberFormat="1" applyFill="1" applyBorder="1" applyAlignment="1">
      <alignment horizontal="center"/>
    </xf>
    <xf numFmtId="7" fontId="0" fillId="0" borderId="111" xfId="0" applyNumberFormat="1" applyFill="1" applyBorder="1" applyAlignment="1">
      <alignment horizontal="center"/>
    </xf>
    <xf numFmtId="7" fontId="0" fillId="0" borderId="112" xfId="0" applyNumberFormat="1" applyFill="1" applyBorder="1" applyAlignment="1">
      <alignment horizontal="center"/>
    </xf>
    <xf numFmtId="7" fontId="0" fillId="0" borderId="113" xfId="0" applyNumberFormat="1" applyFill="1" applyBorder="1" applyAlignment="1">
      <alignment horizontal="center"/>
    </xf>
    <xf numFmtId="7" fontId="0" fillId="0" borderId="114" xfId="0" applyNumberFormat="1" applyFill="1" applyBorder="1" applyAlignment="1">
      <alignment horizontal="center"/>
    </xf>
    <xf numFmtId="7" fontId="0" fillId="0" borderId="126" xfId="0" applyNumberFormat="1" applyFill="1" applyBorder="1" applyAlignment="1">
      <alignment horizontal="center"/>
    </xf>
    <xf numFmtId="166" fontId="0" fillId="0" borderId="94" xfId="2" applyNumberFormat="1" applyFont="1" applyFill="1" applyBorder="1" applyAlignment="1">
      <alignment horizontal="right" vertical="center"/>
    </xf>
    <xf numFmtId="7" fontId="0" fillId="0" borderId="99" xfId="0" applyNumberFormat="1" applyFill="1" applyBorder="1" applyAlignment="1">
      <alignment horizontal="center"/>
    </xf>
    <xf numFmtId="7" fontId="0" fillId="0" borderId="106" xfId="0" applyNumberFormat="1" applyFill="1" applyBorder="1" applyAlignment="1">
      <alignment horizontal="center"/>
    </xf>
    <xf numFmtId="7" fontId="0" fillId="0" borderId="100" xfId="0" applyNumberFormat="1" applyFill="1" applyBorder="1" applyAlignment="1">
      <alignment horizontal="center"/>
    </xf>
    <xf numFmtId="7" fontId="0" fillId="0" borderId="108" xfId="0" applyNumberFormat="1" applyFill="1" applyBorder="1" applyAlignment="1">
      <alignment horizontal="center"/>
    </xf>
    <xf numFmtId="7" fontId="0" fillId="0" borderId="127" xfId="0" applyNumberFormat="1" applyFill="1" applyBorder="1" applyAlignment="1">
      <alignment horizontal="center"/>
    </xf>
    <xf numFmtId="164" fontId="97" fillId="0" borderId="0" xfId="1" applyNumberFormat="1" applyFont="1" applyAlignment="1">
      <alignment horizontal="right"/>
    </xf>
    <xf numFmtId="0" fontId="97" fillId="0" borderId="0" xfId="0" applyFont="1" applyAlignment="1">
      <alignment horizontal="right"/>
    </xf>
    <xf numFmtId="0" fontId="66" fillId="0" borderId="3" xfId="0" applyFont="1" applyBorder="1" applyAlignment="1">
      <alignment horizontal="left"/>
    </xf>
    <xf numFmtId="0" fontId="66" fillId="0" borderId="4" xfId="0" applyFont="1" applyBorder="1" applyAlignment="1">
      <alignment horizontal="left"/>
    </xf>
    <xf numFmtId="0" fontId="64" fillId="2" borderId="1" xfId="0" applyFont="1" applyFill="1" applyBorder="1" applyAlignment="1">
      <alignment horizontal="left"/>
    </xf>
    <xf numFmtId="0" fontId="64" fillId="2" borderId="2" xfId="0" applyFont="1" applyFill="1" applyBorder="1" applyAlignment="1">
      <alignment horizontal="left"/>
    </xf>
    <xf numFmtId="0" fontId="70" fillId="0" borderId="27" xfId="0" applyFont="1" applyBorder="1" applyAlignment="1">
      <alignment horizontal="left"/>
    </xf>
    <xf numFmtId="0" fontId="70" fillId="0" borderId="28" xfId="0" applyFont="1" applyBorder="1" applyAlignment="1">
      <alignment horizontal="left"/>
    </xf>
    <xf numFmtId="0" fontId="68" fillId="0" borderId="3" xfId="0" applyFont="1" applyBorder="1" applyAlignment="1">
      <alignment horizontal="left" indent="2"/>
    </xf>
    <xf numFmtId="0" fontId="68" fillId="0" borderId="4" xfId="0" applyFont="1" applyBorder="1" applyAlignment="1">
      <alignment horizontal="left" indent="2"/>
    </xf>
    <xf numFmtId="0" fontId="65" fillId="0" borderId="64" xfId="0" applyFont="1" applyFill="1" applyBorder="1" applyAlignment="1">
      <alignment horizontal="center" wrapText="1"/>
    </xf>
    <xf numFmtId="0" fontId="65" fillId="0" borderId="5" xfId="0" applyFont="1" applyFill="1" applyBorder="1" applyAlignment="1">
      <alignment horizontal="center" wrapText="1"/>
    </xf>
    <xf numFmtId="0" fontId="64" fillId="2" borderId="11" xfId="0" applyFont="1" applyFill="1" applyBorder="1" applyAlignment="1">
      <alignment horizontal="left"/>
    </xf>
    <xf numFmtId="0" fontId="70" fillId="13" borderId="27" xfId="0" applyFont="1" applyFill="1" applyBorder="1" applyAlignment="1">
      <alignment horizontal="left"/>
    </xf>
    <xf numFmtId="0" fontId="70" fillId="13" borderId="28" xfId="0" applyFont="1" applyFill="1" applyBorder="1" applyAlignment="1">
      <alignment horizontal="left"/>
    </xf>
    <xf numFmtId="0" fontId="68" fillId="0" borderId="3" xfId="0" applyFont="1" applyBorder="1" applyAlignment="1">
      <alignment horizontal="left" indent="1"/>
    </xf>
    <xf numFmtId="0" fontId="68" fillId="0" borderId="4" xfId="0" applyFont="1" applyBorder="1" applyAlignment="1">
      <alignment horizontal="left" indent="1"/>
    </xf>
    <xf numFmtId="0" fontId="70" fillId="0" borderId="3" xfId="0" applyFont="1" applyBorder="1" applyAlignment="1">
      <alignment horizontal="left"/>
    </xf>
    <xf numFmtId="0" fontId="70" fillId="0" borderId="4" xfId="0" applyFont="1" applyBorder="1" applyAlignment="1">
      <alignment horizontal="left"/>
    </xf>
    <xf numFmtId="0" fontId="66" fillId="0" borderId="3" xfId="0" applyFont="1" applyFill="1" applyBorder="1" applyAlignment="1">
      <alignment horizontal="left"/>
    </xf>
    <xf numFmtId="0" fontId="66" fillId="0" borderId="4" xfId="0" applyFont="1" applyFill="1" applyBorder="1" applyAlignment="1">
      <alignment horizontal="left"/>
    </xf>
    <xf numFmtId="0" fontId="68" fillId="13" borderId="3" xfId="0" applyFont="1" applyFill="1" applyBorder="1" applyAlignment="1">
      <alignment horizontal="left" indent="1"/>
    </xf>
    <xf numFmtId="0" fontId="68" fillId="13" borderId="4" xfId="0" applyFont="1" applyFill="1" applyBorder="1" applyAlignment="1">
      <alignment horizontal="left" indent="1"/>
    </xf>
    <xf numFmtId="0" fontId="66" fillId="13" borderId="3" xfId="0" applyFont="1" applyFill="1" applyBorder="1" applyAlignment="1">
      <alignment horizontal="left"/>
    </xf>
    <xf numFmtId="0" fontId="66" fillId="13" borderId="4" xfId="0" applyFont="1" applyFill="1" applyBorder="1" applyAlignment="1">
      <alignment horizontal="left"/>
    </xf>
    <xf numFmtId="0" fontId="65" fillId="2" borderId="3" xfId="0" applyFont="1" applyFill="1" applyBorder="1" applyAlignment="1">
      <alignment horizontal="left"/>
    </xf>
    <xf numFmtId="0" fontId="65" fillId="2" borderId="4" xfId="0" applyFont="1" applyFill="1" applyBorder="1" applyAlignment="1">
      <alignment horizontal="left"/>
    </xf>
    <xf numFmtId="0" fontId="68" fillId="0" borderId="6" xfId="0" applyFont="1" applyBorder="1" applyAlignment="1">
      <alignment horizontal="left" indent="2"/>
    </xf>
    <xf numFmtId="0" fontId="68" fillId="0" borderId="10" xfId="0" applyFont="1" applyBorder="1" applyAlignment="1">
      <alignment horizontal="left" indent="2"/>
    </xf>
    <xf numFmtId="0" fontId="66" fillId="13" borderId="27" xfId="0" applyFont="1" applyFill="1" applyBorder="1" applyAlignment="1">
      <alignment horizontal="left"/>
    </xf>
    <xf numFmtId="0" fontId="66" fillId="13" borderId="28" xfId="0" applyFont="1" applyFill="1" applyBorder="1" applyAlignment="1">
      <alignment horizontal="left"/>
    </xf>
    <xf numFmtId="0" fontId="66" fillId="0" borderId="3" xfId="0" applyFont="1" applyFill="1" applyBorder="1" applyAlignment="1">
      <alignment horizontal="left" vertical="top" wrapText="1"/>
    </xf>
    <xf numFmtId="0" fontId="66" fillId="0" borderId="4" xfId="0" applyFont="1" applyFill="1" applyBorder="1" applyAlignment="1">
      <alignment horizontal="left" vertical="top" wrapText="1"/>
    </xf>
    <xf numFmtId="0" fontId="66" fillId="0" borderId="6" xfId="0" applyFont="1" applyFill="1" applyBorder="1" applyAlignment="1">
      <alignment horizontal="left" vertical="top" wrapText="1"/>
    </xf>
    <xf numFmtId="0" fontId="66" fillId="0" borderId="10" xfId="0" applyFont="1" applyFill="1" applyBorder="1" applyAlignment="1">
      <alignment horizontal="left" vertical="top" wrapText="1"/>
    </xf>
    <xf numFmtId="0" fontId="66" fillId="0" borderId="12" xfId="0" applyFont="1" applyFill="1" applyBorder="1" applyAlignment="1">
      <alignment horizontal="left" vertical="top" wrapText="1"/>
    </xf>
    <xf numFmtId="0" fontId="66" fillId="0" borderId="13" xfId="0" applyFont="1" applyFill="1" applyBorder="1" applyAlignment="1">
      <alignment horizontal="left" vertical="top" wrapText="1"/>
    </xf>
    <xf numFmtId="0" fontId="66" fillId="0" borderId="27" xfId="0" applyFont="1" applyFill="1" applyBorder="1" applyAlignment="1">
      <alignment horizontal="left" vertical="top" wrapText="1"/>
    </xf>
    <xf numFmtId="0" fontId="66" fillId="0" borderId="28" xfId="0" applyFont="1" applyFill="1" applyBorder="1" applyAlignment="1">
      <alignment horizontal="left" vertical="top" wrapText="1"/>
    </xf>
    <xf numFmtId="0" fontId="66" fillId="0" borderId="25" xfId="0" applyFont="1" applyFill="1" applyBorder="1" applyAlignment="1">
      <alignment horizontal="left" vertical="top" wrapText="1"/>
    </xf>
    <xf numFmtId="0" fontId="66" fillId="0" borderId="26" xfId="0" applyFont="1" applyFill="1" applyBorder="1" applyAlignment="1">
      <alignment horizontal="left" vertical="top" wrapText="1"/>
    </xf>
    <xf numFmtId="0" fontId="66" fillId="0" borderId="29" xfId="0" applyFont="1" applyBorder="1" applyAlignment="1">
      <alignment horizontal="left" vertical="top" wrapText="1"/>
    </xf>
    <xf numFmtId="0" fontId="66" fillId="0" borderId="30" xfId="0" applyFont="1" applyBorder="1" applyAlignment="1">
      <alignment horizontal="left" vertical="top" wrapText="1"/>
    </xf>
    <xf numFmtId="0" fontId="88"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2" xfId="0" applyFont="1" applyFill="1" applyBorder="1" applyAlignment="1">
      <alignment horizontal="left"/>
    </xf>
    <xf numFmtId="0" fontId="66" fillId="13" borderId="14" xfId="0" applyFont="1" applyFill="1" applyBorder="1" applyAlignment="1">
      <alignment horizontal="left"/>
    </xf>
    <xf numFmtId="0" fontId="66" fillId="13" borderId="15" xfId="0" applyFont="1" applyFill="1" applyBorder="1" applyAlignment="1">
      <alignment horizontal="left"/>
    </xf>
    <xf numFmtId="0" fontId="70" fillId="13" borderId="3" xfId="0" applyFont="1" applyFill="1" applyBorder="1" applyAlignment="1">
      <alignment horizontal="left"/>
    </xf>
    <xf numFmtId="0" fontId="70" fillId="13" borderId="4" xfId="0" applyFont="1" applyFill="1" applyBorder="1" applyAlignment="1">
      <alignment horizontal="left"/>
    </xf>
    <xf numFmtId="0" fontId="66" fillId="0" borderId="6" xfId="0" applyFont="1" applyBorder="1" applyAlignment="1">
      <alignment horizontal="left"/>
    </xf>
    <xf numFmtId="0" fontId="66" fillId="0" borderId="10" xfId="0" applyFont="1" applyBorder="1" applyAlignment="1">
      <alignment horizontal="left"/>
    </xf>
    <xf numFmtId="0" fontId="68" fillId="0" borderId="3" xfId="0" applyFont="1" applyBorder="1" applyAlignment="1">
      <alignment horizontal="left"/>
    </xf>
    <xf numFmtId="0" fontId="68" fillId="0" borderId="4" xfId="0" applyFont="1" applyBorder="1" applyAlignment="1">
      <alignment horizontal="left"/>
    </xf>
    <xf numFmtId="0" fontId="66" fillId="0" borderId="6" xfId="0" applyFont="1" applyFill="1" applyBorder="1" applyAlignment="1">
      <alignment horizontal="left"/>
    </xf>
    <xf numFmtId="0" fontId="66" fillId="0" borderId="10" xfId="0" applyFont="1" applyFill="1" applyBorder="1" applyAlignment="1">
      <alignment horizontal="left"/>
    </xf>
    <xf numFmtId="0" fontId="68" fillId="0" borderId="3" xfId="3" applyFont="1" applyBorder="1" applyAlignment="1">
      <alignment horizontal="left" vertical="top" indent="2"/>
    </xf>
    <xf numFmtId="0" fontId="68" fillId="0" borderId="4" xfId="3" applyFont="1" applyBorder="1" applyAlignment="1">
      <alignment horizontal="left" vertical="top" indent="2"/>
    </xf>
    <xf numFmtId="0" fontId="66" fillId="0" borderId="3" xfId="3" applyFont="1" applyFill="1" applyBorder="1" applyAlignment="1">
      <alignment horizontal="left" vertical="top"/>
    </xf>
    <xf numFmtId="0" fontId="66" fillId="0" borderId="4" xfId="3" applyFont="1" applyFill="1" applyBorder="1" applyAlignment="1">
      <alignment horizontal="left" vertical="top"/>
    </xf>
    <xf numFmtId="0" fontId="4" fillId="13" borderId="3" xfId="0" applyFont="1" applyFill="1" applyBorder="1" applyAlignment="1">
      <alignment horizontal="left"/>
    </xf>
    <xf numFmtId="0" fontId="4" fillId="13" borderId="4" xfId="0" applyFont="1" applyFill="1" applyBorder="1" applyAlignment="1">
      <alignment horizontal="left"/>
    </xf>
    <xf numFmtId="0" fontId="66" fillId="10" borderId="1" xfId="0" applyFont="1" applyFill="1" applyBorder="1" applyAlignment="1">
      <alignment horizontal="left"/>
    </xf>
    <xf numFmtId="0" fontId="66" fillId="10" borderId="11" xfId="0" applyFont="1" applyFill="1" applyBorder="1" applyAlignment="1">
      <alignment horizontal="left"/>
    </xf>
    <xf numFmtId="0" fontId="66" fillId="11" borderId="3" xfId="0" applyFont="1" applyFill="1" applyBorder="1" applyAlignment="1">
      <alignment horizontal="left"/>
    </xf>
    <xf numFmtId="0" fontId="66" fillId="11" borderId="4" xfId="0" applyFont="1" applyFill="1" applyBorder="1" applyAlignment="1">
      <alignment horizontal="left"/>
    </xf>
    <xf numFmtId="0" fontId="66" fillId="9" borderId="6" xfId="0" applyFont="1" applyFill="1" applyBorder="1" applyAlignment="1">
      <alignment horizontal="left"/>
    </xf>
    <xf numFmtId="0" fontId="66" fillId="9" borderId="10" xfId="0" applyFont="1" applyFill="1" applyBorder="1" applyAlignment="1">
      <alignment horizontal="left"/>
    </xf>
    <xf numFmtId="0" fontId="68" fillId="0" borderId="3" xfId="0" applyFont="1" applyFill="1" applyBorder="1" applyAlignment="1">
      <alignment horizontal="left" indent="1"/>
    </xf>
    <xf numFmtId="0" fontId="68" fillId="0" borderId="4" xfId="0" applyFont="1" applyFill="1" applyBorder="1" applyAlignment="1">
      <alignment horizontal="left" indent="1"/>
    </xf>
    <xf numFmtId="0" fontId="66" fillId="0" borderId="3" xfId="0" applyFont="1" applyBorder="1" applyAlignment="1">
      <alignment horizontal="left" indent="2"/>
    </xf>
    <xf numFmtId="0" fontId="66" fillId="0" borderId="4" xfId="0" applyFont="1" applyBorder="1" applyAlignment="1">
      <alignment horizontal="left" indent="2"/>
    </xf>
    <xf numFmtId="0" fontId="70" fillId="0" borderId="57" xfId="0" applyFont="1" applyBorder="1" applyAlignment="1">
      <alignment horizontal="left"/>
    </xf>
    <xf numFmtId="0" fontId="70" fillId="0" borderId="58" xfId="0" applyFont="1" applyBorder="1" applyAlignment="1">
      <alignment horizontal="left"/>
    </xf>
    <xf numFmtId="0" fontId="66" fillId="0" borderId="14" xfId="0" applyFont="1" applyFill="1" applyBorder="1" applyAlignment="1">
      <alignment horizontal="left" indent="1"/>
    </xf>
    <xf numFmtId="0" fontId="66" fillId="0" borderId="15" xfId="0" applyFont="1" applyFill="1" applyBorder="1" applyAlignment="1">
      <alignment horizontal="left" indent="1"/>
    </xf>
    <xf numFmtId="0" fontId="66" fillId="13" borderId="3" xfId="0" applyFont="1" applyFill="1" applyBorder="1" applyAlignment="1">
      <alignment horizontal="left" indent="5"/>
    </xf>
    <xf numFmtId="0" fontId="66" fillId="13" borderId="4" xfId="0" applyFont="1" applyFill="1" applyBorder="1" applyAlignment="1">
      <alignment horizontal="left" indent="5"/>
    </xf>
    <xf numFmtId="0" fontId="66" fillId="13" borderId="3" xfId="0" applyFont="1" applyFill="1" applyBorder="1" applyAlignment="1">
      <alignment horizontal="left" indent="2"/>
    </xf>
    <xf numFmtId="0" fontId="66" fillId="13" borderId="4" xfId="0" applyFont="1" applyFill="1" applyBorder="1" applyAlignment="1">
      <alignment horizontal="left" indent="2"/>
    </xf>
    <xf numFmtId="0" fontId="68" fillId="0" borderId="14" xfId="0" applyFont="1" applyBorder="1" applyAlignment="1">
      <alignment horizontal="left" indent="1"/>
    </xf>
    <xf numFmtId="0" fontId="68" fillId="0" borderId="15" xfId="0" applyFont="1" applyBorder="1" applyAlignment="1">
      <alignment horizontal="left" indent="1"/>
    </xf>
    <xf numFmtId="0" fontId="2" fillId="0" borderId="118" xfId="0" applyFont="1" applyBorder="1" applyAlignment="1">
      <alignment horizontal="center"/>
    </xf>
    <xf numFmtId="0" fontId="2" fillId="0" borderId="119" xfId="0" applyFont="1" applyBorder="1" applyAlignment="1">
      <alignment horizontal="center"/>
    </xf>
    <xf numFmtId="0" fontId="2" fillId="0" borderId="120" xfId="0" applyFont="1" applyBorder="1" applyAlignment="1">
      <alignment horizontal="center"/>
    </xf>
    <xf numFmtId="164" fontId="62" fillId="2" borderId="92" xfId="1" quotePrefix="1" applyNumberFormat="1" applyFont="1" applyFill="1" applyBorder="1" applyAlignment="1">
      <alignment horizontal="center" vertical="center" wrapText="1"/>
    </xf>
    <xf numFmtId="164" fontId="62" fillId="2" borderId="116" xfId="1" quotePrefix="1" applyNumberFormat="1" applyFont="1" applyFill="1" applyBorder="1" applyAlignment="1">
      <alignment horizontal="center" vertical="center" wrapText="1"/>
    </xf>
    <xf numFmtId="164" fontId="62" fillId="2" borderId="121" xfId="1" quotePrefix="1" applyNumberFormat="1" applyFont="1" applyFill="1" applyBorder="1" applyAlignment="1">
      <alignment horizontal="center" vertical="center" wrapText="1"/>
    </xf>
    <xf numFmtId="164" fontId="62" fillId="2" borderId="123" xfId="1" quotePrefix="1" applyNumberFormat="1" applyFont="1" applyFill="1" applyBorder="1" applyAlignment="1">
      <alignment horizontal="center" vertical="center" wrapText="1"/>
    </xf>
    <xf numFmtId="164" fontId="62" fillId="2" borderId="125" xfId="1" quotePrefix="1" applyNumberFormat="1" applyFont="1" applyFill="1" applyBorder="1" applyAlignment="1">
      <alignment horizontal="center" vertical="center" wrapText="1"/>
    </xf>
    <xf numFmtId="0" fontId="66" fillId="0" borderId="27" xfId="0" applyFont="1" applyFill="1" applyBorder="1" applyAlignment="1">
      <alignment horizontal="left"/>
    </xf>
    <xf numFmtId="0" fontId="66" fillId="0" borderId="28" xfId="0" applyFont="1" applyFill="1" applyBorder="1" applyAlignment="1">
      <alignment horizontal="left"/>
    </xf>
    <xf numFmtId="0" fontId="66" fillId="13" borderId="3" xfId="3" applyFont="1" applyFill="1" applyBorder="1" applyAlignment="1">
      <alignment horizontal="left" vertical="top"/>
    </xf>
    <xf numFmtId="0" fontId="66" fillId="13" borderId="4" xfId="3" applyFont="1" applyFill="1" applyBorder="1" applyAlignment="1">
      <alignment horizontal="left" vertical="top"/>
    </xf>
    <xf numFmtId="0" fontId="86" fillId="0" borderId="82" xfId="0" applyFont="1" applyFill="1" applyBorder="1" applyAlignment="1">
      <alignment horizontal="center" vertical="center" wrapText="1"/>
    </xf>
    <xf numFmtId="0" fontId="86" fillId="0" borderId="80" xfId="0" applyFont="1" applyFill="1" applyBorder="1" applyAlignment="1">
      <alignment horizontal="center" vertical="center" wrapText="1"/>
    </xf>
    <xf numFmtId="0" fontId="86" fillId="0" borderId="81" xfId="0" applyFont="1" applyFill="1" applyBorder="1" applyAlignment="1">
      <alignment horizontal="center" vertical="center" wrapText="1"/>
    </xf>
    <xf numFmtId="0" fontId="82" fillId="2" borderId="76" xfId="0" applyFont="1" applyFill="1" applyBorder="1" applyAlignment="1">
      <alignment horizontal="center" vertical="center" wrapText="1"/>
    </xf>
    <xf numFmtId="0" fontId="82" fillId="2" borderId="70" xfId="0" applyFont="1" applyFill="1" applyBorder="1" applyAlignment="1">
      <alignment horizontal="center" vertical="center" wrapText="1"/>
    </xf>
    <xf numFmtId="0" fontId="82" fillId="2" borderId="77" xfId="0" applyFont="1" applyFill="1" applyBorder="1" applyAlignment="1">
      <alignment horizontal="center" vertical="center" wrapText="1"/>
    </xf>
    <xf numFmtId="0" fontId="82" fillId="2" borderId="78" xfId="0" applyFont="1" applyFill="1" applyBorder="1" applyAlignment="1">
      <alignment horizontal="center" vertical="center" wrapText="1"/>
    </xf>
    <xf numFmtId="0" fontId="81" fillId="15" borderId="67" xfId="0" applyFont="1" applyFill="1" applyBorder="1" applyAlignment="1">
      <alignment horizontal="center" vertical="center" wrapText="1"/>
    </xf>
    <xf numFmtId="0" fontId="81" fillId="15" borderId="68" xfId="0" applyFont="1" applyFill="1" applyBorder="1" applyAlignment="1">
      <alignment horizontal="center" vertical="center" wrapText="1"/>
    </xf>
    <xf numFmtId="0" fontId="81" fillId="15" borderId="69" xfId="0" applyFont="1" applyFill="1" applyBorder="1" applyAlignment="1">
      <alignment horizontal="center" vertical="center" wrapText="1"/>
    </xf>
    <xf numFmtId="0" fontId="84" fillId="0" borderId="132" xfId="0" applyFont="1" applyFill="1" applyBorder="1" applyAlignment="1">
      <alignment horizontal="left" vertical="top" wrapText="1"/>
    </xf>
    <xf numFmtId="0" fontId="84" fillId="0" borderId="133" xfId="0" applyFont="1" applyFill="1" applyBorder="1" applyAlignment="1">
      <alignment horizontal="left" vertical="top" wrapText="1"/>
    </xf>
    <xf numFmtId="0" fontId="84" fillId="0" borderId="134" xfId="0" applyFont="1" applyFill="1" applyBorder="1" applyAlignment="1">
      <alignment horizontal="left" vertical="top" wrapText="1"/>
    </xf>
    <xf numFmtId="0" fontId="86" fillId="0" borderId="83" xfId="0" applyFont="1" applyFill="1" applyBorder="1" applyAlignment="1">
      <alignment horizontal="center" vertical="center" wrapText="1"/>
    </xf>
    <xf numFmtId="14" fontId="85" fillId="0" borderId="128" xfId="0" applyNumberFormat="1" applyFont="1" applyFill="1" applyBorder="1" applyAlignment="1">
      <alignment horizontal="center" vertical="center" wrapText="1"/>
    </xf>
    <xf numFmtId="14" fontId="85" fillId="0" borderId="129" xfId="0" applyNumberFormat="1" applyFont="1" applyFill="1" applyBorder="1" applyAlignment="1">
      <alignment horizontal="center" vertical="center" wrapText="1"/>
    </xf>
    <xf numFmtId="14" fontId="85" fillId="0" borderId="84" xfId="0" applyNumberFormat="1" applyFont="1" applyFill="1" applyBorder="1" applyAlignment="1">
      <alignment horizontal="center" vertical="center" wrapText="1"/>
    </xf>
    <xf numFmtId="0" fontId="82" fillId="2" borderId="130" xfId="0" applyFont="1" applyFill="1" applyBorder="1" applyAlignment="1">
      <alignment horizontal="center" vertical="center" wrapText="1"/>
    </xf>
    <xf numFmtId="0" fontId="82" fillId="2" borderId="131" xfId="0" applyFont="1" applyFill="1" applyBorder="1" applyAlignment="1">
      <alignment horizontal="center" vertical="center" wrapText="1"/>
    </xf>
    <xf numFmtId="0" fontId="87" fillId="14" borderId="75" xfId="0" applyFont="1" applyFill="1" applyBorder="1" applyAlignment="1">
      <alignment horizontal="center" vertical="center" wrapText="1"/>
    </xf>
    <xf numFmtId="0" fontId="87" fillId="14" borderId="68" xfId="0" applyFont="1" applyFill="1" applyBorder="1" applyAlignment="1">
      <alignment horizontal="center" vertical="center" wrapText="1"/>
    </xf>
    <xf numFmtId="0" fontId="2" fillId="0" borderId="0" xfId="0" applyFont="1" applyAlignment="1">
      <alignment horizontal="center" vertical="top" wrapText="1"/>
    </xf>
    <xf numFmtId="164" fontId="6" fillId="2" borderId="35" xfId="1" quotePrefix="1" applyNumberFormat="1" applyFont="1" applyFill="1" applyBorder="1" applyAlignment="1">
      <alignment horizontal="center" vertical="center" wrapText="1"/>
    </xf>
    <xf numFmtId="164" fontId="6" fillId="2" borderId="36" xfId="1" quotePrefix="1" applyNumberFormat="1" applyFont="1" applyFill="1" applyBorder="1" applyAlignment="1">
      <alignment horizontal="center" vertical="center" wrapText="1"/>
    </xf>
    <xf numFmtId="164" fontId="6" fillId="2" borderId="37" xfId="1" quotePrefix="1" applyNumberFormat="1" applyFont="1" applyFill="1" applyBorder="1" applyAlignment="1">
      <alignment horizontal="center" vertical="center" wrapText="1"/>
    </xf>
    <xf numFmtId="164" fontId="56" fillId="12" borderId="44" xfId="1" quotePrefix="1" applyNumberFormat="1" applyFont="1" applyFill="1" applyBorder="1" applyAlignment="1">
      <alignment horizontal="center" vertical="center" wrapText="1"/>
    </xf>
    <xf numFmtId="164" fontId="56" fillId="12" borderId="45" xfId="1" quotePrefix="1" applyNumberFormat="1" applyFont="1" applyFill="1" applyBorder="1" applyAlignment="1">
      <alignment horizontal="center" vertical="center" wrapText="1"/>
    </xf>
    <xf numFmtId="164" fontId="56" fillId="12" borderId="46" xfId="1" quotePrefix="1" applyNumberFormat="1" applyFont="1" applyFill="1" applyBorder="1" applyAlignment="1">
      <alignment horizontal="center" vertical="center" wrapText="1"/>
    </xf>
    <xf numFmtId="164" fontId="6" fillId="2" borderId="51" xfId="1" quotePrefix="1" applyNumberFormat="1" applyFont="1" applyFill="1" applyBorder="1" applyAlignment="1">
      <alignment horizontal="left" vertical="center" wrapText="1"/>
    </xf>
    <xf numFmtId="164" fontId="6" fillId="2" borderId="52" xfId="1" quotePrefix="1" applyNumberFormat="1" applyFont="1" applyFill="1" applyBorder="1" applyAlignment="1">
      <alignment horizontal="left" vertical="center" wrapText="1"/>
    </xf>
    <xf numFmtId="164" fontId="56" fillId="14" borderId="53" xfId="1" quotePrefix="1" applyNumberFormat="1" applyFont="1" applyFill="1" applyBorder="1" applyAlignment="1">
      <alignment horizontal="left" vertical="center" wrapText="1"/>
    </xf>
    <xf numFmtId="164" fontId="56" fillId="14" borderId="54" xfId="1" quotePrefix="1" applyNumberFormat="1" applyFont="1" applyFill="1" applyBorder="1" applyAlignment="1">
      <alignment horizontal="left" vertical="center" wrapText="1"/>
    </xf>
    <xf numFmtId="164" fontId="6" fillId="2" borderId="90" xfId="1" quotePrefix="1" applyNumberFormat="1" applyFont="1" applyFill="1" applyBorder="1" applyAlignment="1">
      <alignment horizontal="center" vertical="center" wrapText="1"/>
    </xf>
    <xf numFmtId="164" fontId="6" fillId="2" borderId="87" xfId="1" quotePrefix="1" applyNumberFormat="1" applyFont="1" applyFill="1" applyBorder="1" applyAlignment="1">
      <alignment horizontal="center" vertical="center" wrapText="1"/>
    </xf>
    <xf numFmtId="164" fontId="6" fillId="2" borderId="88" xfId="1" quotePrefix="1" applyNumberFormat="1" applyFont="1" applyFill="1" applyBorder="1" applyAlignment="1">
      <alignment horizontal="center" vertical="center" wrapText="1"/>
    </xf>
    <xf numFmtId="164" fontId="89" fillId="14" borderId="90" xfId="1" quotePrefix="1" applyNumberFormat="1" applyFont="1" applyFill="1" applyBorder="1" applyAlignment="1">
      <alignment horizontal="center" vertical="center" wrapText="1"/>
    </xf>
    <xf numFmtId="164" fontId="89" fillId="14" borderId="87" xfId="1" quotePrefix="1" applyNumberFormat="1" applyFont="1" applyFill="1" applyBorder="1" applyAlignment="1">
      <alignment horizontal="center" vertical="center" wrapText="1"/>
    </xf>
    <xf numFmtId="164" fontId="89" fillId="14" borderId="88" xfId="1" quotePrefix="1" applyNumberFormat="1" applyFont="1" applyFill="1" applyBorder="1" applyAlignment="1">
      <alignment horizontal="center" vertical="center" wrapText="1"/>
    </xf>
    <xf numFmtId="164" fontId="6" fillId="2" borderId="85" xfId="1" quotePrefix="1" applyNumberFormat="1" applyFont="1" applyFill="1" applyBorder="1" applyAlignment="1">
      <alignment horizontal="center" vertical="center" wrapText="1"/>
    </xf>
    <xf numFmtId="164" fontId="6" fillId="2" borderId="86" xfId="1" quotePrefix="1" applyNumberFormat="1" applyFont="1" applyFill="1" applyBorder="1" applyAlignment="1">
      <alignment horizontal="center" vertical="center" wrapText="1"/>
    </xf>
    <xf numFmtId="164" fontId="6" fillId="2" borderId="91" xfId="1" quotePrefix="1" applyNumberFormat="1" applyFont="1" applyFill="1" applyBorder="1" applyAlignment="1">
      <alignment horizontal="center" vertical="center" wrapText="1"/>
    </xf>
    <xf numFmtId="164" fontId="6" fillId="2" borderId="89" xfId="1" quotePrefix="1" applyNumberFormat="1" applyFont="1" applyFill="1" applyBorder="1" applyAlignment="1">
      <alignment horizontal="center" vertical="center" wrapText="1"/>
    </xf>
    <xf numFmtId="164" fontId="89" fillId="16" borderId="90" xfId="1" quotePrefix="1" applyNumberFormat="1" applyFont="1" applyFill="1" applyBorder="1" applyAlignment="1">
      <alignment horizontal="center" vertical="center" wrapText="1"/>
    </xf>
    <xf numFmtId="164" fontId="89" fillId="16" borderId="87" xfId="1" quotePrefix="1" applyNumberFormat="1" applyFont="1" applyFill="1" applyBorder="1" applyAlignment="1">
      <alignment horizontal="center" vertical="center" wrapText="1"/>
    </xf>
    <xf numFmtId="164" fontId="89" fillId="16" borderId="88" xfId="1" quotePrefix="1" applyNumberFormat="1" applyFont="1" applyFill="1" applyBorder="1" applyAlignment="1">
      <alignment horizontal="center" vertical="center" wrapText="1"/>
    </xf>
  </cellXfs>
  <cellStyles count="330">
    <cellStyle name="_%(SignOnly)" xfId="6" xr:uid="{00000000-0005-0000-0000-000000000000}"/>
    <cellStyle name="_%(SignSpaceOnly)" xfId="7" xr:uid="{00000000-0005-0000-0000-000001000000}"/>
    <cellStyle name="_Comma" xfId="8" xr:uid="{00000000-0005-0000-0000-000002000000}"/>
    <cellStyle name="_Currency" xfId="9" xr:uid="{00000000-0005-0000-0000-000003000000}"/>
    <cellStyle name="_CurrencySpace" xfId="10" xr:uid="{00000000-0005-0000-0000-000004000000}"/>
    <cellStyle name="_Euro" xfId="11" xr:uid="{00000000-0005-0000-0000-000005000000}"/>
    <cellStyle name="_Heading" xfId="12" xr:uid="{00000000-0005-0000-0000-000006000000}"/>
    <cellStyle name="_Heading_prestemp" xfId="13" xr:uid="{00000000-0005-0000-0000-000007000000}"/>
    <cellStyle name="_Heading_prestemp_1st Qtr PL FY07" xfId="14" xr:uid="{00000000-0005-0000-0000-000008000000}"/>
    <cellStyle name="_Heading_prestemp_Financial Statements" xfId="15" xr:uid="{00000000-0005-0000-0000-000009000000}"/>
    <cellStyle name="_Heading_prestemp_Financial Statementsvs1" xfId="16" xr:uid="{00000000-0005-0000-0000-00000A000000}"/>
    <cellStyle name="_Highlight" xfId="17" xr:uid="{00000000-0005-0000-0000-00000B000000}"/>
    <cellStyle name="_Multiple" xfId="18" xr:uid="{00000000-0005-0000-0000-00000C000000}"/>
    <cellStyle name="_MultipleSpace" xfId="19" xr:uid="{00000000-0005-0000-0000-00000D000000}"/>
    <cellStyle name="_SubHeading" xfId="20" xr:uid="{00000000-0005-0000-0000-00000E000000}"/>
    <cellStyle name="_SubHeading_prestemp" xfId="21" xr:uid="{00000000-0005-0000-0000-00000F000000}"/>
    <cellStyle name="_SubHeading_prestemp_1st Qtr PL FY07" xfId="22" xr:uid="{00000000-0005-0000-0000-000010000000}"/>
    <cellStyle name="_SubHeading_prestemp_Financial Statements" xfId="23" xr:uid="{00000000-0005-0000-0000-000011000000}"/>
    <cellStyle name="_SubHeading_prestemp_Financial Statementsvs1" xfId="24" xr:uid="{00000000-0005-0000-0000-000012000000}"/>
    <cellStyle name="_Table" xfId="25" xr:uid="{00000000-0005-0000-0000-000013000000}"/>
    <cellStyle name="_TableHead" xfId="26" xr:uid="{00000000-0005-0000-0000-000014000000}"/>
    <cellStyle name="_TableRowHead" xfId="27" xr:uid="{00000000-0005-0000-0000-000015000000}"/>
    <cellStyle name="_TableSuperHead" xfId="28" xr:uid="{00000000-0005-0000-0000-000016000000}"/>
    <cellStyle name="=C:\WINNT\SYSTEM32\COMMAND.COM" xfId="29" xr:uid="{00000000-0005-0000-0000-000017000000}"/>
    <cellStyle name="=C:\WINNT\SYSTEM32\COMMAND.COM 2" xfId="30" xr:uid="{00000000-0005-0000-0000-000018000000}"/>
    <cellStyle name="6-0" xfId="31" xr:uid="{00000000-0005-0000-0000-000019000000}"/>
    <cellStyle name="Bold12" xfId="32" xr:uid="{00000000-0005-0000-0000-00001A000000}"/>
    <cellStyle name="BoldItal12" xfId="33" xr:uid="{00000000-0005-0000-0000-00001B000000}"/>
    <cellStyle name="Border" xfId="34" xr:uid="{00000000-0005-0000-0000-00001C000000}"/>
    <cellStyle name="Border 10" xfId="35" xr:uid="{00000000-0005-0000-0000-00001D000000}"/>
    <cellStyle name="Border 11" xfId="36" xr:uid="{00000000-0005-0000-0000-00001E000000}"/>
    <cellStyle name="Border 12" xfId="37" xr:uid="{00000000-0005-0000-0000-00001F000000}"/>
    <cellStyle name="Border 13" xfId="38" xr:uid="{00000000-0005-0000-0000-000020000000}"/>
    <cellStyle name="Border 14" xfId="39" xr:uid="{00000000-0005-0000-0000-000021000000}"/>
    <cellStyle name="Border 15" xfId="40" xr:uid="{00000000-0005-0000-0000-000022000000}"/>
    <cellStyle name="Border 16" xfId="41" xr:uid="{00000000-0005-0000-0000-000023000000}"/>
    <cellStyle name="Border 17" xfId="42" xr:uid="{00000000-0005-0000-0000-000024000000}"/>
    <cellStyle name="Border 18" xfId="43" xr:uid="{00000000-0005-0000-0000-000025000000}"/>
    <cellStyle name="Border 19" xfId="44" xr:uid="{00000000-0005-0000-0000-000026000000}"/>
    <cellStyle name="Border 2" xfId="45" xr:uid="{00000000-0005-0000-0000-000027000000}"/>
    <cellStyle name="Border 20" xfId="46" xr:uid="{00000000-0005-0000-0000-000028000000}"/>
    <cellStyle name="Border 21" xfId="47" xr:uid="{00000000-0005-0000-0000-000029000000}"/>
    <cellStyle name="Border 22" xfId="48" xr:uid="{00000000-0005-0000-0000-00002A000000}"/>
    <cellStyle name="Border 23" xfId="49" xr:uid="{00000000-0005-0000-0000-00002B000000}"/>
    <cellStyle name="Border 24" xfId="50" xr:uid="{00000000-0005-0000-0000-00002C000000}"/>
    <cellStyle name="Border 25" xfId="51" xr:uid="{00000000-0005-0000-0000-00002D000000}"/>
    <cellStyle name="Border 26" xfId="52" xr:uid="{00000000-0005-0000-0000-00002E000000}"/>
    <cellStyle name="Border 27" xfId="53" xr:uid="{00000000-0005-0000-0000-00002F000000}"/>
    <cellStyle name="Border 28" xfId="54" xr:uid="{00000000-0005-0000-0000-000030000000}"/>
    <cellStyle name="Border 29" xfId="55" xr:uid="{00000000-0005-0000-0000-000031000000}"/>
    <cellStyle name="Border 3" xfId="56" xr:uid="{00000000-0005-0000-0000-000032000000}"/>
    <cellStyle name="Border 30" xfId="57" xr:uid="{00000000-0005-0000-0000-000033000000}"/>
    <cellStyle name="Border 31" xfId="58" xr:uid="{00000000-0005-0000-0000-000034000000}"/>
    <cellStyle name="Border 32" xfId="59" xr:uid="{00000000-0005-0000-0000-000035000000}"/>
    <cellStyle name="Border 33" xfId="60" xr:uid="{00000000-0005-0000-0000-000036000000}"/>
    <cellStyle name="Border 34" xfId="61" xr:uid="{00000000-0005-0000-0000-000037000000}"/>
    <cellStyle name="Border 35" xfId="62" xr:uid="{00000000-0005-0000-0000-000038000000}"/>
    <cellStyle name="Border 36" xfId="63" xr:uid="{00000000-0005-0000-0000-000039000000}"/>
    <cellStyle name="Border 37" xfId="64" xr:uid="{00000000-0005-0000-0000-00003A000000}"/>
    <cellStyle name="Border 38" xfId="65" xr:uid="{00000000-0005-0000-0000-00003B000000}"/>
    <cellStyle name="Border 39" xfId="66" xr:uid="{00000000-0005-0000-0000-00003C000000}"/>
    <cellStyle name="Border 4" xfId="67" xr:uid="{00000000-0005-0000-0000-00003D000000}"/>
    <cellStyle name="Border 40" xfId="68" xr:uid="{00000000-0005-0000-0000-00003E000000}"/>
    <cellStyle name="Border 41" xfId="69" xr:uid="{00000000-0005-0000-0000-00003F000000}"/>
    <cellStyle name="Border 42" xfId="70" xr:uid="{00000000-0005-0000-0000-000040000000}"/>
    <cellStyle name="Border 5" xfId="71" xr:uid="{00000000-0005-0000-0000-000041000000}"/>
    <cellStyle name="Border 6" xfId="72" xr:uid="{00000000-0005-0000-0000-000042000000}"/>
    <cellStyle name="Border 7" xfId="73" xr:uid="{00000000-0005-0000-0000-000043000000}"/>
    <cellStyle name="Border 8" xfId="74" xr:uid="{00000000-0005-0000-0000-000044000000}"/>
    <cellStyle name="Border 9" xfId="75" xr:uid="{00000000-0005-0000-0000-000045000000}"/>
    <cellStyle name="Calc Currency (0)" xfId="76" xr:uid="{00000000-0005-0000-0000-000046000000}"/>
    <cellStyle name="Calc Currency (0) 2" xfId="77" xr:uid="{00000000-0005-0000-0000-000047000000}"/>
    <cellStyle name="Calc Currency (2)" xfId="78" xr:uid="{00000000-0005-0000-0000-000048000000}"/>
    <cellStyle name="Calc Currency (2) 2" xfId="79" xr:uid="{00000000-0005-0000-0000-000049000000}"/>
    <cellStyle name="Calc Percent (0)" xfId="80" xr:uid="{00000000-0005-0000-0000-00004A000000}"/>
    <cellStyle name="Calc Percent (0) 2" xfId="81" xr:uid="{00000000-0005-0000-0000-00004B000000}"/>
    <cellStyle name="Calc Percent (1)" xfId="82" xr:uid="{00000000-0005-0000-0000-00004C000000}"/>
    <cellStyle name="Calc Percent (1) 2" xfId="83" xr:uid="{00000000-0005-0000-0000-00004D000000}"/>
    <cellStyle name="Calc Percent (2)" xfId="84" xr:uid="{00000000-0005-0000-0000-00004E000000}"/>
    <cellStyle name="Calc Percent (2) 2" xfId="85" xr:uid="{00000000-0005-0000-0000-00004F000000}"/>
    <cellStyle name="Calc Units (0)" xfId="86" xr:uid="{00000000-0005-0000-0000-000050000000}"/>
    <cellStyle name="Calc Units (0) 2" xfId="87" xr:uid="{00000000-0005-0000-0000-000051000000}"/>
    <cellStyle name="Calc Units (1)" xfId="88" xr:uid="{00000000-0005-0000-0000-000052000000}"/>
    <cellStyle name="Calc Units (1) 2" xfId="89" xr:uid="{00000000-0005-0000-0000-000053000000}"/>
    <cellStyle name="Calc Units (2)" xfId="90" xr:uid="{00000000-0005-0000-0000-000054000000}"/>
    <cellStyle name="Calc Units (2) 2" xfId="91" xr:uid="{00000000-0005-0000-0000-000055000000}"/>
    <cellStyle name="Centered Heading" xfId="92" xr:uid="{00000000-0005-0000-0000-000056000000}"/>
    <cellStyle name="columns" xfId="93" xr:uid="{00000000-0005-0000-0000-000057000000}"/>
    <cellStyle name="Comma" xfId="1" builtinId="3"/>
    <cellStyle name="Comma  - Style1" xfId="94" xr:uid="{00000000-0005-0000-0000-000059000000}"/>
    <cellStyle name="Comma  - Style2" xfId="95" xr:uid="{00000000-0005-0000-0000-00005A000000}"/>
    <cellStyle name="Comma  - Style3" xfId="96" xr:uid="{00000000-0005-0000-0000-00005B000000}"/>
    <cellStyle name="Comma  - Style4" xfId="97" xr:uid="{00000000-0005-0000-0000-00005C000000}"/>
    <cellStyle name="Comma  - Style5" xfId="98" xr:uid="{00000000-0005-0000-0000-00005D000000}"/>
    <cellStyle name="Comma  - Style6" xfId="99" xr:uid="{00000000-0005-0000-0000-00005E000000}"/>
    <cellStyle name="Comma  - Style7" xfId="100" xr:uid="{00000000-0005-0000-0000-00005F000000}"/>
    <cellStyle name="Comma  - Style8" xfId="101" xr:uid="{00000000-0005-0000-0000-000060000000}"/>
    <cellStyle name="comma (0)" xfId="102" xr:uid="{00000000-0005-0000-0000-000061000000}"/>
    <cellStyle name="comma (0) 2" xfId="103" xr:uid="{00000000-0005-0000-0000-000062000000}"/>
    <cellStyle name="comma (0) 2 2" xfId="104" xr:uid="{00000000-0005-0000-0000-000063000000}"/>
    <cellStyle name="comma (0) 3" xfId="105" xr:uid="{00000000-0005-0000-0000-000064000000}"/>
    <cellStyle name="Comma [00]" xfId="106" xr:uid="{00000000-0005-0000-0000-000065000000}"/>
    <cellStyle name="Comma [00] 2" xfId="107" xr:uid="{00000000-0005-0000-0000-000066000000}"/>
    <cellStyle name="Comma 2" xfId="5" xr:uid="{00000000-0005-0000-0000-000067000000}"/>
    <cellStyle name="Comma 2 2" xfId="108" xr:uid="{00000000-0005-0000-0000-000068000000}"/>
    <cellStyle name="Comma 2 2 2" xfId="109" xr:uid="{00000000-0005-0000-0000-000069000000}"/>
    <cellStyle name="Comma 2 3" xfId="110" xr:uid="{00000000-0005-0000-0000-00006A000000}"/>
    <cellStyle name="Comma 2 4" xfId="111" xr:uid="{00000000-0005-0000-0000-00006B000000}"/>
    <cellStyle name="Comma 2 5" xfId="112" xr:uid="{00000000-0005-0000-0000-00006C000000}"/>
    <cellStyle name="Comma 2 6" xfId="113" xr:uid="{00000000-0005-0000-0000-00006D000000}"/>
    <cellStyle name="Comma 3" xfId="114" xr:uid="{00000000-0005-0000-0000-00006E000000}"/>
    <cellStyle name="Comma 3 2" xfId="115" xr:uid="{00000000-0005-0000-0000-00006F000000}"/>
    <cellStyle name="Comma 4" xfId="116" xr:uid="{00000000-0005-0000-0000-000070000000}"/>
    <cellStyle name="Comma 4 2" xfId="117" xr:uid="{00000000-0005-0000-0000-000071000000}"/>
    <cellStyle name="Comma 5" xfId="118" xr:uid="{00000000-0005-0000-0000-000072000000}"/>
    <cellStyle name="Comma 5 2" xfId="119" xr:uid="{00000000-0005-0000-0000-000073000000}"/>
    <cellStyle name="Comma Acctg" xfId="120" xr:uid="{00000000-0005-0000-0000-000074000000}"/>
    <cellStyle name="Comma Acctg 2" xfId="121" xr:uid="{00000000-0005-0000-0000-000075000000}"/>
    <cellStyle name="Comma0" xfId="122" xr:uid="{00000000-0005-0000-0000-000076000000}"/>
    <cellStyle name="Company Name" xfId="123" xr:uid="{00000000-0005-0000-0000-000077000000}"/>
    <cellStyle name="Contracts" xfId="124" xr:uid="{00000000-0005-0000-0000-000078000000}"/>
    <cellStyle name="CR Comma" xfId="125" xr:uid="{00000000-0005-0000-0000-000079000000}"/>
    <cellStyle name="CR Currency" xfId="126" xr:uid="{00000000-0005-0000-0000-00007A000000}"/>
    <cellStyle name="curr" xfId="127" xr:uid="{00000000-0005-0000-0000-00007B000000}"/>
    <cellStyle name="Currency [00]" xfId="128" xr:uid="{00000000-0005-0000-0000-00007C000000}"/>
    <cellStyle name="Currency [00] 2" xfId="129" xr:uid="{00000000-0005-0000-0000-00007D000000}"/>
    <cellStyle name="Currency 2" xfId="130" xr:uid="{00000000-0005-0000-0000-00007E000000}"/>
    <cellStyle name="Currency Acctg" xfId="131" xr:uid="{00000000-0005-0000-0000-00007F000000}"/>
    <cellStyle name="Currency0" xfId="132" xr:uid="{00000000-0005-0000-0000-000080000000}"/>
    <cellStyle name="Data" xfId="133" xr:uid="{00000000-0005-0000-0000-000081000000}"/>
    <cellStyle name="Date" xfId="134" xr:uid="{00000000-0005-0000-0000-000082000000}"/>
    <cellStyle name="Date Short" xfId="135" xr:uid="{00000000-0005-0000-0000-000083000000}"/>
    <cellStyle name="DateJoel" xfId="136" xr:uid="{00000000-0005-0000-0000-000084000000}"/>
    <cellStyle name="debbie" xfId="137" xr:uid="{00000000-0005-0000-0000-000085000000}"/>
    <cellStyle name="Dezimal [0]_laroux" xfId="138" xr:uid="{00000000-0005-0000-0000-000086000000}"/>
    <cellStyle name="Dezimal_laroux" xfId="139" xr:uid="{00000000-0005-0000-0000-000087000000}"/>
    <cellStyle name="Enter Currency (0)" xfId="140" xr:uid="{00000000-0005-0000-0000-000088000000}"/>
    <cellStyle name="Enter Currency (0) 2" xfId="141" xr:uid="{00000000-0005-0000-0000-000089000000}"/>
    <cellStyle name="Enter Currency (2)" xfId="142" xr:uid="{00000000-0005-0000-0000-00008A000000}"/>
    <cellStyle name="Enter Currency (2) 2" xfId="143" xr:uid="{00000000-0005-0000-0000-00008B000000}"/>
    <cellStyle name="Enter Units (0)" xfId="144" xr:uid="{00000000-0005-0000-0000-00008C000000}"/>
    <cellStyle name="Enter Units (0) 2" xfId="145" xr:uid="{00000000-0005-0000-0000-00008D000000}"/>
    <cellStyle name="Enter Units (1)" xfId="146" xr:uid="{00000000-0005-0000-0000-00008E000000}"/>
    <cellStyle name="Enter Units (1) 2" xfId="147" xr:uid="{00000000-0005-0000-0000-00008F000000}"/>
    <cellStyle name="Enter Units (2)" xfId="148" xr:uid="{00000000-0005-0000-0000-000090000000}"/>
    <cellStyle name="Enter Units (2) 2" xfId="149" xr:uid="{00000000-0005-0000-0000-000091000000}"/>
    <cellStyle name="eps" xfId="150" xr:uid="{00000000-0005-0000-0000-000092000000}"/>
    <cellStyle name="Euro" xfId="151" xr:uid="{00000000-0005-0000-0000-000093000000}"/>
    <cellStyle name="Grey" xfId="152" xr:uid="{00000000-0005-0000-0000-000094000000}"/>
    <cellStyle name="Header1" xfId="153" xr:uid="{00000000-0005-0000-0000-000095000000}"/>
    <cellStyle name="Header2" xfId="154" xr:uid="{00000000-0005-0000-0000-000096000000}"/>
    <cellStyle name="Header2 10" xfId="155" xr:uid="{00000000-0005-0000-0000-000097000000}"/>
    <cellStyle name="Header2 11" xfId="156" xr:uid="{00000000-0005-0000-0000-000098000000}"/>
    <cellStyle name="Header2 12" xfId="157" xr:uid="{00000000-0005-0000-0000-000099000000}"/>
    <cellStyle name="Header2 13" xfId="158" xr:uid="{00000000-0005-0000-0000-00009A000000}"/>
    <cellStyle name="Header2 14" xfId="159" xr:uid="{00000000-0005-0000-0000-00009B000000}"/>
    <cellStyle name="Header2 15" xfId="160" xr:uid="{00000000-0005-0000-0000-00009C000000}"/>
    <cellStyle name="Header2 16" xfId="161" xr:uid="{00000000-0005-0000-0000-00009D000000}"/>
    <cellStyle name="Header2 17" xfId="162" xr:uid="{00000000-0005-0000-0000-00009E000000}"/>
    <cellStyle name="Header2 18" xfId="163" xr:uid="{00000000-0005-0000-0000-00009F000000}"/>
    <cellStyle name="Header2 19" xfId="164" xr:uid="{00000000-0005-0000-0000-0000A0000000}"/>
    <cellStyle name="Header2 2" xfId="165" xr:uid="{00000000-0005-0000-0000-0000A1000000}"/>
    <cellStyle name="Header2 20" xfId="166" xr:uid="{00000000-0005-0000-0000-0000A2000000}"/>
    <cellStyle name="Header2 21" xfId="167" xr:uid="{00000000-0005-0000-0000-0000A3000000}"/>
    <cellStyle name="Header2 22" xfId="168" xr:uid="{00000000-0005-0000-0000-0000A4000000}"/>
    <cellStyle name="Header2 23" xfId="169" xr:uid="{00000000-0005-0000-0000-0000A5000000}"/>
    <cellStyle name="Header2 24" xfId="170" xr:uid="{00000000-0005-0000-0000-0000A6000000}"/>
    <cellStyle name="Header2 25" xfId="171" xr:uid="{00000000-0005-0000-0000-0000A7000000}"/>
    <cellStyle name="Header2 26" xfId="172" xr:uid="{00000000-0005-0000-0000-0000A8000000}"/>
    <cellStyle name="Header2 27" xfId="173" xr:uid="{00000000-0005-0000-0000-0000A9000000}"/>
    <cellStyle name="Header2 28" xfId="174" xr:uid="{00000000-0005-0000-0000-0000AA000000}"/>
    <cellStyle name="Header2 29" xfId="175" xr:uid="{00000000-0005-0000-0000-0000AB000000}"/>
    <cellStyle name="Header2 3" xfId="176" xr:uid="{00000000-0005-0000-0000-0000AC000000}"/>
    <cellStyle name="Header2 30" xfId="177" xr:uid="{00000000-0005-0000-0000-0000AD000000}"/>
    <cellStyle name="Header2 31" xfId="178" xr:uid="{00000000-0005-0000-0000-0000AE000000}"/>
    <cellStyle name="Header2 32" xfId="179" xr:uid="{00000000-0005-0000-0000-0000AF000000}"/>
    <cellStyle name="Header2 33" xfId="180" xr:uid="{00000000-0005-0000-0000-0000B0000000}"/>
    <cellStyle name="Header2 34" xfId="181" xr:uid="{00000000-0005-0000-0000-0000B1000000}"/>
    <cellStyle name="Header2 35" xfId="182" xr:uid="{00000000-0005-0000-0000-0000B2000000}"/>
    <cellStyle name="Header2 36" xfId="183" xr:uid="{00000000-0005-0000-0000-0000B3000000}"/>
    <cellStyle name="Header2 37" xfId="184" xr:uid="{00000000-0005-0000-0000-0000B4000000}"/>
    <cellStyle name="Header2 38" xfId="185" xr:uid="{00000000-0005-0000-0000-0000B5000000}"/>
    <cellStyle name="Header2 39" xfId="186" xr:uid="{00000000-0005-0000-0000-0000B6000000}"/>
    <cellStyle name="Header2 4" xfId="187" xr:uid="{00000000-0005-0000-0000-0000B7000000}"/>
    <cellStyle name="Header2 40" xfId="188" xr:uid="{00000000-0005-0000-0000-0000B8000000}"/>
    <cellStyle name="Header2 41" xfId="189" xr:uid="{00000000-0005-0000-0000-0000B9000000}"/>
    <cellStyle name="Header2 42" xfId="190" xr:uid="{00000000-0005-0000-0000-0000BA000000}"/>
    <cellStyle name="Header2 5" xfId="191" xr:uid="{00000000-0005-0000-0000-0000BB000000}"/>
    <cellStyle name="Header2 6" xfId="192" xr:uid="{00000000-0005-0000-0000-0000BC000000}"/>
    <cellStyle name="Header2 7" xfId="193" xr:uid="{00000000-0005-0000-0000-0000BD000000}"/>
    <cellStyle name="Header2 8" xfId="194" xr:uid="{00000000-0005-0000-0000-0000BE000000}"/>
    <cellStyle name="Header2 9" xfId="195" xr:uid="{00000000-0005-0000-0000-0000BF000000}"/>
    <cellStyle name="Heading" xfId="196" xr:uid="{00000000-0005-0000-0000-0000C0000000}"/>
    <cellStyle name="Heading 1 2" xfId="197" xr:uid="{00000000-0005-0000-0000-0000C1000000}"/>
    <cellStyle name="Heading 1 3" xfId="198" xr:uid="{00000000-0005-0000-0000-0000C2000000}"/>
    <cellStyle name="Heading 1 4" xfId="199" xr:uid="{00000000-0005-0000-0000-0000C3000000}"/>
    <cellStyle name="Heading 2 2" xfId="200" xr:uid="{00000000-0005-0000-0000-0000C4000000}"/>
    <cellStyle name="Heading 2 3" xfId="201" xr:uid="{00000000-0005-0000-0000-0000C5000000}"/>
    <cellStyle name="Heading 2 4" xfId="202" xr:uid="{00000000-0005-0000-0000-0000C6000000}"/>
    <cellStyle name="Heading No Underline" xfId="203" xr:uid="{00000000-0005-0000-0000-0000C7000000}"/>
    <cellStyle name="Heading With Underline" xfId="204" xr:uid="{00000000-0005-0000-0000-0000C8000000}"/>
    <cellStyle name="Hyperlink" xfId="329" builtinId="8"/>
    <cellStyle name="Hyperlink 2" xfId="205" xr:uid="{00000000-0005-0000-0000-0000CA000000}"/>
    <cellStyle name="Hyperlink 2 2" xfId="206" xr:uid="{00000000-0005-0000-0000-0000CB000000}"/>
    <cellStyle name="Hyperlink 2 2 2" xfId="207" xr:uid="{00000000-0005-0000-0000-0000CC000000}"/>
    <cellStyle name="Hyperlink 3" xfId="208" xr:uid="{00000000-0005-0000-0000-0000CD000000}"/>
    <cellStyle name="Hyperlink 4" xfId="209" xr:uid="{00000000-0005-0000-0000-0000CE000000}"/>
    <cellStyle name="Input [yellow]" xfId="210" xr:uid="{00000000-0005-0000-0000-0000CF000000}"/>
    <cellStyle name="Link Currency (0)" xfId="211" xr:uid="{00000000-0005-0000-0000-0000D0000000}"/>
    <cellStyle name="Link Currency (0) 2" xfId="212" xr:uid="{00000000-0005-0000-0000-0000D1000000}"/>
    <cellStyle name="Link Currency (2)" xfId="213" xr:uid="{00000000-0005-0000-0000-0000D2000000}"/>
    <cellStyle name="Link Currency (2) 2" xfId="214" xr:uid="{00000000-0005-0000-0000-0000D3000000}"/>
    <cellStyle name="Link Units (0)" xfId="215" xr:uid="{00000000-0005-0000-0000-0000D4000000}"/>
    <cellStyle name="Link Units (0) 2" xfId="216" xr:uid="{00000000-0005-0000-0000-0000D5000000}"/>
    <cellStyle name="Link Units (1)" xfId="217" xr:uid="{00000000-0005-0000-0000-0000D6000000}"/>
    <cellStyle name="Link Units (1) 2" xfId="218" xr:uid="{00000000-0005-0000-0000-0000D7000000}"/>
    <cellStyle name="Link Units (2)" xfId="219" xr:uid="{00000000-0005-0000-0000-0000D8000000}"/>
    <cellStyle name="Link Units (2) 2" xfId="220" xr:uid="{00000000-0005-0000-0000-0000D9000000}"/>
    <cellStyle name="Millares [0]_pldt" xfId="221" xr:uid="{00000000-0005-0000-0000-0000DA000000}"/>
    <cellStyle name="Millares_pldt" xfId="222" xr:uid="{00000000-0005-0000-0000-0000DB000000}"/>
    <cellStyle name="Milliers [0]_AR1194" xfId="223" xr:uid="{00000000-0005-0000-0000-0000DC000000}"/>
    <cellStyle name="Milliers_AR1194" xfId="224" xr:uid="{00000000-0005-0000-0000-0000DD000000}"/>
    <cellStyle name="Moneda [0]_pldt" xfId="225" xr:uid="{00000000-0005-0000-0000-0000DE000000}"/>
    <cellStyle name="Moneda_pldt" xfId="226" xr:uid="{00000000-0005-0000-0000-0000DF000000}"/>
    <cellStyle name="Monétaire [0]_AR1194" xfId="227" xr:uid="{00000000-0005-0000-0000-0000E0000000}"/>
    <cellStyle name="Monétaire_AR1194" xfId="228" xr:uid="{00000000-0005-0000-0000-0000E1000000}"/>
    <cellStyle name="negativ" xfId="229" xr:uid="{00000000-0005-0000-0000-0000E2000000}"/>
    <cellStyle name="no dec" xfId="230" xr:uid="{00000000-0005-0000-0000-0000E3000000}"/>
    <cellStyle name="nodollars" xfId="231" xr:uid="{00000000-0005-0000-0000-0000E4000000}"/>
    <cellStyle name="nodollars 2" xfId="232" xr:uid="{00000000-0005-0000-0000-0000E5000000}"/>
    <cellStyle name="Normal" xfId="0" builtinId="0"/>
    <cellStyle name="Normal - Style1" xfId="233" xr:uid="{00000000-0005-0000-0000-0000E7000000}"/>
    <cellStyle name="Normal - Style1 2" xfId="234" xr:uid="{00000000-0005-0000-0000-0000E8000000}"/>
    <cellStyle name="Normal - Style2" xfId="235" xr:uid="{00000000-0005-0000-0000-0000E9000000}"/>
    <cellStyle name="Normal - Style3" xfId="236" xr:uid="{00000000-0005-0000-0000-0000EA000000}"/>
    <cellStyle name="Normal - Style4" xfId="237" xr:uid="{00000000-0005-0000-0000-0000EB000000}"/>
    <cellStyle name="Normal - Style5" xfId="238" xr:uid="{00000000-0005-0000-0000-0000EC000000}"/>
    <cellStyle name="Normal 10" xfId="239" xr:uid="{00000000-0005-0000-0000-0000ED000000}"/>
    <cellStyle name="Normal 2" xfId="3" xr:uid="{00000000-0005-0000-0000-0000EE000000}"/>
    <cellStyle name="Normal 2 2" xfId="240" xr:uid="{00000000-0005-0000-0000-0000EF000000}"/>
    <cellStyle name="Normal 2 2 2" xfId="241" xr:uid="{00000000-0005-0000-0000-0000F0000000}"/>
    <cellStyle name="Normal 2 3" xfId="242" xr:uid="{00000000-0005-0000-0000-0000F1000000}"/>
    <cellStyle name="Normal 2 3 2" xfId="243" xr:uid="{00000000-0005-0000-0000-0000F2000000}"/>
    <cellStyle name="Normal 2 4" xfId="244" xr:uid="{00000000-0005-0000-0000-0000F3000000}"/>
    <cellStyle name="Normal 2 5" xfId="245" xr:uid="{00000000-0005-0000-0000-0000F4000000}"/>
    <cellStyle name="Normal 2 6" xfId="246" xr:uid="{00000000-0005-0000-0000-0000F5000000}"/>
    <cellStyle name="Normal 2 7" xfId="247" xr:uid="{00000000-0005-0000-0000-0000F6000000}"/>
    <cellStyle name="Normal 2 8" xfId="248" xr:uid="{00000000-0005-0000-0000-0000F7000000}"/>
    <cellStyle name="Normal 3" xfId="4" xr:uid="{00000000-0005-0000-0000-0000F8000000}"/>
    <cellStyle name="Normal 3 2" xfId="249" xr:uid="{00000000-0005-0000-0000-0000F9000000}"/>
    <cellStyle name="Normal 3 3" xfId="250" xr:uid="{00000000-0005-0000-0000-0000FA000000}"/>
    <cellStyle name="Normal 3 4" xfId="251" xr:uid="{00000000-0005-0000-0000-0000FB000000}"/>
    <cellStyle name="Normal 4" xfId="252" xr:uid="{00000000-0005-0000-0000-0000FC000000}"/>
    <cellStyle name="Normal 5" xfId="253" xr:uid="{00000000-0005-0000-0000-0000FD000000}"/>
    <cellStyle name="Normal 5 2" xfId="254" xr:uid="{00000000-0005-0000-0000-0000FE000000}"/>
    <cellStyle name="Normal 6" xfId="255" xr:uid="{00000000-0005-0000-0000-0000FF000000}"/>
    <cellStyle name="Normal 6 2" xfId="256" xr:uid="{00000000-0005-0000-0000-000000010000}"/>
    <cellStyle name="Normal 6 3" xfId="257" xr:uid="{00000000-0005-0000-0000-000001010000}"/>
    <cellStyle name="Normal 7" xfId="258" xr:uid="{00000000-0005-0000-0000-000002010000}"/>
    <cellStyle name="Normal 7 2" xfId="259" xr:uid="{00000000-0005-0000-0000-000003010000}"/>
    <cellStyle name="Normal 8" xfId="260" xr:uid="{00000000-0005-0000-0000-000004010000}"/>
    <cellStyle name="Normal 8 2" xfId="261" xr:uid="{00000000-0005-0000-0000-000005010000}"/>
    <cellStyle name="Normal 8 3" xfId="262" xr:uid="{00000000-0005-0000-0000-000006010000}"/>
    <cellStyle name="Normal 9" xfId="263" xr:uid="{00000000-0005-0000-0000-000007010000}"/>
    <cellStyle name="Number0DecimalStyle" xfId="264" xr:uid="{00000000-0005-0000-0000-000008010000}"/>
    <cellStyle name="Number0DecimalStyle 2" xfId="265" xr:uid="{00000000-0005-0000-0000-000009010000}"/>
    <cellStyle name="Number10DecimalStyle" xfId="266" xr:uid="{00000000-0005-0000-0000-00000A010000}"/>
    <cellStyle name="Number1DecimalStyle" xfId="267" xr:uid="{00000000-0005-0000-0000-00000B010000}"/>
    <cellStyle name="Number2DecimalStyle" xfId="268" xr:uid="{00000000-0005-0000-0000-00000C010000}"/>
    <cellStyle name="Number2DecimalStyle 2" xfId="269" xr:uid="{00000000-0005-0000-0000-00000D010000}"/>
    <cellStyle name="Number3DecimalStyle" xfId="270" xr:uid="{00000000-0005-0000-0000-00000E010000}"/>
    <cellStyle name="Number4DecimalStyle" xfId="271" xr:uid="{00000000-0005-0000-0000-00000F010000}"/>
    <cellStyle name="Number5DecimalStyle" xfId="272" xr:uid="{00000000-0005-0000-0000-000010010000}"/>
    <cellStyle name="Number6DecimalStyle" xfId="273" xr:uid="{00000000-0005-0000-0000-000011010000}"/>
    <cellStyle name="Number7DecimalStyle" xfId="274" xr:uid="{00000000-0005-0000-0000-000012010000}"/>
    <cellStyle name="Number8DecimalStyle" xfId="275" xr:uid="{00000000-0005-0000-0000-000013010000}"/>
    <cellStyle name="Number9DecimalStyle" xfId="276" xr:uid="{00000000-0005-0000-0000-000014010000}"/>
    <cellStyle name="over" xfId="277" xr:uid="{00000000-0005-0000-0000-000015010000}"/>
    <cellStyle name="Percent" xfId="2" builtinId="5"/>
    <cellStyle name="percent (0)" xfId="278" xr:uid="{00000000-0005-0000-0000-000017010000}"/>
    <cellStyle name="Percent [0]" xfId="279" xr:uid="{00000000-0005-0000-0000-000018010000}"/>
    <cellStyle name="Percent [0] 2" xfId="280" xr:uid="{00000000-0005-0000-0000-000019010000}"/>
    <cellStyle name="Percent [00]" xfId="281" xr:uid="{00000000-0005-0000-0000-00001A010000}"/>
    <cellStyle name="Percent [00] 2" xfId="282" xr:uid="{00000000-0005-0000-0000-00001B010000}"/>
    <cellStyle name="Percent [2]" xfId="283" xr:uid="{00000000-0005-0000-0000-00001C010000}"/>
    <cellStyle name="Percent 10" xfId="284" xr:uid="{00000000-0005-0000-0000-00001D010000}"/>
    <cellStyle name="Percent 2" xfId="285" xr:uid="{00000000-0005-0000-0000-00001E010000}"/>
    <cellStyle name="Percent 2 2" xfId="286" xr:uid="{00000000-0005-0000-0000-00001F010000}"/>
    <cellStyle name="Percent 2 3" xfId="287" xr:uid="{00000000-0005-0000-0000-000020010000}"/>
    <cellStyle name="Percent 2 4" xfId="288" xr:uid="{00000000-0005-0000-0000-000021010000}"/>
    <cellStyle name="Percent 3" xfId="289" xr:uid="{00000000-0005-0000-0000-000022010000}"/>
    <cellStyle name="Percent 3 2" xfId="290" xr:uid="{00000000-0005-0000-0000-000023010000}"/>
    <cellStyle name="Percent 4" xfId="291" xr:uid="{00000000-0005-0000-0000-000024010000}"/>
    <cellStyle name="Percent 6" xfId="292" xr:uid="{00000000-0005-0000-0000-000025010000}"/>
    <cellStyle name="PERCENTAGE" xfId="293" xr:uid="{00000000-0005-0000-0000-000026010000}"/>
    <cellStyle name="posit" xfId="294" xr:uid="{00000000-0005-0000-0000-000027010000}"/>
    <cellStyle name="Powerpoint Style" xfId="295" xr:uid="{00000000-0005-0000-0000-000028010000}"/>
    <cellStyle name="PrePop Currency (0)" xfId="296" xr:uid="{00000000-0005-0000-0000-000029010000}"/>
    <cellStyle name="PrePop Currency (0) 2" xfId="297" xr:uid="{00000000-0005-0000-0000-00002A010000}"/>
    <cellStyle name="PrePop Currency (2)" xfId="298" xr:uid="{00000000-0005-0000-0000-00002B010000}"/>
    <cellStyle name="PrePop Currency (2) 2" xfId="299" xr:uid="{00000000-0005-0000-0000-00002C010000}"/>
    <cellStyle name="PrePop Units (0)" xfId="300" xr:uid="{00000000-0005-0000-0000-00002D010000}"/>
    <cellStyle name="PrePop Units (0) 2" xfId="301" xr:uid="{00000000-0005-0000-0000-00002E010000}"/>
    <cellStyle name="PrePop Units (1)" xfId="302" xr:uid="{00000000-0005-0000-0000-00002F010000}"/>
    <cellStyle name="PrePop Units (1) 2" xfId="303" xr:uid="{00000000-0005-0000-0000-000030010000}"/>
    <cellStyle name="PrePop Units (2)" xfId="304" xr:uid="{00000000-0005-0000-0000-000031010000}"/>
    <cellStyle name="PrePop Units (2) 2" xfId="305" xr:uid="{00000000-0005-0000-0000-000032010000}"/>
    <cellStyle name="SingleTopDoubleBott" xfId="306" xr:uid="{00000000-0005-0000-0000-000033010000}"/>
    <cellStyle name="Standard_A" xfId="307" xr:uid="{00000000-0005-0000-0000-000034010000}"/>
    <cellStyle name="Style 1" xfId="308" xr:uid="{00000000-0005-0000-0000-000035010000}"/>
    <cellStyle name="Style 2" xfId="309" xr:uid="{00000000-0005-0000-0000-000036010000}"/>
    <cellStyle name="Style 3" xfId="310" xr:uid="{00000000-0005-0000-0000-000037010000}"/>
    <cellStyle name="Style 4" xfId="311" xr:uid="{00000000-0005-0000-0000-000038010000}"/>
    <cellStyle name="Text Indent A" xfId="312" xr:uid="{00000000-0005-0000-0000-000039010000}"/>
    <cellStyle name="Text Indent B" xfId="313" xr:uid="{00000000-0005-0000-0000-00003A010000}"/>
    <cellStyle name="Text Indent B 2" xfId="314" xr:uid="{00000000-0005-0000-0000-00003B010000}"/>
    <cellStyle name="Text Indent C" xfId="315" xr:uid="{00000000-0005-0000-0000-00003C010000}"/>
    <cellStyle name="Text Indent C 2" xfId="316" xr:uid="{00000000-0005-0000-0000-00003D010000}"/>
    <cellStyle name="TextStyle" xfId="317" xr:uid="{00000000-0005-0000-0000-00003E010000}"/>
    <cellStyle name="Tickmark" xfId="318" xr:uid="{00000000-0005-0000-0000-00003F010000}"/>
    <cellStyle name="TimStyle" xfId="319" xr:uid="{00000000-0005-0000-0000-000040010000}"/>
    <cellStyle name="Total 2" xfId="320" xr:uid="{00000000-0005-0000-0000-000041010000}"/>
    <cellStyle name="Total 3" xfId="321" xr:uid="{00000000-0005-0000-0000-000042010000}"/>
    <cellStyle name="Total 4" xfId="322" xr:uid="{00000000-0005-0000-0000-000043010000}"/>
    <cellStyle name="Underline" xfId="323" xr:uid="{00000000-0005-0000-0000-000044010000}"/>
    <cellStyle name="UnderlineDouble" xfId="324" xr:uid="{00000000-0005-0000-0000-000045010000}"/>
    <cellStyle name="Währung [0]_RESULTS" xfId="325" xr:uid="{00000000-0005-0000-0000-000046010000}"/>
    <cellStyle name="Währung_RESULTS" xfId="326" xr:uid="{00000000-0005-0000-0000-000047010000}"/>
    <cellStyle name="표준_BINV" xfId="327" xr:uid="{00000000-0005-0000-0000-000048010000}"/>
    <cellStyle name="標準_99B-05PE_IC2" xfId="328" xr:uid="{00000000-0005-0000-0000-00004901000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7B1-40DA-AF65-A59B5A4F6F80}"/>
            </c:ext>
          </c:extLst>
        </c:ser>
        <c:dLbls>
          <c:showLegendKey val="0"/>
          <c:showVal val="0"/>
          <c:showCatName val="0"/>
          <c:showSerName val="0"/>
          <c:showPercent val="0"/>
          <c:showBubbleSize val="0"/>
        </c:dLbls>
        <c:smooth val="0"/>
        <c:axId val="83449728"/>
        <c:axId val="132637440"/>
      </c:lineChart>
      <c:catAx>
        <c:axId val="8344972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32637440"/>
        <c:crosses val="autoZero"/>
        <c:auto val="1"/>
        <c:lblAlgn val="ctr"/>
        <c:lblOffset val="100"/>
        <c:tickLblSkip val="7"/>
        <c:noMultiLvlLbl val="1"/>
      </c:catAx>
      <c:valAx>
        <c:axId val="132637440"/>
        <c:scaling>
          <c:orientation val="minMax"/>
        </c:scaling>
        <c:delete val="0"/>
        <c:axPos val="l"/>
        <c:majorGridlines/>
        <c:numFmt formatCode="0.0\x" sourceLinked="0"/>
        <c:majorTickMark val="out"/>
        <c:minorTickMark val="none"/>
        <c:tickLblPos val="nextTo"/>
        <c:crossAx val="83449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1A1-432C-9629-C0B8399F17B9}"/>
            </c:ext>
          </c:extLst>
        </c:ser>
        <c:dLbls>
          <c:showLegendKey val="0"/>
          <c:showVal val="0"/>
          <c:showCatName val="0"/>
          <c:showSerName val="0"/>
          <c:showPercent val="0"/>
          <c:showBubbleSize val="0"/>
        </c:dLbls>
        <c:smooth val="0"/>
        <c:axId val="142949760"/>
        <c:axId val="142967936"/>
      </c:lineChart>
      <c:catAx>
        <c:axId val="142949760"/>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67936"/>
        <c:crosses val="autoZero"/>
        <c:auto val="1"/>
        <c:lblAlgn val="ctr"/>
        <c:lblOffset val="100"/>
        <c:tickLblSkip val="7"/>
        <c:noMultiLvlLbl val="1"/>
      </c:catAx>
      <c:valAx>
        <c:axId val="142967936"/>
        <c:scaling>
          <c:orientation val="minMax"/>
        </c:scaling>
        <c:delete val="0"/>
        <c:axPos val="l"/>
        <c:majorGridlines/>
        <c:numFmt formatCode="0.0\x" sourceLinked="0"/>
        <c:majorTickMark val="out"/>
        <c:minorTickMark val="none"/>
        <c:tickLblPos val="nextTo"/>
        <c:crossAx val="1429497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A3B3-4E7E-8C1B-5EC41782F9D8}"/>
            </c:ext>
          </c:extLst>
        </c:ser>
        <c:dLbls>
          <c:showLegendKey val="0"/>
          <c:showVal val="0"/>
          <c:showCatName val="0"/>
          <c:showSerName val="0"/>
          <c:showPercent val="0"/>
          <c:showBubbleSize val="0"/>
        </c:dLbls>
        <c:smooth val="0"/>
        <c:axId val="142977664"/>
        <c:axId val="142983552"/>
      </c:lineChart>
      <c:catAx>
        <c:axId val="142977664"/>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83552"/>
        <c:crosses val="autoZero"/>
        <c:auto val="1"/>
        <c:lblAlgn val="ctr"/>
        <c:lblOffset val="100"/>
        <c:tickLblSkip val="7"/>
        <c:noMultiLvlLbl val="1"/>
      </c:catAx>
      <c:valAx>
        <c:axId val="142983552"/>
        <c:scaling>
          <c:orientation val="minMax"/>
        </c:scaling>
        <c:delete val="0"/>
        <c:axPos val="l"/>
        <c:majorGridlines/>
        <c:numFmt formatCode="0.0\x" sourceLinked="0"/>
        <c:majorTickMark val="out"/>
        <c:minorTickMark val="none"/>
        <c:tickLblPos val="nextTo"/>
        <c:crossAx val="1429776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CA6E-4F65-ABFE-CF3C792E3A02}"/>
            </c:ext>
          </c:extLst>
        </c:ser>
        <c:dLbls>
          <c:showLegendKey val="0"/>
          <c:showVal val="0"/>
          <c:showCatName val="0"/>
          <c:showSerName val="0"/>
          <c:showPercent val="0"/>
          <c:showBubbleSize val="0"/>
        </c:dLbls>
        <c:smooth val="0"/>
        <c:axId val="142994432"/>
        <c:axId val="142996224"/>
      </c:lineChart>
      <c:catAx>
        <c:axId val="142994432"/>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96224"/>
        <c:crosses val="autoZero"/>
        <c:auto val="1"/>
        <c:lblAlgn val="ctr"/>
        <c:lblOffset val="100"/>
        <c:tickLblSkip val="7"/>
        <c:noMultiLvlLbl val="1"/>
      </c:catAx>
      <c:valAx>
        <c:axId val="142996224"/>
        <c:scaling>
          <c:orientation val="minMax"/>
        </c:scaling>
        <c:delete val="0"/>
        <c:axPos val="l"/>
        <c:majorGridlines/>
        <c:numFmt formatCode="0.0\x" sourceLinked="0"/>
        <c:majorTickMark val="out"/>
        <c:minorTickMark val="none"/>
        <c:tickLblPos val="nextTo"/>
        <c:crossAx val="142994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358D-4E3E-9B28-09F3A256DAA2}"/>
            </c:ext>
          </c:extLst>
        </c:ser>
        <c:dLbls>
          <c:showLegendKey val="0"/>
          <c:showVal val="0"/>
          <c:showCatName val="0"/>
          <c:showSerName val="0"/>
          <c:showPercent val="0"/>
          <c:showBubbleSize val="0"/>
        </c:dLbls>
        <c:smooth val="0"/>
        <c:axId val="145511168"/>
        <c:axId val="145512704"/>
      </c:lineChart>
      <c:catAx>
        <c:axId val="14551116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5512704"/>
        <c:crosses val="autoZero"/>
        <c:auto val="1"/>
        <c:lblAlgn val="ctr"/>
        <c:lblOffset val="100"/>
        <c:tickLblSkip val="7"/>
        <c:noMultiLvlLbl val="1"/>
      </c:catAx>
      <c:valAx>
        <c:axId val="145512704"/>
        <c:scaling>
          <c:orientation val="minMax"/>
        </c:scaling>
        <c:delete val="0"/>
        <c:axPos val="l"/>
        <c:majorGridlines/>
        <c:numFmt formatCode="0.0\x" sourceLinked="0"/>
        <c:majorTickMark val="out"/>
        <c:minorTickMark val="none"/>
        <c:tickLblPos val="nextTo"/>
        <c:crossAx val="1455111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537195410382325E-2"/>
          <c:y val="4.1935862833009895E-2"/>
          <c:w val="0.89635919911924888"/>
          <c:h val="0.63752418702419789"/>
        </c:manualLayout>
      </c:layout>
      <c:barChart>
        <c:barDir val="col"/>
        <c:grouping val="clustered"/>
        <c:varyColors val="0"/>
        <c:ser>
          <c:idx val="0"/>
          <c:order val="0"/>
          <c:tx>
            <c:v>Consensus Revenue Estimate</c:v>
          </c:tx>
          <c:spPr>
            <a:solidFill>
              <a:schemeClr val="tx1">
                <a:lumMod val="65000"/>
                <a:lumOff val="35000"/>
              </a:schemeClr>
            </a:solidFill>
          </c:spPr>
          <c:invertIfNegative val="0"/>
          <c:dPt>
            <c:idx val="9"/>
            <c:invertIfNegative val="0"/>
            <c:bubble3D val="0"/>
            <c:extLst>
              <c:ext xmlns:c16="http://schemas.microsoft.com/office/drawing/2014/chart" uri="{C3380CC4-5D6E-409C-BE32-E72D297353CC}">
                <c16:uniqueId val="{00000000-6113-4954-B8DA-DB34BF03AE5D}"/>
              </c:ext>
            </c:extLst>
          </c:dPt>
          <c:cat>
            <c:strRef>
              <c:f>('Consensus Est (Before F1Q19)'!$D$5,'Consensus Est (Before F1Q19)'!$F$5,'Consensus Est (Before F1Q19)'!$H$5,'Consensus Est (Before F1Q19)'!$J$5)</c:f>
              <c:strCache>
                <c:ptCount val="4"/>
                <c:pt idx="0">
                  <c:v> F1Q2019E </c:v>
                </c:pt>
                <c:pt idx="1">
                  <c:v> F2Q2019E </c:v>
                </c:pt>
                <c:pt idx="2">
                  <c:v> F3Q2019E </c:v>
                </c:pt>
                <c:pt idx="3">
                  <c:v> F4Q2019E </c:v>
                </c:pt>
              </c:strCache>
            </c:strRef>
          </c:cat>
          <c:val>
            <c:numRef>
              <c:f>('Consensus Est (Before F1Q19)'!$D$7,'Consensus Est (Before F1Q19)'!$F$7,'Consensus Est (Before F1Q19)'!$H$7,'Consensus Est (Before F1Q19)'!$J$7)</c:f>
              <c:numCache>
                <c:formatCode>"$"#,##0</c:formatCode>
                <c:ptCount val="4"/>
                <c:pt idx="0">
                  <c:v>16871.400000000001</c:v>
                </c:pt>
                <c:pt idx="1">
                  <c:v>17782.3</c:v>
                </c:pt>
                <c:pt idx="2">
                  <c:v>17880.400000000001</c:v>
                </c:pt>
                <c:pt idx="3">
                  <c:v>18674.400000000001</c:v>
                </c:pt>
              </c:numCache>
            </c:numRef>
          </c:val>
          <c:extLst>
            <c:ext xmlns:c16="http://schemas.microsoft.com/office/drawing/2014/chart" uri="{C3380CC4-5D6E-409C-BE32-E72D297353CC}">
              <c16:uniqueId val="{00000001-6113-4954-B8DA-DB34BF03AE5D}"/>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v>Consensus Implied Operating Margin Estimate</c:v>
          </c:tx>
          <c:spPr>
            <a:ln>
              <a:solidFill>
                <a:schemeClr val="accent1">
                  <a:lumMod val="60000"/>
                  <a:lumOff val="40000"/>
                </a:schemeClr>
              </a:solidFill>
            </a:ln>
          </c:spPr>
          <c:marker>
            <c:symbol val="none"/>
          </c:marker>
          <c:cat>
            <c:strRef>
              <c:f>('Consensus Est (Before F1Q19)'!$D$5,'Consensus Est (Before F1Q19)'!$F$5,'Consensus Est (Before F1Q19)'!$H$5,'Consensus Est (Before F1Q19)'!$J$5)</c:f>
              <c:strCache>
                <c:ptCount val="4"/>
                <c:pt idx="0">
                  <c:v> F1Q2019E </c:v>
                </c:pt>
                <c:pt idx="1">
                  <c:v> F2Q2019E </c:v>
                </c:pt>
                <c:pt idx="2">
                  <c:v> F3Q2019E </c:v>
                </c:pt>
                <c:pt idx="3">
                  <c:v> F4Q2019E </c:v>
                </c:pt>
              </c:strCache>
            </c:strRef>
          </c:cat>
          <c:val>
            <c:numRef>
              <c:f>('Consensus Est (Before F1Q19)'!$D$9,'Consensus Est (Before F1Q19)'!$F$9,'Consensus Est (Before F1Q19)'!$H$9,'Consensus Est (Before F1Q19)'!$J$9)</c:f>
              <c:numCache>
                <c:formatCode>0.0%</c:formatCode>
                <c:ptCount val="4"/>
                <c:pt idx="0">
                  <c:v>8.5191507521604593E-2</c:v>
                </c:pt>
                <c:pt idx="1">
                  <c:v>8.1777947734545026E-2</c:v>
                </c:pt>
                <c:pt idx="2">
                  <c:v>7.819176304780652E-2</c:v>
                </c:pt>
                <c:pt idx="3">
                  <c:v>0.11597159748104355</c:v>
                </c:pt>
              </c:numCache>
            </c:numRef>
          </c:val>
          <c:smooth val="0"/>
          <c:extLst>
            <c:ext xmlns:c16="http://schemas.microsoft.com/office/drawing/2014/chart" uri="{C3380CC4-5D6E-409C-BE32-E72D297353CC}">
              <c16:uniqueId val="{00000002-6113-4954-B8DA-DB34BF03AE5D}"/>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plotArea>
    <c:legend>
      <c:legendPos val="b"/>
      <c:layout>
        <c:manualLayout>
          <c:xMode val="edge"/>
          <c:yMode val="edge"/>
          <c:x val="1.3513513513513514E-2"/>
          <c:y val="0.78960189653712642"/>
          <c:w val="0.9707324175718911"/>
          <c:h val="0.11025866041553967"/>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537195410382325E-2"/>
          <c:y val="4.1935862833009895E-2"/>
          <c:w val="0.89635919911924888"/>
          <c:h val="0.63752418702419789"/>
        </c:manualLayout>
      </c:layout>
      <c:barChart>
        <c:barDir val="col"/>
        <c:grouping val="clustered"/>
        <c:varyColors val="0"/>
        <c:ser>
          <c:idx val="0"/>
          <c:order val="0"/>
          <c:tx>
            <c:v>Consensus Revenue Estimate</c:v>
          </c:tx>
          <c:spPr>
            <a:solidFill>
              <a:schemeClr val="tx1">
                <a:lumMod val="65000"/>
                <a:lumOff val="35000"/>
              </a:schemeClr>
            </a:solidFill>
          </c:spPr>
          <c:invertIfNegative val="0"/>
          <c:dPt>
            <c:idx val="9"/>
            <c:invertIfNegative val="0"/>
            <c:bubble3D val="0"/>
            <c:extLst>
              <c:ext xmlns:c16="http://schemas.microsoft.com/office/drawing/2014/chart" uri="{C3380CC4-5D6E-409C-BE32-E72D297353CC}">
                <c16:uniqueId val="{00000000-E0CB-447F-9132-22F0A2009118}"/>
              </c:ext>
            </c:extLst>
          </c:dPt>
          <c:cat>
            <c:strRef>
              <c:f>('Consensus Est (Before F1Q19)'!$N$5,'Consensus Est (Before F1Q19)'!$P$5,'Consensus Est (Before F1Q19)'!$R$5,'Consensus Est (Before F1Q19)'!$T$5)</c:f>
              <c:strCache>
                <c:ptCount val="4"/>
                <c:pt idx="0">
                  <c:v> FY2019E </c:v>
                </c:pt>
                <c:pt idx="1">
                  <c:v> FY2020E </c:v>
                </c:pt>
                <c:pt idx="2">
                  <c:v> FY2021E </c:v>
                </c:pt>
                <c:pt idx="3">
                  <c:v> FY2022E </c:v>
                </c:pt>
              </c:strCache>
            </c:strRef>
          </c:cat>
          <c:val>
            <c:numRef>
              <c:f>('Consensus Est (Before F1Q19)'!$N$7,'Consensus Est (Before F1Q19)'!$P$7,'Consensus Est (Before F1Q19)'!$R$7)</c:f>
              <c:numCache>
                <c:formatCode>"$"#,##0</c:formatCode>
                <c:ptCount val="3"/>
                <c:pt idx="0">
                  <c:v>71267.399999999994</c:v>
                </c:pt>
                <c:pt idx="1">
                  <c:v>75123.3</c:v>
                </c:pt>
                <c:pt idx="2">
                  <c:v>78968.2</c:v>
                </c:pt>
              </c:numCache>
            </c:numRef>
          </c:val>
          <c:extLst>
            <c:ext xmlns:c16="http://schemas.microsoft.com/office/drawing/2014/chart" uri="{C3380CC4-5D6E-409C-BE32-E72D297353CC}">
              <c16:uniqueId val="{00000001-E0CB-447F-9132-22F0A2009118}"/>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v>Consensus Operating Margin Estimate</c:v>
          </c:tx>
          <c:spPr>
            <a:ln>
              <a:solidFill>
                <a:schemeClr val="accent1">
                  <a:lumMod val="60000"/>
                  <a:lumOff val="40000"/>
                </a:schemeClr>
              </a:solidFill>
            </a:ln>
          </c:spPr>
          <c:marker>
            <c:symbol val="none"/>
          </c:marker>
          <c:cat>
            <c:strRef>
              <c:f>('Consensus Est (Before F1Q19)'!$N$5,'Consensus Est (Before F1Q19)'!$P$5,'Consensus Est (Before F1Q19)'!$R$5)</c:f>
              <c:strCache>
                <c:ptCount val="3"/>
                <c:pt idx="0">
                  <c:v> FY2019E </c:v>
                </c:pt>
                <c:pt idx="1">
                  <c:v> FY2020E </c:v>
                </c:pt>
                <c:pt idx="2">
                  <c:v> FY2021E </c:v>
                </c:pt>
              </c:strCache>
            </c:strRef>
          </c:cat>
          <c:val>
            <c:numRef>
              <c:f>('Consensus Est (Before F1Q19)'!$N$9,'Consensus Est (Before F1Q19)'!$P$9,'Consensus Est (Before F1Q19)'!$R$9)</c:f>
              <c:numCache>
                <c:formatCode>0.0%</c:formatCode>
                <c:ptCount val="3"/>
                <c:pt idx="0">
                  <c:v>8.5734852120324306E-2</c:v>
                </c:pt>
                <c:pt idx="1">
                  <c:v>9.4895990990811099E-2</c:v>
                </c:pt>
                <c:pt idx="2">
                  <c:v>9.8139504256143609E-2</c:v>
                </c:pt>
              </c:numCache>
            </c:numRef>
          </c:val>
          <c:smooth val="0"/>
          <c:extLst>
            <c:ext xmlns:c16="http://schemas.microsoft.com/office/drawing/2014/chart" uri="{C3380CC4-5D6E-409C-BE32-E72D297353CC}">
              <c16:uniqueId val="{00000002-E0CB-447F-9132-22F0A2009118}"/>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plotArea>
    <c:legend>
      <c:legendPos val="b"/>
      <c:layout>
        <c:manualLayout>
          <c:xMode val="edge"/>
          <c:yMode val="edge"/>
          <c:x val="1.3513513513513514E-2"/>
          <c:y val="0.78960189653712642"/>
          <c:w val="0.9707324175718911"/>
          <c:h val="0.11025866041553967"/>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537195410382325E-2"/>
          <c:y val="4.1935862833009895E-2"/>
          <c:w val="0.89635919911924888"/>
          <c:h val="0.63752418702419789"/>
        </c:manualLayout>
      </c:layout>
      <c:barChart>
        <c:barDir val="col"/>
        <c:grouping val="clustered"/>
        <c:varyColors val="0"/>
        <c:ser>
          <c:idx val="0"/>
          <c:order val="0"/>
          <c:tx>
            <c:v>Consensus Revenue Estimate</c:v>
          </c:tx>
          <c:spPr>
            <a:solidFill>
              <a:schemeClr val="tx1">
                <a:lumMod val="65000"/>
                <a:lumOff val="35000"/>
              </a:schemeClr>
            </a:solidFill>
          </c:spPr>
          <c:invertIfNegative val="0"/>
          <c:dPt>
            <c:idx val="9"/>
            <c:invertIfNegative val="0"/>
            <c:bubble3D val="0"/>
            <c:extLst>
              <c:ext xmlns:c16="http://schemas.microsoft.com/office/drawing/2014/chart" uri="{C3380CC4-5D6E-409C-BE32-E72D297353CC}">
                <c16:uniqueId val="{00000000-CE74-49F4-BFB0-6104872CDEA0}"/>
              </c:ext>
            </c:extLst>
          </c:dPt>
          <c:cat>
            <c:strRef>
              <c:f>('Forecast vs Actual (F1Q19)'!$E$6,'Forecast vs Actual (F1Q19)'!$I$6,'Forecast vs Actual (F1Q19)'!$L$6,'Forecast vs Actual (F1Q19)'!$O$6)</c:f>
              <c:strCache>
                <c:ptCount val="4"/>
                <c:pt idx="0">
                  <c:v> F1Q2019E </c:v>
                </c:pt>
                <c:pt idx="1">
                  <c:v> F2Q2019E </c:v>
                </c:pt>
                <c:pt idx="2">
                  <c:v> F3Q2019E </c:v>
                </c:pt>
                <c:pt idx="3">
                  <c:v> F4Q2019E </c:v>
                </c:pt>
              </c:strCache>
            </c:strRef>
          </c:cat>
          <c:val>
            <c:numRef>
              <c:f>('Forecast vs Actual (F1Q19)'!$D$8,'Forecast vs Actual (F1Q19)'!$I$8,'Forecast vs Actual (F1Q19)'!$L$8,'Forecast vs Actual (F1Q19)'!$O$8)</c:f>
              <c:numCache>
                <c:formatCode>"$"#,##0</c:formatCode>
                <c:ptCount val="4"/>
                <c:pt idx="0">
                  <c:v>16871.400000000001</c:v>
                </c:pt>
                <c:pt idx="1">
                  <c:v>17782.3</c:v>
                </c:pt>
                <c:pt idx="2">
                  <c:v>17880.400000000001</c:v>
                </c:pt>
                <c:pt idx="3">
                  <c:v>18674.400000000001</c:v>
                </c:pt>
              </c:numCache>
            </c:numRef>
          </c:val>
          <c:extLst>
            <c:ext xmlns:c16="http://schemas.microsoft.com/office/drawing/2014/chart" uri="{C3380CC4-5D6E-409C-BE32-E72D297353CC}">
              <c16:uniqueId val="{00000001-CE74-49F4-BFB0-6104872CDEA0}"/>
            </c:ext>
          </c:extLst>
        </c:ser>
        <c:ser>
          <c:idx val="2"/>
          <c:order val="1"/>
          <c:tx>
            <c:v>Gutenberg Revenue Estimate</c:v>
          </c:tx>
          <c:spPr>
            <a:solidFill>
              <a:schemeClr val="bg2">
                <a:lumMod val="50000"/>
              </a:schemeClr>
            </a:solidFill>
          </c:spPr>
          <c:invertIfNegative val="0"/>
          <c:val>
            <c:numRef>
              <c:f>('Forecast vs Actual (F1Q19)'!$E$8,'Forecast vs Actual (F1Q19)'!$J$8,'Forecast vs Actual (F1Q19)'!$M$8,'Forecast vs Actual (F1Q19)'!$P$8)</c:f>
              <c:numCache>
                <c:formatCode>"$"#,##0</c:formatCode>
                <c:ptCount val="4"/>
                <c:pt idx="0">
                  <c:v>16856.352795851482</c:v>
                </c:pt>
                <c:pt idx="1">
                  <c:v>18044.557902588942</c:v>
                </c:pt>
                <c:pt idx="2">
                  <c:v>17874.463721077576</c:v>
                </c:pt>
                <c:pt idx="3">
                  <c:v>18669.58214467749</c:v>
                </c:pt>
              </c:numCache>
            </c:numRef>
          </c:val>
          <c:extLst>
            <c:ext xmlns:c16="http://schemas.microsoft.com/office/drawing/2014/chart" uri="{C3380CC4-5D6E-409C-BE32-E72D297353CC}">
              <c16:uniqueId val="{00000003-CE74-49F4-BFB0-6104872CDEA0}"/>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2"/>
          <c:tx>
            <c:v>Consensus Implied Operating Margin Estimate (non-GAAP)</c:v>
          </c:tx>
          <c:spPr>
            <a:ln>
              <a:solidFill>
                <a:schemeClr val="accent1">
                  <a:lumMod val="60000"/>
                  <a:lumOff val="40000"/>
                </a:schemeClr>
              </a:solidFill>
            </a:ln>
          </c:spPr>
          <c:marker>
            <c:symbol val="none"/>
          </c:marker>
          <c:cat>
            <c:strRef>
              <c:f>('Consensus Est (Before F1Q19)'!$D$5,'Consensus Est (Before F1Q19)'!$F$5,'Consensus Est (Before F1Q19)'!$H$5,'Consensus Est (Before F1Q19)'!$J$5)</c:f>
              <c:strCache>
                <c:ptCount val="4"/>
                <c:pt idx="0">
                  <c:v> F1Q2019E </c:v>
                </c:pt>
                <c:pt idx="1">
                  <c:v> F2Q2019E </c:v>
                </c:pt>
                <c:pt idx="2">
                  <c:v> F3Q2019E </c:v>
                </c:pt>
                <c:pt idx="3">
                  <c:v> F4Q2019E </c:v>
                </c:pt>
              </c:strCache>
            </c:strRef>
          </c:cat>
          <c:val>
            <c:numRef>
              <c:f>('Forecast vs Actual (F1Q19)'!$D$10,'Forecast vs Actual (F1Q19)'!$I$10,'Forecast vs Actual (F1Q19)'!$L$10,'Forecast vs Actual (F1Q19)'!$O$10)</c:f>
              <c:numCache>
                <c:formatCode>0.0%</c:formatCode>
                <c:ptCount val="4"/>
                <c:pt idx="0">
                  <c:v>8.5191507521604593E-2</c:v>
                </c:pt>
                <c:pt idx="1">
                  <c:v>8.1777947734545026E-2</c:v>
                </c:pt>
                <c:pt idx="2">
                  <c:v>7.819176304780652E-2</c:v>
                </c:pt>
                <c:pt idx="3">
                  <c:v>0.11597159748104355</c:v>
                </c:pt>
              </c:numCache>
            </c:numRef>
          </c:val>
          <c:smooth val="0"/>
          <c:extLst>
            <c:ext xmlns:c16="http://schemas.microsoft.com/office/drawing/2014/chart" uri="{C3380CC4-5D6E-409C-BE32-E72D297353CC}">
              <c16:uniqueId val="{00000002-CE74-49F4-BFB0-6104872CDEA0}"/>
            </c:ext>
          </c:extLst>
        </c:ser>
        <c:ser>
          <c:idx val="3"/>
          <c:order val="3"/>
          <c:tx>
            <c:v>Gutenberg Operating Margin Estimate (non-GAAP)</c:v>
          </c:tx>
          <c:spPr>
            <a:ln>
              <a:solidFill>
                <a:schemeClr val="bg1">
                  <a:lumMod val="65000"/>
                </a:schemeClr>
              </a:solidFill>
            </a:ln>
          </c:spPr>
          <c:marker>
            <c:symbol val="none"/>
          </c:marker>
          <c:val>
            <c:numRef>
              <c:f>('Forecast vs Actual (F1Q19)'!$E$10,'Forecast vs Actual (F1Q19)'!$J$10,'Forecast vs Actual (F1Q19)'!$M$10,'Forecast vs Actual (F1Q19)'!$P$10)</c:f>
              <c:numCache>
                <c:formatCode>0.0%</c:formatCode>
                <c:ptCount val="4"/>
                <c:pt idx="0">
                  <c:v>8.336922593171503E-2</c:v>
                </c:pt>
                <c:pt idx="1">
                  <c:v>8.5937654276748876E-2</c:v>
                </c:pt>
                <c:pt idx="2">
                  <c:v>8.1175370574606887E-2</c:v>
                </c:pt>
                <c:pt idx="3">
                  <c:v>0.12390868836842069</c:v>
                </c:pt>
              </c:numCache>
            </c:numRef>
          </c:val>
          <c:smooth val="0"/>
          <c:extLst>
            <c:ext xmlns:c16="http://schemas.microsoft.com/office/drawing/2014/chart" uri="{C3380CC4-5D6E-409C-BE32-E72D297353CC}">
              <c16:uniqueId val="{00000004-CE74-49F4-BFB0-6104872CDEA0}"/>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plotArea>
    <c:legend>
      <c:legendPos val="b"/>
      <c:layout>
        <c:manualLayout>
          <c:xMode val="edge"/>
          <c:yMode val="edge"/>
          <c:x val="1.3513513513513514E-2"/>
          <c:y val="0.78960189653712642"/>
          <c:w val="0.9624316028293074"/>
          <c:h val="0.21039803852794708"/>
        </c:manualLayout>
      </c:layout>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236802</xdr:colOff>
      <xdr:row>244</xdr:row>
      <xdr:rowOff>0</xdr:rowOff>
    </xdr:from>
    <xdr:to>
      <xdr:col>6</xdr:col>
      <xdr:colOff>718343</xdr:colOff>
      <xdr:row>244</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236802</xdr:colOff>
      <xdr:row>306</xdr:row>
      <xdr:rowOff>0</xdr:rowOff>
    </xdr:from>
    <xdr:to>
      <xdr:col>6</xdr:col>
      <xdr:colOff>718343</xdr:colOff>
      <xdr:row>306</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236802</xdr:colOff>
      <xdr:row>351</xdr:row>
      <xdr:rowOff>0</xdr:rowOff>
    </xdr:from>
    <xdr:to>
      <xdr:col>6</xdr:col>
      <xdr:colOff>718343</xdr:colOff>
      <xdr:row>351</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236802</xdr:colOff>
      <xdr:row>49</xdr:row>
      <xdr:rowOff>0</xdr:rowOff>
    </xdr:from>
    <xdr:to>
      <xdr:col>6</xdr:col>
      <xdr:colOff>718343</xdr:colOff>
      <xdr:row>49</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236802</xdr:colOff>
      <xdr:row>289</xdr:row>
      <xdr:rowOff>0</xdr:rowOff>
    </xdr:from>
    <xdr:to>
      <xdr:col>6</xdr:col>
      <xdr:colOff>718343</xdr:colOff>
      <xdr:row>289</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66675</xdr:colOff>
      <xdr:row>17</xdr:row>
      <xdr:rowOff>66675</xdr:rowOff>
    </xdr:from>
    <xdr:to>
      <xdr:col>6</xdr:col>
      <xdr:colOff>790575</xdr:colOff>
      <xdr:row>28</xdr:row>
      <xdr:rowOff>190500</xdr:rowOff>
    </xdr:to>
    <xdr:graphicFrame macro="">
      <xdr:nvGraphicFramePr>
        <xdr:cNvPr id="4" name="Chart 3">
          <a:extLst>
            <a:ext uri="{FF2B5EF4-FFF2-40B4-BE49-F238E27FC236}">
              <a16:creationId xmlns:a16="http://schemas.microsoft.com/office/drawing/2014/main" id="{0C9973F0-A060-4B34-B28E-F5196F619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60960</xdr:colOff>
      <xdr:row>17</xdr:row>
      <xdr:rowOff>121920</xdr:rowOff>
    </xdr:from>
    <xdr:to>
      <xdr:col>16</xdr:col>
      <xdr:colOff>708660</xdr:colOff>
      <xdr:row>28</xdr:row>
      <xdr:rowOff>245745</xdr:rowOff>
    </xdr:to>
    <xdr:graphicFrame macro="">
      <xdr:nvGraphicFramePr>
        <xdr:cNvPr id="5" name="Chart 4">
          <a:extLst>
            <a:ext uri="{FF2B5EF4-FFF2-40B4-BE49-F238E27FC236}">
              <a16:creationId xmlns:a16="http://schemas.microsoft.com/office/drawing/2014/main" id="{4706F35D-0064-4FA1-BD2F-A5906A17E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137160</xdr:colOff>
      <xdr:row>43</xdr:row>
      <xdr:rowOff>205740</xdr:rowOff>
    </xdr:from>
    <xdr:to>
      <xdr:col>7</xdr:col>
      <xdr:colOff>259080</xdr:colOff>
      <xdr:row>54</xdr:row>
      <xdr:rowOff>222885</xdr:rowOff>
    </xdr:to>
    <xdr:graphicFrame macro="">
      <xdr:nvGraphicFramePr>
        <xdr:cNvPr id="5" name="Chart 4">
          <a:extLst>
            <a:ext uri="{FF2B5EF4-FFF2-40B4-BE49-F238E27FC236}">
              <a16:creationId xmlns:a16="http://schemas.microsoft.com/office/drawing/2014/main" id="{29231FC4-FD2D-466A-9F05-0D9FAEA79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BS436"/>
  <sheetViews>
    <sheetView showGridLines="0" tabSelected="1" topLeftCell="A6" zoomScaleNormal="100" workbookViewId="0">
      <pane xSplit="3" ySplit="8" topLeftCell="O14" activePane="bottomRight" state="frozen"/>
      <selection activeCell="A6" sqref="A6"/>
      <selection pane="topRight" activeCell="D6" sqref="D6"/>
      <selection pane="bottomLeft" activeCell="A14" sqref="A14"/>
      <selection pane="bottomRight" activeCell="A6" sqref="A6"/>
    </sheetView>
  </sheetViews>
  <sheetFormatPr defaultColWidth="8.88671875" defaultRowHeight="14.4" outlineLevelRow="2" outlineLevelCol="1" x14ac:dyDescent="0.3"/>
  <cols>
    <col min="1" max="1" width="3.6640625" style="4" customWidth="1"/>
    <col min="2" max="2" width="32.88671875" style="4" customWidth="1"/>
    <col min="3" max="3" width="19.6640625" style="4" customWidth="1"/>
    <col min="4" max="5" width="11.5546875" style="3" customWidth="1" outlineLevel="1"/>
    <col min="6" max="7" width="11.5546875" style="33" customWidth="1" outlineLevel="1"/>
    <col min="8" max="8" width="11.5546875" style="33" customWidth="1"/>
    <col min="9" max="10" width="11.5546875" style="3" customWidth="1" outlineLevel="1"/>
    <col min="11" max="12" width="11.5546875" style="33" customWidth="1" outlineLevel="1"/>
    <col min="13" max="13" width="11.5546875" style="33" customWidth="1"/>
    <col min="14" max="15" width="11.5546875" style="3" customWidth="1" outlineLevel="1"/>
    <col min="16" max="17" width="11.5546875" style="33" customWidth="1" outlineLevel="1"/>
    <col min="18" max="18" width="11.5546875" style="33" customWidth="1"/>
    <col min="19" max="20" width="11.5546875" style="3" customWidth="1" outlineLevel="1"/>
    <col min="21" max="22" width="11.5546875" style="33" customWidth="1" outlineLevel="1"/>
    <col min="23" max="23" width="11.5546875" style="33" customWidth="1"/>
    <col min="24" max="25" width="11.5546875" style="3" customWidth="1" outlineLevel="1"/>
    <col min="26" max="27" width="11.5546875" style="33" customWidth="1" outlineLevel="1"/>
    <col min="28" max="28" width="11.5546875" style="33" customWidth="1"/>
    <col min="29" max="30" width="11.5546875" style="3" customWidth="1" outlineLevel="1"/>
    <col min="31" max="32" width="11.5546875" style="33" customWidth="1" outlineLevel="1"/>
    <col min="33" max="33" width="11.5546875" style="33" customWidth="1"/>
    <col min="34" max="35" width="11.5546875" style="3" customWidth="1" outlineLevel="1"/>
    <col min="36" max="37" width="11.5546875" style="33" customWidth="1" outlineLevel="1"/>
    <col min="38" max="38" width="11.5546875" style="33" customWidth="1"/>
    <col min="39" max="40" width="11.5546875" style="3" customWidth="1" outlineLevel="1"/>
    <col min="41" max="42" width="11.5546875" style="33" customWidth="1" outlineLevel="1"/>
    <col min="43" max="43" width="11.5546875" style="33" customWidth="1"/>
    <col min="44" max="46" width="8.88671875" style="4"/>
    <col min="47" max="47" width="10.44140625" style="4" bestFit="1" customWidth="1"/>
    <col min="48" max="16384" width="8.88671875" style="4"/>
  </cols>
  <sheetData>
    <row r="1" spans="1:71" ht="9" customHeight="1" x14ac:dyDescent="0.3"/>
    <row r="2" spans="1:71" ht="45" customHeight="1" x14ac:dyDescent="0.3">
      <c r="B2" s="667" t="s">
        <v>72</v>
      </c>
      <c r="C2" s="668"/>
      <c r="K2" s="34"/>
    </row>
    <row r="3" spans="1:71" x14ac:dyDescent="0.3">
      <c r="B3" s="688" t="s">
        <v>78</v>
      </c>
      <c r="C3" s="689"/>
      <c r="D3" s="35"/>
      <c r="G3" s="36"/>
      <c r="H3" s="36"/>
    </row>
    <row r="4" spans="1:71" x14ac:dyDescent="0.3">
      <c r="B4" s="690" t="s">
        <v>541</v>
      </c>
      <c r="C4" s="691"/>
      <c r="D4" s="35"/>
      <c r="G4" s="36"/>
      <c r="H4" s="36"/>
      <c r="BS4" s="4" t="s">
        <v>73</v>
      </c>
    </row>
    <row r="5" spans="1:71" x14ac:dyDescent="0.3">
      <c r="B5" s="692" t="s">
        <v>540</v>
      </c>
      <c r="C5" s="693"/>
      <c r="D5" s="37"/>
      <c r="E5" s="35"/>
      <c r="F5" s="35"/>
      <c r="G5" s="36"/>
      <c r="H5" s="36"/>
      <c r="I5" s="36"/>
      <c r="J5" s="36"/>
      <c r="K5" s="36"/>
      <c r="L5" s="36"/>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row>
    <row r="6" spans="1:71" ht="14.4" customHeight="1" x14ac:dyDescent="0.3">
      <c r="B6" s="527" t="s">
        <v>65</v>
      </c>
      <c r="C6" s="528">
        <f>C367</f>
        <v>233.69884456885924</v>
      </c>
      <c r="D6" s="35"/>
      <c r="E6" s="35"/>
      <c r="F6" s="35"/>
      <c r="G6" s="38"/>
      <c r="H6" s="38"/>
      <c r="I6" s="35"/>
      <c r="J6" s="35"/>
      <c r="K6" s="35"/>
      <c r="L6" s="39"/>
      <c r="M6" s="40"/>
      <c r="N6" s="35"/>
      <c r="O6" s="35"/>
      <c r="P6" s="35"/>
      <c r="Q6" s="35"/>
      <c r="R6" s="35"/>
      <c r="S6" s="35"/>
      <c r="T6" s="39"/>
      <c r="U6" s="591"/>
      <c r="V6" s="39"/>
      <c r="W6" s="592"/>
      <c r="X6" s="39"/>
      <c r="Y6" s="39"/>
      <c r="Z6" s="35"/>
      <c r="AA6" s="35"/>
      <c r="AB6" s="35"/>
      <c r="AC6" s="35"/>
      <c r="AD6" s="35"/>
      <c r="AE6" s="35"/>
      <c r="AF6" s="35"/>
      <c r="AG6" s="35"/>
      <c r="AH6" s="35"/>
      <c r="AI6" s="35"/>
      <c r="AJ6" s="35"/>
      <c r="AK6" s="35"/>
      <c r="AL6" s="35"/>
      <c r="AM6" s="35"/>
      <c r="AN6" s="35"/>
      <c r="AO6" s="35"/>
      <c r="AP6" s="35"/>
      <c r="AQ6" s="35"/>
    </row>
    <row r="7" spans="1:71" ht="14.4" customHeight="1" x14ac:dyDescent="0.3">
      <c r="B7" s="306" t="s">
        <v>66</v>
      </c>
      <c r="C7" s="502">
        <f>C396</f>
        <v>218.33444343232489</v>
      </c>
      <c r="D7" s="35"/>
      <c r="E7" s="35"/>
      <c r="F7" s="35"/>
      <c r="G7" s="39"/>
      <c r="H7" s="512"/>
      <c r="I7" s="512"/>
      <c r="J7" s="512"/>
      <c r="K7" s="512"/>
      <c r="L7" s="512"/>
      <c r="M7" s="512"/>
      <c r="N7" s="512"/>
      <c r="O7" s="512"/>
      <c r="P7" s="512"/>
      <c r="Q7" s="512"/>
      <c r="R7" s="512"/>
      <c r="S7" s="512"/>
      <c r="T7" s="592"/>
      <c r="U7" s="591"/>
      <c r="V7" s="512"/>
      <c r="W7" s="592"/>
      <c r="X7" s="512"/>
      <c r="Y7" s="512"/>
      <c r="Z7" s="512"/>
      <c r="AA7" s="512"/>
      <c r="AB7" s="512"/>
      <c r="AC7" s="512"/>
      <c r="AD7" s="512"/>
      <c r="AE7" s="512"/>
      <c r="AF7" s="512"/>
      <c r="AG7" s="512"/>
      <c r="AH7" s="512"/>
      <c r="AI7" s="512"/>
      <c r="AJ7" s="512"/>
      <c r="AK7" s="512"/>
      <c r="AL7" s="512"/>
      <c r="AM7" s="512"/>
      <c r="AN7" s="512"/>
      <c r="AO7" s="512"/>
      <c r="AP7" s="512"/>
      <c r="AQ7" s="514"/>
    </row>
    <row r="8" spans="1:71" ht="14.4" customHeight="1" x14ac:dyDescent="0.3">
      <c r="B8" s="306" t="s">
        <v>106</v>
      </c>
      <c r="C8" s="524">
        <f>(0.5*C6)+(0.5*C7)</f>
        <v>226.01664400059207</v>
      </c>
      <c r="D8" s="35"/>
      <c r="E8" s="35"/>
      <c r="F8" s="41"/>
      <c r="G8" s="39"/>
      <c r="H8" s="512"/>
      <c r="I8" s="512"/>
      <c r="J8" s="512"/>
      <c r="K8" s="512"/>
      <c r="L8" s="512"/>
      <c r="M8" s="512"/>
      <c r="N8" s="512"/>
      <c r="O8" s="516"/>
      <c r="P8" s="512"/>
      <c r="Q8" s="512"/>
      <c r="R8" s="512"/>
      <c r="S8" s="513"/>
      <c r="T8" s="513"/>
      <c r="U8" s="591"/>
      <c r="V8" s="513"/>
      <c r="W8" s="513"/>
      <c r="X8" s="513"/>
      <c r="Y8" s="513"/>
      <c r="Z8" s="513"/>
      <c r="AA8" s="513"/>
      <c r="AB8" s="513"/>
      <c r="AC8" s="513"/>
      <c r="AD8" s="513"/>
      <c r="AE8" s="513"/>
      <c r="AF8" s="513"/>
      <c r="AG8" s="513"/>
      <c r="AH8" s="513"/>
      <c r="AI8" s="513"/>
      <c r="AJ8" s="513"/>
      <c r="AK8" s="513"/>
      <c r="AL8" s="513"/>
      <c r="AM8" s="513"/>
      <c r="AN8" s="513"/>
      <c r="AO8" s="513"/>
      <c r="AP8" s="513"/>
      <c r="AQ8" s="517"/>
    </row>
    <row r="9" spans="1:71" ht="14.4" customHeight="1" x14ac:dyDescent="0.3">
      <c r="B9" s="525" t="s">
        <v>108</v>
      </c>
      <c r="C9" s="526" t="str">
        <f>TEXT(C408,"$0")&amp;" to "&amp;TEXT(C407,"$0")</f>
        <v>$201 to $251</v>
      </c>
      <c r="D9" s="35"/>
      <c r="E9" s="35"/>
      <c r="F9" s="41"/>
      <c r="G9" s="39"/>
      <c r="H9" s="514"/>
      <c r="I9" s="514"/>
      <c r="J9" s="514"/>
      <c r="K9" s="514"/>
      <c r="L9" s="514"/>
      <c r="M9" s="514"/>
      <c r="N9" s="514"/>
      <c r="O9" s="514"/>
      <c r="P9" s="514"/>
      <c r="Q9" s="514"/>
      <c r="R9" s="514"/>
      <c r="S9" s="561"/>
      <c r="T9" s="593"/>
      <c r="U9" s="594"/>
      <c r="V9" s="515"/>
      <c r="W9" s="515"/>
      <c r="X9" s="593"/>
      <c r="Y9" s="515"/>
      <c r="Z9" s="515"/>
      <c r="AA9" s="515"/>
      <c r="AB9" s="514"/>
      <c r="AC9" s="514"/>
      <c r="AD9" s="514"/>
      <c r="AE9" s="514"/>
      <c r="AF9" s="514"/>
      <c r="AG9" s="514"/>
      <c r="AH9" s="514"/>
      <c r="AI9" s="514"/>
      <c r="AJ9" s="514"/>
      <c r="AK9" s="514"/>
      <c r="AL9" s="514"/>
      <c r="AM9" s="514"/>
      <c r="AN9" s="514"/>
      <c r="AO9" s="514"/>
      <c r="AP9" s="514"/>
      <c r="AQ9" s="514"/>
    </row>
    <row r="10" spans="1:71" ht="5.25" customHeight="1" x14ac:dyDescent="0.3">
      <c r="D10" s="43"/>
      <c r="E10" s="43"/>
      <c r="F10" s="43"/>
      <c r="G10" s="43"/>
      <c r="H10" s="44"/>
      <c r="I10" s="43"/>
      <c r="J10" s="43"/>
      <c r="K10" s="43"/>
      <c r="L10" s="39"/>
      <c r="M10" s="39"/>
      <c r="N10" s="43"/>
      <c r="O10" s="45"/>
      <c r="P10" s="43"/>
      <c r="Q10" s="39"/>
      <c r="R10" s="39"/>
      <c r="S10" s="43"/>
      <c r="T10" s="43"/>
      <c r="U10" s="43"/>
      <c r="V10" s="39"/>
      <c r="W10" s="500"/>
      <c r="X10" s="76"/>
      <c r="Y10" s="76"/>
      <c r="Z10" s="76"/>
      <c r="AA10" s="35"/>
      <c r="AB10" s="35"/>
      <c r="AC10" s="76"/>
      <c r="AD10" s="76"/>
      <c r="AE10" s="76"/>
      <c r="AF10" s="35"/>
      <c r="AG10" s="35"/>
      <c r="AH10" s="76"/>
      <c r="AI10" s="76"/>
      <c r="AJ10" s="76"/>
      <c r="AK10" s="35"/>
      <c r="AL10" s="35"/>
      <c r="AM10" s="76"/>
      <c r="AN10" s="76"/>
      <c r="AO10" s="76"/>
      <c r="AP10" s="35"/>
      <c r="AQ10" s="35"/>
    </row>
    <row r="11" spans="1:71" ht="15.6" x14ac:dyDescent="0.3">
      <c r="A11" s="636"/>
      <c r="B11" s="630" t="s">
        <v>111</v>
      </c>
      <c r="C11" s="638"/>
      <c r="D11" s="95" t="s">
        <v>121</v>
      </c>
      <c r="E11" s="95" t="s">
        <v>122</v>
      </c>
      <c r="F11" s="95" t="s">
        <v>123</v>
      </c>
      <c r="G11" s="95" t="s">
        <v>124</v>
      </c>
      <c r="H11" s="408" t="s">
        <v>124</v>
      </c>
      <c r="I11" s="95" t="s">
        <v>125</v>
      </c>
      <c r="J11" s="95" t="s">
        <v>126</v>
      </c>
      <c r="K11" s="95" t="s">
        <v>127</v>
      </c>
      <c r="L11" s="95" t="s">
        <v>128</v>
      </c>
      <c r="M11" s="408" t="s">
        <v>128</v>
      </c>
      <c r="N11" s="95" t="s">
        <v>129</v>
      </c>
      <c r="O11" s="95" t="s">
        <v>130</v>
      </c>
      <c r="P11" s="95" t="s">
        <v>131</v>
      </c>
      <c r="Q11" s="95" t="s">
        <v>132</v>
      </c>
      <c r="R11" s="408" t="s">
        <v>132</v>
      </c>
      <c r="S11" s="95" t="s">
        <v>133</v>
      </c>
      <c r="T11" s="97" t="s">
        <v>134</v>
      </c>
      <c r="U11" s="97" t="s">
        <v>135</v>
      </c>
      <c r="V11" s="97" t="s">
        <v>136</v>
      </c>
      <c r="W11" s="412" t="s">
        <v>136</v>
      </c>
      <c r="X11" s="97" t="s">
        <v>137</v>
      </c>
      <c r="Y11" s="97" t="s">
        <v>138</v>
      </c>
      <c r="Z11" s="97" t="s">
        <v>139</v>
      </c>
      <c r="AA11" s="97" t="s">
        <v>140</v>
      </c>
      <c r="AB11" s="412" t="s">
        <v>140</v>
      </c>
      <c r="AC11" s="97" t="s">
        <v>141</v>
      </c>
      <c r="AD11" s="97" t="s">
        <v>142</v>
      </c>
      <c r="AE11" s="97" t="s">
        <v>143</v>
      </c>
      <c r="AF11" s="97" t="s">
        <v>144</v>
      </c>
      <c r="AG11" s="412" t="s">
        <v>144</v>
      </c>
      <c r="AH11" s="97" t="s">
        <v>145</v>
      </c>
      <c r="AI11" s="97" t="s">
        <v>146</v>
      </c>
      <c r="AJ11" s="97" t="s">
        <v>147</v>
      </c>
      <c r="AK11" s="97" t="s">
        <v>148</v>
      </c>
      <c r="AL11" s="412" t="s">
        <v>148</v>
      </c>
      <c r="AM11" s="97" t="s">
        <v>149</v>
      </c>
      <c r="AN11" s="97" t="s">
        <v>150</v>
      </c>
      <c r="AO11" s="97" t="s">
        <v>151</v>
      </c>
      <c r="AP11" s="97" t="s">
        <v>152</v>
      </c>
      <c r="AQ11" s="412" t="s">
        <v>152</v>
      </c>
    </row>
    <row r="12" spans="1:71" ht="17.399999999999999" customHeight="1" x14ac:dyDescent="0.45">
      <c r="A12" s="637"/>
      <c r="B12" s="651" t="s">
        <v>3</v>
      </c>
      <c r="C12" s="652"/>
      <c r="D12" s="96" t="s">
        <v>71</v>
      </c>
      <c r="E12" s="96" t="s">
        <v>74</v>
      </c>
      <c r="F12" s="96" t="s">
        <v>75</v>
      </c>
      <c r="G12" s="96" t="s">
        <v>79</v>
      </c>
      <c r="H12" s="409" t="s">
        <v>80</v>
      </c>
      <c r="I12" s="96" t="s">
        <v>81</v>
      </c>
      <c r="J12" s="96" t="s">
        <v>92</v>
      </c>
      <c r="K12" s="96" t="s">
        <v>110</v>
      </c>
      <c r="L12" s="96" t="s">
        <v>114</v>
      </c>
      <c r="M12" s="409" t="s">
        <v>115</v>
      </c>
      <c r="N12" s="96" t="s">
        <v>116</v>
      </c>
      <c r="O12" s="96" t="s">
        <v>117</v>
      </c>
      <c r="P12" s="96" t="s">
        <v>118</v>
      </c>
      <c r="Q12" s="96" t="s">
        <v>119</v>
      </c>
      <c r="R12" s="409" t="s">
        <v>120</v>
      </c>
      <c r="S12" s="96" t="s">
        <v>518</v>
      </c>
      <c r="T12" s="94" t="s">
        <v>378</v>
      </c>
      <c r="U12" s="94" t="s">
        <v>379</v>
      </c>
      <c r="V12" s="94" t="s">
        <v>380</v>
      </c>
      <c r="W12" s="413" t="s">
        <v>381</v>
      </c>
      <c r="X12" s="94" t="s">
        <v>382</v>
      </c>
      <c r="Y12" s="94" t="s">
        <v>383</v>
      </c>
      <c r="Z12" s="94" t="s">
        <v>384</v>
      </c>
      <c r="AA12" s="94" t="s">
        <v>385</v>
      </c>
      <c r="AB12" s="413" t="s">
        <v>386</v>
      </c>
      <c r="AC12" s="94" t="s">
        <v>387</v>
      </c>
      <c r="AD12" s="94" t="s">
        <v>388</v>
      </c>
      <c r="AE12" s="94" t="s">
        <v>389</v>
      </c>
      <c r="AF12" s="94" t="s">
        <v>390</v>
      </c>
      <c r="AG12" s="413" t="s">
        <v>391</v>
      </c>
      <c r="AH12" s="94" t="s">
        <v>392</v>
      </c>
      <c r="AI12" s="94" t="s">
        <v>393</v>
      </c>
      <c r="AJ12" s="94" t="s">
        <v>394</v>
      </c>
      <c r="AK12" s="94" t="s">
        <v>395</v>
      </c>
      <c r="AL12" s="413" t="s">
        <v>396</v>
      </c>
      <c r="AM12" s="94" t="s">
        <v>397</v>
      </c>
      <c r="AN12" s="94" t="s">
        <v>398</v>
      </c>
      <c r="AO12" s="94" t="s">
        <v>399</v>
      </c>
      <c r="AP12" s="94" t="s">
        <v>400</v>
      </c>
      <c r="AQ12" s="413" t="s">
        <v>401</v>
      </c>
    </row>
    <row r="13" spans="1:71" x14ac:dyDescent="0.3">
      <c r="B13" s="628" t="s">
        <v>153</v>
      </c>
      <c r="C13" s="629"/>
      <c r="D13" s="105">
        <v>12279</v>
      </c>
      <c r="E13" s="105">
        <v>12453</v>
      </c>
      <c r="F13" s="105">
        <v>12654</v>
      </c>
      <c r="G13" s="105">
        <v>12979</v>
      </c>
      <c r="H13" s="117">
        <f>SUM(D13:G13)</f>
        <v>50365</v>
      </c>
      <c r="I13" s="105">
        <v>14663</v>
      </c>
      <c r="J13" s="105">
        <v>14931</v>
      </c>
      <c r="K13" s="105">
        <v>14997</v>
      </c>
      <c r="L13" s="105">
        <v>15728</v>
      </c>
      <c r="M13" s="117">
        <f>SUM(I13:L13)</f>
        <v>60319</v>
      </c>
      <c r="N13" s="105">
        <v>15297</v>
      </c>
      <c r="O13" s="105">
        <v>16313</v>
      </c>
      <c r="P13" s="105">
        <v>16526</v>
      </c>
      <c r="Q13" s="105">
        <f>Q54+Q57+Q58+Q143+Q160+Q169+Q172</f>
        <v>17314.125785999997</v>
      </c>
      <c r="R13" s="117">
        <f>SUM(N13:Q13)</f>
        <v>65450.125785999997</v>
      </c>
      <c r="S13" s="105">
        <v>17052</v>
      </c>
      <c r="T13" s="554">
        <f>T54+T57+T58+T143+T160+T169+T172</f>
        <v>17772.5</v>
      </c>
      <c r="U13" s="554">
        <f>U54+U57+U58+U143+U160+U169+U172</f>
        <v>17888.8</v>
      </c>
      <c r="V13" s="554">
        <f>V54+V57+V58+V143+V160+V169+V172</f>
        <v>18692.299999999996</v>
      </c>
      <c r="W13" s="99">
        <f>SUM(S13:V13)</f>
        <v>71405.600000000006</v>
      </c>
      <c r="X13" s="554">
        <f>X54+X57+X58+X143+X160+X169+X172</f>
        <v>18024.890000000003</v>
      </c>
      <c r="Y13" s="105">
        <f>Y54+Y57+Y58+Y143+Y160+Y169+Y172</f>
        <v>18639.510413576987</v>
      </c>
      <c r="Z13" s="105">
        <f>Z54+Z57+Z58+Z143+Z160+Z169+Z172</f>
        <v>18854.646668591042</v>
      </c>
      <c r="AA13" s="105">
        <f>AA54+AA57+AA58+AA143+AA160+AA169+AA172</f>
        <v>19725.457761581965</v>
      </c>
      <c r="AB13" s="555">
        <f>SUM(X13:AA13)</f>
        <v>75244.504843750008</v>
      </c>
      <c r="AC13" s="105">
        <f>AC54+AC57+AC58+AC143+AC160+AC169+AC172</f>
        <v>19028.662174731278</v>
      </c>
      <c r="AD13" s="105">
        <f>AD54+AD57+AD58+AD143+AD160+AD169+AD172</f>
        <v>19652.333252278982</v>
      </c>
      <c r="AE13" s="105">
        <f>AE54+AE57+AE58+AE143+AE160+AE169+AE172</f>
        <v>19930.501235753076</v>
      </c>
      <c r="AF13" s="105">
        <f>AF54+AF57+AF58+AF143+AF160+AF169+AF172</f>
        <v>20863.780569670838</v>
      </c>
      <c r="AG13" s="99">
        <f>SUM(AC13:AF13)</f>
        <v>79475.277232434179</v>
      </c>
      <c r="AH13" s="105">
        <f>AH54+AH57+AH58+AH143+AH160+AH169+AH172</f>
        <v>20039.628268727251</v>
      </c>
      <c r="AI13" s="105">
        <f>AI54+AI57+AI58+AI143+AI160+AI169+AI172</f>
        <v>20667.21379490153</v>
      </c>
      <c r="AJ13" s="105">
        <f>AJ54+AJ57+AJ58+AJ143+AJ160+AJ169+AJ172</f>
        <v>20970.728688077332</v>
      </c>
      <c r="AK13" s="105">
        <f>AK54+AK57+AK58+AK143+AK160+AK169+AK172</f>
        <v>21925.050256345923</v>
      </c>
      <c r="AL13" s="99">
        <f>SUM(AH13:AK13)</f>
        <v>83602.621008052025</v>
      </c>
      <c r="AM13" s="105">
        <f>AM54+AM57+AM58+AM143+AM160+AM169+AM172</f>
        <v>21018.167106189274</v>
      </c>
      <c r="AN13" s="105">
        <f>AN54+AN57+AN58+AN143+AN160+AN169+AN172</f>
        <v>21637.446512164403</v>
      </c>
      <c r="AO13" s="105">
        <f>AO54+AO57+AO58+AO143+AO160+AO169+AO172</f>
        <v>21954.391290009586</v>
      </c>
      <c r="AP13" s="105">
        <f>AP54+AP57+AP58+AP143+AP160+AP169+AP172</f>
        <v>22923.286527482916</v>
      </c>
      <c r="AQ13" s="99">
        <f>SUM(AM13:AP13)</f>
        <v>87533.291435846186</v>
      </c>
    </row>
    <row r="14" spans="1:71" x14ac:dyDescent="0.3">
      <c r="B14" s="100" t="s">
        <v>154</v>
      </c>
      <c r="C14" s="292"/>
      <c r="D14" s="46"/>
      <c r="E14" s="46"/>
      <c r="F14" s="46"/>
      <c r="G14" s="46"/>
      <c r="H14" s="117"/>
      <c r="I14" s="46"/>
      <c r="J14" s="46"/>
      <c r="K14" s="46"/>
      <c r="L14" s="46"/>
      <c r="M14" s="117"/>
      <c r="N14" s="46"/>
      <c r="O14" s="46"/>
      <c r="P14" s="46"/>
      <c r="Q14" s="63"/>
      <c r="R14" s="59"/>
      <c r="S14" s="144"/>
      <c r="T14" s="144"/>
      <c r="U14" s="144"/>
      <c r="V14" s="144"/>
      <c r="W14" s="427"/>
      <c r="X14" s="144"/>
      <c r="Y14" s="144"/>
      <c r="Z14" s="144"/>
      <c r="AA14" s="144"/>
      <c r="AB14" s="99"/>
      <c r="AC14" s="144"/>
      <c r="AD14" s="144"/>
      <c r="AE14" s="144"/>
      <c r="AF14" s="144"/>
      <c r="AG14" s="99"/>
      <c r="AH14" s="144"/>
      <c r="AI14" s="144"/>
      <c r="AJ14" s="144"/>
      <c r="AK14" s="144"/>
      <c r="AL14" s="99"/>
      <c r="AM14" s="144"/>
      <c r="AN14" s="144"/>
      <c r="AO14" s="144"/>
      <c r="AP14" s="144"/>
      <c r="AQ14" s="99"/>
    </row>
    <row r="15" spans="1:71" outlineLevel="1" x14ac:dyDescent="0.3">
      <c r="A15" s="235"/>
      <c r="B15" s="308" t="s">
        <v>155</v>
      </c>
      <c r="C15" s="292"/>
      <c r="D15" s="105">
        <v>4525</v>
      </c>
      <c r="E15" s="105">
        <v>4570</v>
      </c>
      <c r="F15" s="105">
        <v>4712</v>
      </c>
      <c r="G15" s="105">
        <v>4774</v>
      </c>
      <c r="H15" s="117">
        <f t="shared" ref="H15:H23" si="0">SUM(D15:G15)</f>
        <v>18581</v>
      </c>
      <c r="I15" s="105">
        <v>5311</v>
      </c>
      <c r="J15" s="105">
        <v>5353</v>
      </c>
      <c r="K15" s="105">
        <v>5395</v>
      </c>
      <c r="L15" s="105">
        <v>5483</v>
      </c>
      <c r="M15" s="117">
        <f t="shared" ref="M15:M23" si="1">SUM(I15:L15)</f>
        <v>21542</v>
      </c>
      <c r="N15" s="105">
        <v>5518</v>
      </c>
      <c r="O15" s="105">
        <v>5742</v>
      </c>
      <c r="P15" s="105">
        <v>5981</v>
      </c>
      <c r="Q15" s="144">
        <v>5966</v>
      </c>
      <c r="R15" s="117">
        <f t="shared" ref="R15:R23" si="2">SUM(N15:Q15)</f>
        <v>23207</v>
      </c>
      <c r="S15" s="144">
        <v>6260</v>
      </c>
      <c r="T15" s="144">
        <f>(T68+T147+T164+T174+T178)*(O15/(O15+O16+O17+O20+O23))</f>
        <v>6207.1922842594458</v>
      </c>
      <c r="U15" s="144">
        <f>(U68+U147+U164+U174+U178)*(P15/(P15+P16+P17+P20+P23))</f>
        <v>6402.4301006423975</v>
      </c>
      <c r="V15" s="144">
        <f>(V68+V147+V164+V174+V178)*(Q15/(Q15+Q16+Q17+Q20+Q23))</f>
        <v>6382.5876704202356</v>
      </c>
      <c r="W15" s="99">
        <f t="shared" ref="W15:W23" si="3">SUM(S15:V15)</f>
        <v>25252.210055322077</v>
      </c>
      <c r="X15" s="144">
        <f>(X68+X147+X164+X174+X178)*(S15/(S15+S16+S17+S20+S23))</f>
        <v>6513.5417021980793</v>
      </c>
      <c r="Y15" s="144">
        <f>(Y68+Y147+Y164+Y174+Y178)*(T15/(T15+T16+T17+T20+T23))</f>
        <v>6443.6670347258978</v>
      </c>
      <c r="Z15" s="144">
        <f>(Z68+Z147+Z164+Z174+Z178)*(U15/(U15+U16+U17+U20+U23))</f>
        <v>6676.5207611435226</v>
      </c>
      <c r="AA15" s="144">
        <f>(AA68+AA147+AA164+AA174+AA178)*(V15/(V15+V16+V17+V20+V23))</f>
        <v>6657.158054613632</v>
      </c>
      <c r="AB15" s="99">
        <f t="shared" ref="AB15:AB23" si="4">SUM(X15:AA15)</f>
        <v>26290.887552681132</v>
      </c>
      <c r="AC15" s="144">
        <f>(AC68+AC147+AC164+AC174+AC178)*(X15/(X15+X16+X17+X20+X23))</f>
        <v>6766.5019706250096</v>
      </c>
      <c r="AD15" s="144">
        <f>(AD68+AD147+AD164+AD174+AD178)*(Y15/(Y15+Y16+Y17+Y20+Y23))</f>
        <v>6696.2798674485584</v>
      </c>
      <c r="AE15" s="144">
        <f>(AE68+AE147+AE164+AE174+AE178)*(Z15/(Z15+Z16+Z17+Z20+Z23))</f>
        <v>6953.0056268079925</v>
      </c>
      <c r="AF15" s="144">
        <f>(AF68+AF147+AF164+AF174+AF178)*(AA15/(AA15+AA16+AA17+AA20+AA23))</f>
        <v>6929.8450468846668</v>
      </c>
      <c r="AG15" s="99">
        <f t="shared" ref="AG15:AG23" si="5">SUM(AC15:AF15)</f>
        <v>27345.632511766227</v>
      </c>
      <c r="AH15" s="144">
        <f>(AH68+AH147+AH164+AH174+AH178)*(AC15/(AC15+AC16+AC17+AC20+AC23))</f>
        <v>7138.9490831132416</v>
      </c>
      <c r="AI15" s="144">
        <f>(AI68+AI147+AI164+AI174+AI178)*(AD15/(AD15+AD16+AD17+AD20+AD23))</f>
        <v>7064.9494394069507</v>
      </c>
      <c r="AJ15" s="144">
        <f>(AJ68+AJ147+AJ164+AJ174+AJ178)*(AE15/(AE15+AE16+AE17+AE20+AE23))</f>
        <v>7336.1161203049633</v>
      </c>
      <c r="AK15" s="144">
        <f>(AK68+AK147+AK164+AK174+AK178)*(AF15/(AF15+AF16+AF17+AF20+AF23))</f>
        <v>7302.0845044605921</v>
      </c>
      <c r="AL15" s="99">
        <f t="shared" ref="AL15:AL23" si="6">SUM(AH15:AK15)</f>
        <v>28842.099147285746</v>
      </c>
      <c r="AM15" s="144">
        <f>(AM68+AM147+AM164+AM174+AM178)*(AH15/(AH15+AH16+AH17+AH20+AH23))</f>
        <v>7502.2962544814081</v>
      </c>
      <c r="AN15" s="144">
        <f>(AN68+AN147+AN164+AN174+AN178)*(AI15/(AI15+AI16+AI17+AI20+AI23))</f>
        <v>7420.8155351577798</v>
      </c>
      <c r="AO15" s="144">
        <f>(AO68+AO147+AO164+AO174+AO178)*(AJ15/(AJ15+AJ16+AJ17+AJ20+AJ23))</f>
        <v>7701.5041600799595</v>
      </c>
      <c r="AP15" s="144">
        <f>(AP68+AP147+AP164+AP174+AP178)*(AK15/(AK15+AK16+AK17+AK20+AK23))</f>
        <v>7655.9466057493137</v>
      </c>
      <c r="AQ15" s="99">
        <f t="shared" ref="AQ15:AQ23" si="7">SUM(AM15:AP15)</f>
        <v>30280.562555468459</v>
      </c>
    </row>
    <row r="16" spans="1:71" outlineLevel="1" x14ac:dyDescent="0.3">
      <c r="B16" s="308" t="s">
        <v>156</v>
      </c>
      <c r="C16" s="292"/>
      <c r="D16" s="105">
        <v>2344</v>
      </c>
      <c r="E16" s="105">
        <v>2538</v>
      </c>
      <c r="F16" s="105">
        <v>2623</v>
      </c>
      <c r="G16" s="105">
        <v>2461</v>
      </c>
      <c r="H16" s="117">
        <f t="shared" si="0"/>
        <v>9966</v>
      </c>
      <c r="I16" s="105">
        <v>3240</v>
      </c>
      <c r="J16" s="105">
        <v>3431</v>
      </c>
      <c r="K16" s="105">
        <v>3498</v>
      </c>
      <c r="L16" s="105">
        <v>3461</v>
      </c>
      <c r="M16" s="117">
        <f t="shared" si="1"/>
        <v>13630</v>
      </c>
      <c r="N16" s="105">
        <v>3445</v>
      </c>
      <c r="O16" s="105">
        <v>3840</v>
      </c>
      <c r="P16" s="105">
        <v>3935</v>
      </c>
      <c r="Q16" s="105">
        <v>3881</v>
      </c>
      <c r="R16" s="117">
        <f t="shared" si="2"/>
        <v>15101</v>
      </c>
      <c r="S16" s="105">
        <v>3967</v>
      </c>
      <c r="T16" s="105">
        <f>(T68+T147+T164+T174+T178)*(O16/(O15+O16+O17+O20+O23))</f>
        <v>4151.1003781881354</v>
      </c>
      <c r="U16" s="105">
        <f>(U68+U147+U164+U174+U178)*(P16/(P15+P16+P17+P20+P23))</f>
        <v>4212.2659164065935</v>
      </c>
      <c r="V16" s="105">
        <f>(V68+V147+V164+V174+V178)*(Q16/(Q15+Q16+Q17+Q20+Q23))</f>
        <v>4151.9984493632137</v>
      </c>
      <c r="W16" s="99">
        <f t="shared" si="3"/>
        <v>16482.364743957944</v>
      </c>
      <c r="X16" s="105">
        <f>(X68+X147+X164+X174+X178)*(S16/(S15+S16+S17+S20+S23))</f>
        <v>4127.670915753959</v>
      </c>
      <c r="Y16" s="105">
        <f>(Y68+Y147+Y164+Y174+Y178)*(T16/(T15+T16+T17+T20+T23))</f>
        <v>4309.2444119379043</v>
      </c>
      <c r="Z16" s="105">
        <f>(Z68+Z147+Z164+Z174+Z178)*(U16/(U15+U16+U17+U20+U23))</f>
        <v>4392.5947492224977</v>
      </c>
      <c r="AA16" s="105">
        <f>(AA68+AA147+AA164+AA174+AA178)*(V16/(V15+V16+V17+V20+V23))</f>
        <v>4330.6118689164441</v>
      </c>
      <c r="AB16" s="99">
        <f t="shared" si="4"/>
        <v>17160.121945830804</v>
      </c>
      <c r="AC16" s="105">
        <f>(AC68+AC147+AC164+AC174+AC178)*(X16/(X15+X16+X17+X20+X23))</f>
        <v>4287.97337339767</v>
      </c>
      <c r="AD16" s="105">
        <f>(AD68+AD147+AD164+AD174+AD178)*(Y16/(Y15+Y16+Y17+Y20+Y23))</f>
        <v>4478.1808935915124</v>
      </c>
      <c r="AE16" s="105">
        <f>(AE68+AE147+AE164+AE174+AE178)*(Z16/(Z15+Z16+Z17+Z20+Z23))</f>
        <v>4574.4987696855796</v>
      </c>
      <c r="AF16" s="105">
        <f>(AF68+AF147+AF164+AF174+AF178)*(AA16/(AA15+AA16+AA17+AA20+AA23))</f>
        <v>4508.0001050887349</v>
      </c>
      <c r="AG16" s="99">
        <f t="shared" si="5"/>
        <v>17848.653141763498</v>
      </c>
      <c r="AH16" s="105">
        <f>(AH68+AH147+AH164+AH174+AH178)*(AC16/(AC15+AC16+AC17+AC20+AC23))</f>
        <v>4523.9953694425294</v>
      </c>
      <c r="AI16" s="105">
        <f>(AI68+AI147+AI164+AI174+AI178)*(AD16/(AD15+AD16+AD17+AD20+AD23))</f>
        <v>4724.7310775553278</v>
      </c>
      <c r="AJ16" s="105">
        <f>(AJ68+AJ147+AJ164+AJ174+AJ178)*(AE16/(AE15+AE16+AE17+AE20+AE23))</f>
        <v>4826.5535752215401</v>
      </c>
      <c r="AK16" s="105">
        <f>(AK68+AK147+AK164+AK174+AK178)*(AF16/(AF15+AF16+AF17+AF20+AF23))</f>
        <v>4750.1491722781693</v>
      </c>
      <c r="AL16" s="99">
        <f t="shared" si="6"/>
        <v>18825.429194497567</v>
      </c>
      <c r="AM16" s="105">
        <f>(AM68+AM147+AM164+AM174+AM178)*(AH16/(AH15+AH16+AH17+AH20+AH23))</f>
        <v>4754.2506775603433</v>
      </c>
      <c r="AN16" s="105">
        <f>(AN68+AN147+AN164+AN174+AN178)*(AI16/(AI15+AI16+AI17+AI20+AI23))</f>
        <v>4962.7188531880656</v>
      </c>
      <c r="AO16" s="105">
        <f>(AO68+AO147+AO164+AO174+AO178)*(AJ16/(AJ15+AJ16+AJ17+AJ20+AJ23))</f>
        <v>5066.9484818449491</v>
      </c>
      <c r="AP16" s="105">
        <f>(AP68+AP147+AP164+AP174+AP178)*(AK16/(AK15+AK16+AK17+AK20+AK23))</f>
        <v>4980.3434088020595</v>
      </c>
      <c r="AQ16" s="99">
        <f t="shared" si="7"/>
        <v>19764.261421395418</v>
      </c>
    </row>
    <row r="17" spans="2:47" outlineLevel="1" x14ac:dyDescent="0.3">
      <c r="B17" s="308" t="s">
        <v>157</v>
      </c>
      <c r="C17" s="292"/>
      <c r="D17" s="105">
        <v>695</v>
      </c>
      <c r="E17" s="105">
        <v>682</v>
      </c>
      <c r="F17" s="105">
        <v>744</v>
      </c>
      <c r="G17" s="105">
        <v>733</v>
      </c>
      <c r="H17" s="117">
        <f t="shared" si="0"/>
        <v>2854</v>
      </c>
      <c r="I17" s="105">
        <v>790</v>
      </c>
      <c r="J17" s="105">
        <v>802</v>
      </c>
      <c r="K17" s="105">
        <v>834</v>
      </c>
      <c r="L17" s="105">
        <v>814</v>
      </c>
      <c r="M17" s="117">
        <f t="shared" si="1"/>
        <v>3240</v>
      </c>
      <c r="N17" s="105">
        <v>818</v>
      </c>
      <c r="O17" s="105">
        <v>835</v>
      </c>
      <c r="P17" s="105">
        <v>873</v>
      </c>
      <c r="Q17" s="105">
        <v>835</v>
      </c>
      <c r="R17" s="117">
        <f t="shared" si="2"/>
        <v>3361</v>
      </c>
      <c r="S17" s="105">
        <v>823</v>
      </c>
      <c r="T17" s="105">
        <f>(T68+T147+T164+T174+T178)*(O17/(O15+O16+O17+O20+O23))</f>
        <v>902.64812911122215</v>
      </c>
      <c r="U17" s="105">
        <f>(U68+U147+U164+U174+U178)*(P17/(P15+P16+P17+P20+P23))</f>
        <v>934.51287039973477</v>
      </c>
      <c r="V17" s="105">
        <f>(V68+V147+V164+V174+V178)*(Q17/(Q15+Q16+Q17+Q20+Q23))</f>
        <v>893.30551538734437</v>
      </c>
      <c r="W17" s="99">
        <f t="shared" si="3"/>
        <v>3553.4665148983013</v>
      </c>
      <c r="X17" s="105">
        <f>(X68+X147+X164+X174+X178)*(S17/(S15+S16+S17+S20+S23))</f>
        <v>856.3330384838689</v>
      </c>
      <c r="Y17" s="105">
        <f>(Y68+Y147+Y164+Y174+Y178)*(T17/(T15+T16+T17+T20+T23))</f>
        <v>937.03621978337242</v>
      </c>
      <c r="Z17" s="105">
        <f>(Z68+Z147+Z164+Z174+Z178)*(U17/(U15+U16+U17+U20+U23))</f>
        <v>974.51974995457215</v>
      </c>
      <c r="AA17" s="105">
        <f>(AA68+AA147+AA164+AA174+AA178)*(V17/(V15+V16+V17+V20+V23))</f>
        <v>931.73432376841799</v>
      </c>
      <c r="AB17" s="99">
        <f t="shared" si="4"/>
        <v>3699.6233319902317</v>
      </c>
      <c r="AC17" s="105">
        <f>(AC68+AC147+AC164+AC174+AC178)*(X17/(X15+X16+X17+X20+X23))</f>
        <v>889.58963607418264</v>
      </c>
      <c r="AD17" s="105">
        <f>(AD68+AD147+AD164+AD174+AD178)*(Y17/(Y15+Y16+Y17+Y20+Y23))</f>
        <v>973.7711057679461</v>
      </c>
      <c r="AE17" s="105">
        <f>(AE68+AE147+AE164+AE174+AE178)*(Z17/(Z15+Z16+Z17+Z20+Z23))</f>
        <v>1014.8760929950474</v>
      </c>
      <c r="AF17" s="105">
        <f>(AF68+AF147+AF164+AF174+AF178)*(AA17/(AA15+AA16+AA17+AA20+AA23))</f>
        <v>969.89953304537312</v>
      </c>
      <c r="AG17" s="99">
        <f t="shared" si="5"/>
        <v>3848.1363678825496</v>
      </c>
      <c r="AH17" s="105">
        <f>(AH68+AH147+AH164+AH174+AH178)*(AC17/(AC15+AC16+AC17+AC20+AC23))</f>
        <v>938.55512706105389</v>
      </c>
      <c r="AI17" s="105">
        <f>(AI68+AI147+AI164+AI174+AI178)*(AD17/(AD15+AD16+AD17+AD20+AD23))</f>
        <v>1027.3829296246611</v>
      </c>
      <c r="AJ17" s="105">
        <f>(AJ68+AJ147+AJ164+AJ174+AJ178)*(AE17/(AE15+AE16+AE17+AE20+AE23))</f>
        <v>1070.7957487086164</v>
      </c>
      <c r="AK17" s="105">
        <f>(AK68+AK147+AK164+AK174+AK178)*(AF17/(AF15+AF16+AF17+AF20+AF23))</f>
        <v>1021.9980826725769</v>
      </c>
      <c r="AL17" s="99">
        <f t="shared" si="6"/>
        <v>4058.7318880669081</v>
      </c>
      <c r="AM17" s="105">
        <f>(AM68+AM147+AM164+AM174+AM178)*(AH17/(AH15+AH16+AH17+AH20+AH23))</f>
        <v>986.32425198693272</v>
      </c>
      <c r="AN17" s="105">
        <f>(AN68+AN147+AN164+AN174+AN178)*(AI17/(AI15+AI16+AI17+AI20+AI23))</f>
        <v>1079.1328756281341</v>
      </c>
      <c r="AO17" s="105">
        <f>(AO68+AO147+AO164+AO174+AO178)*(AJ17/(AJ15+AJ16+AJ17+AJ20+AJ23))</f>
        <v>1124.128595845144</v>
      </c>
      <c r="AP17" s="105">
        <f>(AP68+AP147+AP164+AP174+AP178)*(AK17/(AK15+AK16+AK17+AK20+AK23))</f>
        <v>1071.5245417030969</v>
      </c>
      <c r="AQ17" s="99">
        <f t="shared" si="7"/>
        <v>4261.1102651633082</v>
      </c>
    </row>
    <row r="18" spans="2:47" outlineLevel="1" x14ac:dyDescent="0.3">
      <c r="B18" s="308" t="s">
        <v>158</v>
      </c>
      <c r="C18" s="292"/>
      <c r="D18" s="105">
        <v>648</v>
      </c>
      <c r="E18" s="105">
        <v>653</v>
      </c>
      <c r="F18" s="105">
        <v>663</v>
      </c>
      <c r="G18" s="105">
        <v>667</v>
      </c>
      <c r="H18" s="117">
        <f t="shared" si="0"/>
        <v>2631</v>
      </c>
      <c r="I18" s="105">
        <v>739</v>
      </c>
      <c r="J18" s="105">
        <v>740</v>
      </c>
      <c r="K18" s="105">
        <v>762</v>
      </c>
      <c r="L18" s="105">
        <v>754</v>
      </c>
      <c r="M18" s="117">
        <f t="shared" si="1"/>
        <v>2995</v>
      </c>
      <c r="N18" s="105">
        <v>751</v>
      </c>
      <c r="O18" s="105">
        <v>756</v>
      </c>
      <c r="P18" s="105">
        <v>786</v>
      </c>
      <c r="Q18" s="105">
        <v>802</v>
      </c>
      <c r="R18" s="117">
        <f t="shared" si="2"/>
        <v>3095</v>
      </c>
      <c r="S18" s="105">
        <v>808</v>
      </c>
      <c r="T18" s="105">
        <f>+T310</f>
        <v>743.57794190980576</v>
      </c>
      <c r="U18" s="105">
        <f>+U310</f>
        <v>753.02157618056776</v>
      </c>
      <c r="V18" s="105">
        <f>+V310</f>
        <v>772.39127149366482</v>
      </c>
      <c r="W18" s="431">
        <f t="shared" si="3"/>
        <v>3076.9907895840388</v>
      </c>
      <c r="X18" s="105">
        <f>+X310</f>
        <v>801.01841295060035</v>
      </c>
      <c r="Y18" s="105">
        <f>+Y310</f>
        <v>820.00165148412441</v>
      </c>
      <c r="Z18" s="105">
        <f>+Z310</f>
        <v>829.88846253359361</v>
      </c>
      <c r="AA18" s="105">
        <f>+AA310</f>
        <v>850.00164342296227</v>
      </c>
      <c r="AB18" s="99">
        <f t="shared" si="4"/>
        <v>3300.9101703912806</v>
      </c>
      <c r="AC18" s="105">
        <f>+AC310</f>
        <v>880.12419082882798</v>
      </c>
      <c r="AD18" s="105">
        <f>+AD310</f>
        <v>900.32052048782361</v>
      </c>
      <c r="AE18" s="105">
        <f>+AE310</f>
        <v>910.74448980872398</v>
      </c>
      <c r="AF18" s="105">
        <f>+AF310</f>
        <v>931.93610238526912</v>
      </c>
      <c r="AG18" s="99">
        <f t="shared" si="5"/>
        <v>3623.1253035106447</v>
      </c>
      <c r="AH18" s="105">
        <f>+AH310</f>
        <v>963.73530981789838</v>
      </c>
      <c r="AI18" s="105">
        <f>+AI310</f>
        <v>985.01239151026482</v>
      </c>
      <c r="AJ18" s="105">
        <f>+AJ310</f>
        <v>995.9751957691891</v>
      </c>
      <c r="AK18" s="105">
        <f>+AK310</f>
        <v>1018.2423932980661</v>
      </c>
      <c r="AL18" s="99">
        <f t="shared" si="6"/>
        <v>3962.9652903954184</v>
      </c>
      <c r="AM18" s="105">
        <f>+AM310</f>
        <v>1051.6519641268635</v>
      </c>
      <c r="AN18" s="105">
        <f>+AN310</f>
        <v>1073.9498245572713</v>
      </c>
      <c r="AO18" s="105">
        <f>+AO310</f>
        <v>1085.4262295188032</v>
      </c>
      <c r="AP18" s="105">
        <f>+AP310</f>
        <v>1108.7203713661445</v>
      </c>
      <c r="AQ18" s="99">
        <f t="shared" si="7"/>
        <v>4319.7483895690821</v>
      </c>
    </row>
    <row r="19" spans="2:47" outlineLevel="1" x14ac:dyDescent="0.3">
      <c r="B19" s="308" t="s">
        <v>159</v>
      </c>
      <c r="C19" s="101"/>
      <c r="D19" s="105">
        <v>712</v>
      </c>
      <c r="E19" s="105">
        <v>615</v>
      </c>
      <c r="F19" s="105">
        <v>537</v>
      </c>
      <c r="G19" s="105">
        <v>535</v>
      </c>
      <c r="H19" s="117">
        <f t="shared" si="0"/>
        <v>2399</v>
      </c>
      <c r="I19" s="105">
        <v>650</v>
      </c>
      <c r="J19" s="105">
        <v>658</v>
      </c>
      <c r="K19" s="105">
        <v>735</v>
      </c>
      <c r="L19" s="105">
        <v>730</v>
      </c>
      <c r="M19" s="117">
        <f t="shared" si="1"/>
        <v>2773</v>
      </c>
      <c r="N19" s="105">
        <v>703</v>
      </c>
      <c r="O19" s="105">
        <v>818</v>
      </c>
      <c r="P19" s="105">
        <v>914</v>
      </c>
      <c r="Q19" s="105">
        <v>939</v>
      </c>
      <c r="R19" s="117">
        <f t="shared" si="2"/>
        <v>3374</v>
      </c>
      <c r="S19" s="105">
        <v>986</v>
      </c>
      <c r="T19" s="105">
        <f>+T66+T145+T162+T176</f>
        <v>991.28961950791449</v>
      </c>
      <c r="U19" s="105">
        <f>+U66+U145+U162+U176</f>
        <v>921.47443802062378</v>
      </c>
      <c r="V19" s="105">
        <f>+V66+V145+V162+V176</f>
        <v>1019.9694004064801</v>
      </c>
      <c r="W19" s="99">
        <f t="shared" si="3"/>
        <v>3918.7334579350181</v>
      </c>
      <c r="X19" s="105">
        <f>+X66+X145+X162+X176</f>
        <v>938.17237635259744</v>
      </c>
      <c r="Y19" s="105">
        <f>+Y66+Y145+Y162+Y176</f>
        <v>962.70892053092859</v>
      </c>
      <c r="Z19" s="105">
        <f>+Z66+Z145+Z162+Z176</f>
        <v>962.27334501329074</v>
      </c>
      <c r="AA19" s="105">
        <f>+AA66+AA145+AA162+AA176</f>
        <v>965.66242342745659</v>
      </c>
      <c r="AB19" s="99">
        <f t="shared" si="4"/>
        <v>3828.8170653242732</v>
      </c>
      <c r="AC19" s="105">
        <f>+AC66+AC145+AC162+AC176</f>
        <v>987.07118963026267</v>
      </c>
      <c r="AD19" s="105">
        <f>+AD66+AD145+AD162+AD176</f>
        <v>1011.1304327459607</v>
      </c>
      <c r="AE19" s="105">
        <f>+AE66+AE145+AE162+AE176</f>
        <v>1014.118853016711</v>
      </c>
      <c r="AF19" s="105">
        <f>+AF66+AF145+AF162+AF176</f>
        <v>1021.4672331566135</v>
      </c>
      <c r="AG19" s="99">
        <f t="shared" si="5"/>
        <v>4033.7877085495479</v>
      </c>
      <c r="AH19" s="105">
        <f>+AH66+AH145+AH162+AH176</f>
        <v>1076.7449778221157</v>
      </c>
      <c r="AI19" s="105">
        <f>+AI66+AI145+AI162+AI176</f>
        <v>1100.7958717394617</v>
      </c>
      <c r="AJ19" s="105">
        <f>+AJ66+AJ145+AJ162+AJ176</f>
        <v>1105.2050001156128</v>
      </c>
      <c r="AK19" s="105">
        <f>+AK66+AK145+AK162+AK176</f>
        <v>1113.6584646376018</v>
      </c>
      <c r="AL19" s="99">
        <f t="shared" si="6"/>
        <v>4396.4043143147919</v>
      </c>
      <c r="AM19" s="105">
        <f>+AM66+AM145+AM162+AM176</f>
        <v>1135.0539887949178</v>
      </c>
      <c r="AN19" s="105">
        <f>+AN66+AN145+AN162+AN176</f>
        <v>1158.3486869200201</v>
      </c>
      <c r="AO19" s="105">
        <f>+AO66+AO145+AO162+AO176</f>
        <v>1163.1753480848517</v>
      </c>
      <c r="AP19" s="105">
        <f>+AP66+AP145+AP162+AP176</f>
        <v>1173.2717123943005</v>
      </c>
      <c r="AQ19" s="99">
        <f t="shared" si="7"/>
        <v>4629.8497361940899</v>
      </c>
    </row>
    <row r="20" spans="2:47" outlineLevel="1" x14ac:dyDescent="0.3">
      <c r="B20" s="308" t="s">
        <v>160</v>
      </c>
      <c r="C20" s="101"/>
      <c r="D20" s="105">
        <v>548</v>
      </c>
      <c r="E20" s="105">
        <v>529</v>
      </c>
      <c r="F20" s="105">
        <v>504</v>
      </c>
      <c r="G20" s="105">
        <v>527</v>
      </c>
      <c r="H20" s="117">
        <f t="shared" si="0"/>
        <v>2108</v>
      </c>
      <c r="I20" s="105">
        <v>598</v>
      </c>
      <c r="J20" s="105">
        <v>579</v>
      </c>
      <c r="K20" s="105">
        <v>588</v>
      </c>
      <c r="L20" s="105">
        <v>609</v>
      </c>
      <c r="M20" s="117">
        <f t="shared" si="1"/>
        <v>2374</v>
      </c>
      <c r="N20" s="105">
        <v>675</v>
      </c>
      <c r="O20" s="105">
        <v>665</v>
      </c>
      <c r="P20" s="105">
        <v>628</v>
      </c>
      <c r="Q20" s="105">
        <v>654</v>
      </c>
      <c r="R20" s="117">
        <f t="shared" si="2"/>
        <v>2622</v>
      </c>
      <c r="S20" s="105">
        <v>735</v>
      </c>
      <c r="T20" s="105">
        <f>(T68+T147+T164+T174+T178)*(O20/(O15+O16+O17+O20+O23))</f>
        <v>718.87545611851829</v>
      </c>
      <c r="U20" s="105">
        <f>(U68+U147+U164+U174+U178)*(P20/(P15+P16+P17+P20+P23))</f>
        <v>672.24980826006117</v>
      </c>
      <c r="V20" s="105">
        <f>(V68+V147+V164+V174+V178)*(Q20/(Q15+Q16+Q17+Q20+Q23))</f>
        <v>699.66683480637505</v>
      </c>
      <c r="W20" s="99">
        <f t="shared" si="3"/>
        <v>2825.7920991849542</v>
      </c>
      <c r="X20" s="105">
        <f>(X68+X147+X164+X174+X178)*(S20/(S15+S16+S17+S20+S23))</f>
        <v>764.76887398012593</v>
      </c>
      <c r="Y20" s="105">
        <f>(Y68+Y147+Y164+Y174+Y178)*(T20/(T15+T16+T17+T20+T23))</f>
        <v>746.26237862987148</v>
      </c>
      <c r="Z20" s="105">
        <f>(Z68+Z147+Z164+Z174+Z178)*(U20/(U15+U16+U17+U20+U23))</f>
        <v>701.02909847820297</v>
      </c>
      <c r="AA20" s="105">
        <f>(AA68+AA147+AA164+AA174+AA178)*(V20/(V15+V16+V17+V20+V23))</f>
        <v>729.76556616113214</v>
      </c>
      <c r="AB20" s="99">
        <f t="shared" si="4"/>
        <v>2941.8259172493322</v>
      </c>
      <c r="AC20" s="105">
        <f>(AC68+AC147+AC164+AC174+AC178)*(X20/(X15+X16+X17+X20+X23))</f>
        <v>794.46948057657858</v>
      </c>
      <c r="AD20" s="105">
        <f>(AD68+AD147+AD164+AD174+AD178)*(Y20/(Y15+Y16+Y17+Y20+Y23))</f>
        <v>775.5183057912385</v>
      </c>
      <c r="AE20" s="105">
        <f>(AE68+AE147+AE164+AE174+AE178)*(Z20/(Z15+Z16+Z17+Z20+Z23))</f>
        <v>730.05977823698697</v>
      </c>
      <c r="AF20" s="105">
        <f>(AF68+AF147+AF164+AF174+AF178)*(AA20/(AA15+AA16+AA17+AA20+AA23))</f>
        <v>759.65783785829217</v>
      </c>
      <c r="AG20" s="99">
        <f t="shared" si="5"/>
        <v>3059.7054024630961</v>
      </c>
      <c r="AH20" s="105">
        <f>(AH68+AH147+AH164+AH174+AH178)*(AC20/(AC15+AC16+AC17+AC20+AC23))</f>
        <v>838.19929330482944</v>
      </c>
      <c r="AI20" s="105">
        <f>(AI68+AI147+AI164+AI174+AI178)*(AD20/(AD15+AD16+AD17+AD20+AD23))</f>
        <v>818.21514754538885</v>
      </c>
      <c r="AJ20" s="105">
        <f>(AJ68+AJ147+AJ164+AJ174+AJ178)*(AE20/(AE15+AE16+AE17+AE20+AE23))</f>
        <v>770.28605978122664</v>
      </c>
      <c r="AK20" s="105">
        <f>(AK68+AK147+AK164+AK174+AK178)*(AF20/(AF15+AF16+AF17+AF20+AF23))</f>
        <v>800.46316894355107</v>
      </c>
      <c r="AL20" s="99">
        <f t="shared" si="6"/>
        <v>3227.1636695749958</v>
      </c>
      <c r="AM20" s="105">
        <f>(AM68+AM147+AM164+AM174+AM178)*(AH20/(AH15+AH16+AH17+AH20+AH23))</f>
        <v>880.86066246706616</v>
      </c>
      <c r="AN20" s="105">
        <f>(AN68+AN147+AN164+AN174+AN178)*(AI20/(AI15+AI16+AI17+AI20+AI23))</f>
        <v>859.42917639845416</v>
      </c>
      <c r="AO20" s="105">
        <f>(AO68+AO147+AO164+AO174+AO178)*(AJ20/(AJ15+AJ16+AJ17+AJ20+AJ23))</f>
        <v>808.65149850028661</v>
      </c>
      <c r="AP20" s="105">
        <f>(AP68+AP147+AP164+AP174+AP178)*(AK20/(AK15+AK16+AK17+AK20+AK23))</f>
        <v>839.25395242374293</v>
      </c>
      <c r="AQ20" s="99">
        <f t="shared" si="7"/>
        <v>3388.1952897895499</v>
      </c>
    </row>
    <row r="21" spans="2:47" outlineLevel="1" x14ac:dyDescent="0.3">
      <c r="B21" s="308" t="s">
        <v>161</v>
      </c>
      <c r="C21" s="101"/>
      <c r="D21" s="105"/>
      <c r="E21" s="105"/>
      <c r="F21" s="105"/>
      <c r="G21" s="105"/>
      <c r="H21" s="117">
        <f t="shared" si="0"/>
        <v>0</v>
      </c>
      <c r="I21" s="105"/>
      <c r="J21" s="105"/>
      <c r="K21" s="105">
        <v>0</v>
      </c>
      <c r="L21" s="105">
        <v>0</v>
      </c>
      <c r="M21" s="117">
        <f t="shared" si="1"/>
        <v>0</v>
      </c>
      <c r="N21" s="105">
        <v>0</v>
      </c>
      <c r="O21" s="105">
        <v>0</v>
      </c>
      <c r="P21" s="105">
        <v>0</v>
      </c>
      <c r="Q21" s="105">
        <v>380</v>
      </c>
      <c r="R21" s="117">
        <f t="shared" si="2"/>
        <v>380</v>
      </c>
      <c r="S21" s="105">
        <v>0</v>
      </c>
      <c r="T21" s="249">
        <v>0</v>
      </c>
      <c r="U21" s="249">
        <v>0</v>
      </c>
      <c r="V21" s="249">
        <v>0</v>
      </c>
      <c r="W21" s="99">
        <f t="shared" si="3"/>
        <v>0</v>
      </c>
      <c r="X21" s="249">
        <v>0</v>
      </c>
      <c r="Y21" s="249">
        <v>0</v>
      </c>
      <c r="Z21" s="249">
        <v>0</v>
      </c>
      <c r="AA21" s="249">
        <v>0</v>
      </c>
      <c r="AB21" s="99">
        <f t="shared" si="4"/>
        <v>0</v>
      </c>
      <c r="AC21" s="249">
        <v>0</v>
      </c>
      <c r="AD21" s="249">
        <v>0</v>
      </c>
      <c r="AE21" s="249">
        <v>0</v>
      </c>
      <c r="AF21" s="249">
        <v>0</v>
      </c>
      <c r="AG21" s="99">
        <f t="shared" si="5"/>
        <v>0</v>
      </c>
      <c r="AH21" s="249">
        <v>0</v>
      </c>
      <c r="AI21" s="249">
        <v>0</v>
      </c>
      <c r="AJ21" s="249">
        <v>0</v>
      </c>
      <c r="AK21" s="249">
        <v>0</v>
      </c>
      <c r="AL21" s="99">
        <f t="shared" si="6"/>
        <v>0</v>
      </c>
      <c r="AM21" s="249">
        <v>0</v>
      </c>
      <c r="AN21" s="249">
        <v>0</v>
      </c>
      <c r="AO21" s="249">
        <v>0</v>
      </c>
      <c r="AP21" s="249">
        <v>0</v>
      </c>
      <c r="AQ21" s="99">
        <f t="shared" si="7"/>
        <v>0</v>
      </c>
    </row>
    <row r="22" spans="2:47" outlineLevel="1" x14ac:dyDescent="0.3">
      <c r="B22" s="308" t="s">
        <v>162</v>
      </c>
      <c r="C22" s="101"/>
      <c r="D22" s="105">
        <v>0</v>
      </c>
      <c r="E22" s="105">
        <v>0</v>
      </c>
      <c r="F22" s="105">
        <v>0</v>
      </c>
      <c r="G22" s="105">
        <v>1498</v>
      </c>
      <c r="H22" s="117">
        <f t="shared" si="0"/>
        <v>1498</v>
      </c>
      <c r="I22" s="105">
        <v>0</v>
      </c>
      <c r="J22" s="105">
        <v>0</v>
      </c>
      <c r="K22" s="105">
        <v>0</v>
      </c>
      <c r="L22" s="105">
        <v>-24</v>
      </c>
      <c r="M22" s="117">
        <f t="shared" si="1"/>
        <v>-24</v>
      </c>
      <c r="N22" s="105">
        <v>0</v>
      </c>
      <c r="O22" s="105">
        <v>0</v>
      </c>
      <c r="P22" s="105">
        <v>0</v>
      </c>
      <c r="Q22" s="105">
        <v>-10</v>
      </c>
      <c r="R22" s="117">
        <f t="shared" si="2"/>
        <v>-10</v>
      </c>
      <c r="S22" s="105">
        <v>0</v>
      </c>
      <c r="T22" s="105">
        <f>+T206</f>
        <v>0</v>
      </c>
      <c r="U22" s="105">
        <f>+U206</f>
        <v>0</v>
      </c>
      <c r="V22" s="105">
        <f>+V206</f>
        <v>-227.23050661764719</v>
      </c>
      <c r="W22" s="99">
        <f t="shared" si="3"/>
        <v>-227.23050661764719</v>
      </c>
      <c r="X22" s="105">
        <f>+X206</f>
        <v>0</v>
      </c>
      <c r="Y22" s="105">
        <f>+Y206</f>
        <v>0</v>
      </c>
      <c r="Z22" s="105">
        <f>+Z206</f>
        <v>0</v>
      </c>
      <c r="AA22" s="105">
        <f>+AA206</f>
        <v>-99.999999999999943</v>
      </c>
      <c r="AB22" s="99">
        <f t="shared" si="4"/>
        <v>-99.999999999999943</v>
      </c>
      <c r="AC22" s="105">
        <f>+AC206</f>
        <v>0</v>
      </c>
      <c r="AD22" s="105">
        <f>+AD206</f>
        <v>0</v>
      </c>
      <c r="AE22" s="105">
        <f>+AE206</f>
        <v>0</v>
      </c>
      <c r="AF22" s="105">
        <f>+AF206</f>
        <v>-55.00000000000005</v>
      </c>
      <c r="AG22" s="99">
        <f t="shared" si="5"/>
        <v>-55.00000000000005</v>
      </c>
      <c r="AH22" s="105">
        <f>+AH206</f>
        <v>0</v>
      </c>
      <c r="AI22" s="105">
        <f>+AI206</f>
        <v>0</v>
      </c>
      <c r="AJ22" s="105">
        <f>+AJ206</f>
        <v>0</v>
      </c>
      <c r="AK22" s="105">
        <f>+AK206</f>
        <v>-55.00000000000005</v>
      </c>
      <c r="AL22" s="99">
        <f t="shared" si="6"/>
        <v>-55.00000000000005</v>
      </c>
      <c r="AM22" s="105">
        <f>+AM206</f>
        <v>0</v>
      </c>
      <c r="AN22" s="105">
        <f>+AN206</f>
        <v>0</v>
      </c>
      <c r="AO22" s="105">
        <f>+AO206</f>
        <v>0</v>
      </c>
      <c r="AP22" s="105">
        <f>+AP206</f>
        <v>-55.00000000000005</v>
      </c>
      <c r="AQ22" s="99">
        <f t="shared" si="7"/>
        <v>-55.00000000000005</v>
      </c>
    </row>
    <row r="23" spans="2:47" ht="17.25" customHeight="1" outlineLevel="1" x14ac:dyDescent="0.45">
      <c r="B23" s="308" t="s">
        <v>163</v>
      </c>
      <c r="C23" s="101"/>
      <c r="D23" s="106">
        <v>1663</v>
      </c>
      <c r="E23" s="106">
        <v>1729</v>
      </c>
      <c r="F23" s="106">
        <v>2007</v>
      </c>
      <c r="G23" s="106">
        <v>1852</v>
      </c>
      <c r="H23" s="158">
        <f t="shared" si="0"/>
        <v>7251</v>
      </c>
      <c r="I23" s="106">
        <f>2071+112</f>
        <v>2183</v>
      </c>
      <c r="J23" s="106">
        <f>2201+112</f>
        <v>2313</v>
      </c>
      <c r="K23" s="106">
        <f>2160+113</f>
        <v>2273</v>
      </c>
      <c r="L23" s="106">
        <f>2320+134</f>
        <v>2454</v>
      </c>
      <c r="M23" s="158">
        <f t="shared" si="1"/>
        <v>9223</v>
      </c>
      <c r="N23" s="106">
        <f>2270+146</f>
        <v>2416</v>
      </c>
      <c r="O23" s="106">
        <f>2395+147</f>
        <v>2542</v>
      </c>
      <c r="P23" s="106">
        <f>2408+143</f>
        <v>2551</v>
      </c>
      <c r="Q23" s="106">
        <f>2377+162</f>
        <v>2539</v>
      </c>
      <c r="R23" s="158">
        <f t="shared" si="2"/>
        <v>10048</v>
      </c>
      <c r="S23" s="106">
        <v>2402</v>
      </c>
      <c r="T23" s="106">
        <f>(T68+T147+T164+T174+T178)*(O23/(O15+O16+O17+O20+O23))</f>
        <v>2747.9419691026665</v>
      </c>
      <c r="U23" s="106">
        <f>(U68+U147+U164+U174+U178)*(P23/(P15+P16+P17+P20+P23))</f>
        <v>2730.7472306869681</v>
      </c>
      <c r="V23" s="106">
        <f>(V68+V147+V164+V174+V178)*(Q23/(Q15+Q16+Q17+Q20+Q23))</f>
        <v>2716.2906629562481</v>
      </c>
      <c r="W23" s="104">
        <f t="shared" si="3"/>
        <v>10596.979862745882</v>
      </c>
      <c r="X23" s="106">
        <f>(X68+X147+X164+X174+X178)*(S23/(S15+S16+S17+S20+S23))</f>
        <v>2499.2854902044387</v>
      </c>
      <c r="Y23" s="106">
        <f>(Y68+Y147+Y164+Y174+Y178)*(T23/(T15+T16+T17+T20+T23))</f>
        <v>2852.6300247776439</v>
      </c>
      <c r="Z23" s="106">
        <f>(Z68+Z147+Z164+Z174+Z178)*(U23/(U15+U16+U17+U20+U23))</f>
        <v>2847.6516404743566</v>
      </c>
      <c r="AA23" s="106">
        <f>(AA68+AA147+AA164+AA174+AA178)*(V23/(V15+V16+V17+V20+V23))</f>
        <v>2833.1418539497163</v>
      </c>
      <c r="AB23" s="104">
        <f t="shared" si="4"/>
        <v>11032.709009406157</v>
      </c>
      <c r="AC23" s="106">
        <f>(AC68+AC147+AC164+AC174+AC178)*(X23/(X15+X16+X17+X20+X23))</f>
        <v>2596.3478807414176</v>
      </c>
      <c r="AD23" s="106">
        <f>(AD68+AD147+AD164+AD174+AD178)*(Y23/(Y15+Y16+Y17+Y20+Y23))</f>
        <v>2964.4624561222981</v>
      </c>
      <c r="AE23" s="106">
        <f>(AE68+AE147+AE164+AE174+AE178)*(Z23/(Z15+Z16+Z17+Z20+Z23))</f>
        <v>2965.5772201951495</v>
      </c>
      <c r="AF23" s="106">
        <f>(AF68+AF147+AF164+AF174+AF178)*(AA23/(AA15+AA16+AA17+AA20+AA23))</f>
        <v>2949.1915142541343</v>
      </c>
      <c r="AG23" s="104">
        <f t="shared" si="5"/>
        <v>11475.579071312999</v>
      </c>
      <c r="AH23" s="106">
        <f>(AH68+AH147+AH164+AH174+AH178)*(AC23/(AC15+AC16+AC17+AC20+AC23))</f>
        <v>2739.2580986642183</v>
      </c>
      <c r="AI23" s="106">
        <f>(AI68+AI147+AI164+AI174+AI178)*(AD23/(AD15+AD16+AD17+AD20+AD23))</f>
        <v>3127.6735414441778</v>
      </c>
      <c r="AJ23" s="106">
        <f>(AJ68+AJ147+AJ164+AJ174+AJ178)*(AE23/(AE15+AE16+AE17+AE20+AE23))</f>
        <v>3128.9804753215117</v>
      </c>
      <c r="AK23" s="106">
        <f>(AK68+AK147+AK164+AK174+AK178)*(AF23/(AF15+AF16+AF17+AF20+AF23))</f>
        <v>3107.6085412043981</v>
      </c>
      <c r="AL23" s="104">
        <f t="shared" si="6"/>
        <v>12103.520656634306</v>
      </c>
      <c r="AM23" s="106">
        <f>(AM68+AM147+AM164+AM174+AM178)*(AH23/(AH15+AH16+AH17+AH20+AH23))</f>
        <v>2878.6766139399911</v>
      </c>
      <c r="AN23" s="106">
        <f>(AN68+AN147+AN164+AN174+AN178)*(AI23/(AI15+AI16+AI17+AI20+AI23))</f>
        <v>3285.2164908343916</v>
      </c>
      <c r="AO23" s="106">
        <f>(AO68+AO147+AO164+AO174+AO178)*(AJ23/(AJ15+AJ16+AJ17+AJ20+AJ23))</f>
        <v>3284.8247972519607</v>
      </c>
      <c r="AP23" s="106">
        <f>(AP68+AP147+AP164+AP174+AP178)*(AK23/(AK15+AK16+AK17+AK20+AK23))</f>
        <v>3258.2045645319317</v>
      </c>
      <c r="AQ23" s="104">
        <f t="shared" si="7"/>
        <v>12706.922466558275</v>
      </c>
    </row>
    <row r="24" spans="2:47" s="111" customFormat="1" ht="17.25" customHeight="1" x14ac:dyDescent="0.45">
      <c r="B24" s="300" t="s">
        <v>67</v>
      </c>
      <c r="C24" s="107"/>
      <c r="D24" s="109">
        <f t="shared" ref="D24:AQ24" si="8">SUM(D15:D23)</f>
        <v>11135</v>
      </c>
      <c r="E24" s="109">
        <f t="shared" si="8"/>
        <v>11316</v>
      </c>
      <c r="F24" s="109">
        <f t="shared" si="8"/>
        <v>11790</v>
      </c>
      <c r="G24" s="109">
        <f t="shared" si="8"/>
        <v>13047</v>
      </c>
      <c r="H24" s="110">
        <f t="shared" si="8"/>
        <v>47288</v>
      </c>
      <c r="I24" s="109">
        <f t="shared" si="8"/>
        <v>13511</v>
      </c>
      <c r="J24" s="109">
        <f t="shared" si="8"/>
        <v>13876</v>
      </c>
      <c r="K24" s="109">
        <f t="shared" si="8"/>
        <v>14085</v>
      </c>
      <c r="L24" s="109">
        <f t="shared" si="8"/>
        <v>14281</v>
      </c>
      <c r="M24" s="110">
        <f t="shared" si="8"/>
        <v>55753</v>
      </c>
      <c r="N24" s="109">
        <f t="shared" si="8"/>
        <v>14326</v>
      </c>
      <c r="O24" s="109">
        <f t="shared" si="8"/>
        <v>15198</v>
      </c>
      <c r="P24" s="109">
        <f t="shared" si="8"/>
        <v>15668</v>
      </c>
      <c r="Q24" s="109">
        <f t="shared" si="8"/>
        <v>15986</v>
      </c>
      <c r="R24" s="110">
        <f t="shared" si="8"/>
        <v>61178</v>
      </c>
      <c r="S24" s="109">
        <f>SUM(S15:S23)</f>
        <v>15981</v>
      </c>
      <c r="T24" s="109">
        <f t="shared" si="8"/>
        <v>16462.625778197704</v>
      </c>
      <c r="U24" s="109">
        <f t="shared" si="8"/>
        <v>16626.701940596948</v>
      </c>
      <c r="V24" s="109">
        <f t="shared" si="8"/>
        <v>16408.979298215916</v>
      </c>
      <c r="W24" s="108">
        <f t="shared" si="8"/>
        <v>65479.307017010564</v>
      </c>
      <c r="X24" s="109">
        <f t="shared" si="8"/>
        <v>16500.790809923667</v>
      </c>
      <c r="Y24" s="109">
        <f t="shared" si="8"/>
        <v>17071.550641869744</v>
      </c>
      <c r="Z24" s="109">
        <f t="shared" si="8"/>
        <v>17384.477806820036</v>
      </c>
      <c r="AA24" s="109">
        <f t="shared" si="8"/>
        <v>17198.075734259761</v>
      </c>
      <c r="AB24" s="108">
        <f t="shared" si="8"/>
        <v>68154.894992873218</v>
      </c>
      <c r="AC24" s="109">
        <f t="shared" si="8"/>
        <v>17202.077721873949</v>
      </c>
      <c r="AD24" s="109">
        <f t="shared" si="8"/>
        <v>17799.663581955338</v>
      </c>
      <c r="AE24" s="109">
        <f t="shared" si="8"/>
        <v>18162.880830746191</v>
      </c>
      <c r="AF24" s="109">
        <f t="shared" si="8"/>
        <v>18014.997372673082</v>
      </c>
      <c r="AG24" s="108">
        <f t="shared" si="8"/>
        <v>71179.619507248557</v>
      </c>
      <c r="AH24" s="109">
        <f t="shared" si="8"/>
        <v>18219.437259225888</v>
      </c>
      <c r="AI24" s="109">
        <f t="shared" si="8"/>
        <v>18848.760398826231</v>
      </c>
      <c r="AJ24" s="109">
        <f t="shared" si="8"/>
        <v>19233.91217522266</v>
      </c>
      <c r="AK24" s="109">
        <f t="shared" si="8"/>
        <v>19059.204327494954</v>
      </c>
      <c r="AL24" s="108">
        <f t="shared" si="8"/>
        <v>75361.314160769733</v>
      </c>
      <c r="AM24" s="109">
        <f t="shared" si="8"/>
        <v>19189.114413357522</v>
      </c>
      <c r="AN24" s="109">
        <f t="shared" si="8"/>
        <v>19839.611442684116</v>
      </c>
      <c r="AO24" s="109">
        <f t="shared" si="8"/>
        <v>20234.659111125955</v>
      </c>
      <c r="AP24" s="109">
        <f t="shared" si="8"/>
        <v>20032.265156970589</v>
      </c>
      <c r="AQ24" s="108">
        <f t="shared" si="8"/>
        <v>79295.650124138177</v>
      </c>
    </row>
    <row r="25" spans="2:47" x14ac:dyDescent="0.3">
      <c r="B25" s="300" t="s">
        <v>164</v>
      </c>
      <c r="C25" s="102"/>
      <c r="D25" s="114">
        <f t="shared" ref="D25:AQ25" si="9">D13-D24</f>
        <v>1144</v>
      </c>
      <c r="E25" s="114">
        <f t="shared" si="9"/>
        <v>1137</v>
      </c>
      <c r="F25" s="114">
        <f t="shared" si="9"/>
        <v>864</v>
      </c>
      <c r="G25" s="114">
        <f t="shared" si="9"/>
        <v>-68</v>
      </c>
      <c r="H25" s="115">
        <f t="shared" si="9"/>
        <v>3077</v>
      </c>
      <c r="I25" s="114">
        <f>I13-I24</f>
        <v>1152</v>
      </c>
      <c r="J25" s="114">
        <f t="shared" si="9"/>
        <v>1055</v>
      </c>
      <c r="K25" s="114">
        <f t="shared" si="9"/>
        <v>912</v>
      </c>
      <c r="L25" s="114">
        <f t="shared" si="9"/>
        <v>1447</v>
      </c>
      <c r="M25" s="115">
        <f t="shared" si="9"/>
        <v>4566</v>
      </c>
      <c r="N25" s="114">
        <f t="shared" si="9"/>
        <v>971</v>
      </c>
      <c r="O25" s="114">
        <f t="shared" si="9"/>
        <v>1115</v>
      </c>
      <c r="P25" s="114">
        <f t="shared" si="9"/>
        <v>858</v>
      </c>
      <c r="Q25" s="114">
        <f t="shared" si="9"/>
        <v>1328.1257859999969</v>
      </c>
      <c r="R25" s="115">
        <f t="shared" si="9"/>
        <v>4272.1257859999969</v>
      </c>
      <c r="S25" s="114">
        <f>S13-S24</f>
        <v>1071</v>
      </c>
      <c r="T25" s="114">
        <f t="shared" si="9"/>
        <v>1309.8742218022962</v>
      </c>
      <c r="U25" s="114">
        <f t="shared" si="9"/>
        <v>1262.0980594030516</v>
      </c>
      <c r="V25" s="114">
        <f t="shared" si="9"/>
        <v>2283.3207017840796</v>
      </c>
      <c r="W25" s="113">
        <f t="shared" si="9"/>
        <v>5926.292982989442</v>
      </c>
      <c r="X25" s="114">
        <f t="shared" si="9"/>
        <v>1524.0991900763365</v>
      </c>
      <c r="Y25" s="114">
        <f t="shared" si="9"/>
        <v>1567.9597717072429</v>
      </c>
      <c r="Z25" s="114">
        <f t="shared" si="9"/>
        <v>1470.168861771006</v>
      </c>
      <c r="AA25" s="114">
        <f t="shared" si="9"/>
        <v>2527.3820273222045</v>
      </c>
      <c r="AB25" s="113">
        <f t="shared" si="9"/>
        <v>7089.60985087679</v>
      </c>
      <c r="AC25" s="114">
        <f t="shared" si="9"/>
        <v>1826.5844528573289</v>
      </c>
      <c r="AD25" s="114">
        <f t="shared" si="9"/>
        <v>1852.6696703236448</v>
      </c>
      <c r="AE25" s="114">
        <f t="shared" si="9"/>
        <v>1767.6204050068845</v>
      </c>
      <c r="AF25" s="114">
        <f t="shared" si="9"/>
        <v>2848.783196997756</v>
      </c>
      <c r="AG25" s="113">
        <f t="shared" si="9"/>
        <v>8295.6577251856215</v>
      </c>
      <c r="AH25" s="114">
        <f t="shared" si="9"/>
        <v>1820.1910095013627</v>
      </c>
      <c r="AI25" s="114">
        <f t="shared" si="9"/>
        <v>1818.4533960752997</v>
      </c>
      <c r="AJ25" s="114">
        <f t="shared" si="9"/>
        <v>1736.8165128546716</v>
      </c>
      <c r="AK25" s="114">
        <f t="shared" si="9"/>
        <v>2865.8459288509694</v>
      </c>
      <c r="AL25" s="113">
        <f t="shared" si="9"/>
        <v>8241.3068472822924</v>
      </c>
      <c r="AM25" s="114">
        <f t="shared" si="9"/>
        <v>1829.0526928317522</v>
      </c>
      <c r="AN25" s="114">
        <f t="shared" si="9"/>
        <v>1797.8350694802866</v>
      </c>
      <c r="AO25" s="114">
        <f t="shared" si="9"/>
        <v>1719.7321788836307</v>
      </c>
      <c r="AP25" s="114">
        <f t="shared" si="9"/>
        <v>2891.0213705123278</v>
      </c>
      <c r="AQ25" s="113">
        <f t="shared" si="9"/>
        <v>8237.6413117080083</v>
      </c>
    </row>
    <row r="26" spans="2:47" s="573" customFormat="1" ht="16.2" outlineLevel="1" x14ac:dyDescent="0.45">
      <c r="B26" s="568" t="s">
        <v>358</v>
      </c>
      <c r="C26" s="569"/>
      <c r="D26" s="570">
        <f t="shared" ref="D26:AQ26" si="10">+D234+D236+D238+D240</f>
        <v>0</v>
      </c>
      <c r="E26" s="570">
        <f t="shared" si="10"/>
        <v>0</v>
      </c>
      <c r="F26" s="570">
        <f t="shared" si="10"/>
        <v>0</v>
      </c>
      <c r="G26" s="570">
        <f t="shared" si="10"/>
        <v>0</v>
      </c>
      <c r="H26" s="571">
        <f t="shared" si="10"/>
        <v>0</v>
      </c>
      <c r="I26" s="570">
        <f t="shared" si="10"/>
        <v>67.5</v>
      </c>
      <c r="J26" s="570">
        <f t="shared" si="10"/>
        <v>57.5</v>
      </c>
      <c r="K26" s="570">
        <f t="shared" si="10"/>
        <v>78</v>
      </c>
      <c r="L26" s="570">
        <f t="shared" si="10"/>
        <v>185</v>
      </c>
      <c r="M26" s="571">
        <f>+M234+M236+M238+M240</f>
        <v>388</v>
      </c>
      <c r="N26" s="570">
        <f t="shared" si="10"/>
        <v>119</v>
      </c>
      <c r="O26" s="570">
        <f t="shared" si="10"/>
        <v>122</v>
      </c>
      <c r="P26" s="570">
        <f t="shared" si="10"/>
        <v>106</v>
      </c>
      <c r="Q26" s="570">
        <f t="shared" si="10"/>
        <v>507</v>
      </c>
      <c r="R26" s="571">
        <f t="shared" si="10"/>
        <v>855</v>
      </c>
      <c r="S26" s="570">
        <f t="shared" si="10"/>
        <v>121</v>
      </c>
      <c r="T26" s="570">
        <f t="shared" si="10"/>
        <v>111.66666666666667</v>
      </c>
      <c r="U26" s="570">
        <f t="shared" si="10"/>
        <v>111.66666666666667</v>
      </c>
      <c r="V26" s="570">
        <f t="shared" si="10"/>
        <v>-115.56383995098052</v>
      </c>
      <c r="W26" s="572">
        <f t="shared" si="10"/>
        <v>228.76949338235286</v>
      </c>
      <c r="X26" s="570">
        <f t="shared" si="10"/>
        <v>68.75</v>
      </c>
      <c r="Y26" s="570">
        <f t="shared" si="10"/>
        <v>68.75</v>
      </c>
      <c r="Z26" s="570">
        <f t="shared" si="10"/>
        <v>68.75</v>
      </c>
      <c r="AA26" s="570">
        <f t="shared" si="10"/>
        <v>-31.249999999999943</v>
      </c>
      <c r="AB26" s="572">
        <f t="shared" si="10"/>
        <v>175.00000000000006</v>
      </c>
      <c r="AC26" s="570">
        <f t="shared" si="10"/>
        <v>0</v>
      </c>
      <c r="AD26" s="570">
        <f t="shared" si="10"/>
        <v>0</v>
      </c>
      <c r="AE26" s="570">
        <f t="shared" si="10"/>
        <v>0</v>
      </c>
      <c r="AF26" s="570">
        <f t="shared" si="10"/>
        <v>-55.00000000000005</v>
      </c>
      <c r="AG26" s="572">
        <f t="shared" si="10"/>
        <v>-55.00000000000005</v>
      </c>
      <c r="AH26" s="570">
        <f t="shared" si="10"/>
        <v>0</v>
      </c>
      <c r="AI26" s="570">
        <f t="shared" si="10"/>
        <v>0</v>
      </c>
      <c r="AJ26" s="570">
        <f t="shared" si="10"/>
        <v>0</v>
      </c>
      <c r="AK26" s="570">
        <f t="shared" si="10"/>
        <v>-55.00000000000005</v>
      </c>
      <c r="AL26" s="572">
        <f t="shared" si="10"/>
        <v>-55.00000000000005</v>
      </c>
      <c r="AM26" s="570">
        <f t="shared" si="10"/>
        <v>0</v>
      </c>
      <c r="AN26" s="570">
        <f t="shared" si="10"/>
        <v>0</v>
      </c>
      <c r="AO26" s="570">
        <f t="shared" si="10"/>
        <v>0</v>
      </c>
      <c r="AP26" s="570">
        <f t="shared" si="10"/>
        <v>-55.00000000000005</v>
      </c>
      <c r="AQ26" s="572">
        <f t="shared" si="10"/>
        <v>-55.00000000000005</v>
      </c>
    </row>
    <row r="27" spans="2:47" s="573" customFormat="1" outlineLevel="1" x14ac:dyDescent="0.3">
      <c r="B27" s="574" t="s">
        <v>359</v>
      </c>
      <c r="C27" s="575"/>
      <c r="D27" s="576">
        <f t="shared" ref="D27:AQ27" si="11">+D25+D26</f>
        <v>1144</v>
      </c>
      <c r="E27" s="576">
        <f t="shared" si="11"/>
        <v>1137</v>
      </c>
      <c r="F27" s="576">
        <f t="shared" si="11"/>
        <v>864</v>
      </c>
      <c r="G27" s="576">
        <f t="shared" si="11"/>
        <v>-68</v>
      </c>
      <c r="H27" s="577">
        <f t="shared" si="11"/>
        <v>3077</v>
      </c>
      <c r="I27" s="576">
        <f t="shared" si="11"/>
        <v>1219.5</v>
      </c>
      <c r="J27" s="576">
        <f t="shared" si="11"/>
        <v>1112.5</v>
      </c>
      <c r="K27" s="576">
        <f t="shared" si="11"/>
        <v>990</v>
      </c>
      <c r="L27" s="576">
        <f t="shared" si="11"/>
        <v>1632</v>
      </c>
      <c r="M27" s="577">
        <f>+M25+M26</f>
        <v>4954</v>
      </c>
      <c r="N27" s="576">
        <f t="shared" si="11"/>
        <v>1090</v>
      </c>
      <c r="O27" s="576">
        <f t="shared" si="11"/>
        <v>1237</v>
      </c>
      <c r="P27" s="576">
        <f t="shared" si="11"/>
        <v>964</v>
      </c>
      <c r="Q27" s="576">
        <f t="shared" si="11"/>
        <v>1835.1257859999969</v>
      </c>
      <c r="R27" s="577">
        <f t="shared" si="11"/>
        <v>5127.1257859999969</v>
      </c>
      <c r="S27" s="576">
        <f>+S25+S26</f>
        <v>1192</v>
      </c>
      <c r="T27" s="576">
        <f t="shared" si="11"/>
        <v>1421.540888468963</v>
      </c>
      <c r="U27" s="576">
        <f t="shared" si="11"/>
        <v>1373.7647260697183</v>
      </c>
      <c r="V27" s="576">
        <f t="shared" si="11"/>
        <v>2167.7568618330993</v>
      </c>
      <c r="W27" s="578">
        <f t="shared" si="11"/>
        <v>6155.0624763717951</v>
      </c>
      <c r="X27" s="576">
        <f t="shared" si="11"/>
        <v>1592.8491900763365</v>
      </c>
      <c r="Y27" s="576">
        <f t="shared" si="11"/>
        <v>1636.7097717072429</v>
      </c>
      <c r="Z27" s="576">
        <f t="shared" si="11"/>
        <v>1538.918861771006</v>
      </c>
      <c r="AA27" s="576">
        <f t="shared" si="11"/>
        <v>2496.1320273222045</v>
      </c>
      <c r="AB27" s="578">
        <f t="shared" si="11"/>
        <v>7264.60985087679</v>
      </c>
      <c r="AC27" s="576">
        <f t="shared" si="11"/>
        <v>1826.5844528573289</v>
      </c>
      <c r="AD27" s="576">
        <f t="shared" si="11"/>
        <v>1852.6696703236448</v>
      </c>
      <c r="AE27" s="576">
        <f t="shared" si="11"/>
        <v>1767.6204050068845</v>
      </c>
      <c r="AF27" s="576">
        <f t="shared" si="11"/>
        <v>2793.783196997756</v>
      </c>
      <c r="AG27" s="578">
        <f t="shared" si="11"/>
        <v>8240.6577251856215</v>
      </c>
      <c r="AH27" s="576">
        <f t="shared" si="11"/>
        <v>1820.1910095013627</v>
      </c>
      <c r="AI27" s="576">
        <f t="shared" si="11"/>
        <v>1818.4533960752997</v>
      </c>
      <c r="AJ27" s="576">
        <f t="shared" si="11"/>
        <v>1736.8165128546716</v>
      </c>
      <c r="AK27" s="576">
        <f t="shared" si="11"/>
        <v>2810.8459288509694</v>
      </c>
      <c r="AL27" s="578">
        <f t="shared" si="11"/>
        <v>8186.3068472822924</v>
      </c>
      <c r="AM27" s="576">
        <f t="shared" si="11"/>
        <v>1829.0526928317522</v>
      </c>
      <c r="AN27" s="576">
        <f t="shared" si="11"/>
        <v>1797.8350694802866</v>
      </c>
      <c r="AO27" s="576">
        <f t="shared" si="11"/>
        <v>1719.7321788836307</v>
      </c>
      <c r="AP27" s="576">
        <f t="shared" si="11"/>
        <v>2836.0213705123278</v>
      </c>
      <c r="AQ27" s="578">
        <f t="shared" si="11"/>
        <v>8182.6413117080083</v>
      </c>
    </row>
    <row r="28" spans="2:47" x14ac:dyDescent="0.3">
      <c r="B28" s="100" t="s">
        <v>165</v>
      </c>
      <c r="C28" s="102"/>
      <c r="D28" s="114"/>
      <c r="E28" s="114"/>
      <c r="F28" s="114"/>
      <c r="G28" s="114"/>
      <c r="H28" s="115"/>
      <c r="I28" s="114"/>
      <c r="J28" s="114"/>
      <c r="K28" s="114"/>
      <c r="L28" s="114"/>
      <c r="M28" s="115"/>
      <c r="N28" s="114"/>
      <c r="O28" s="114"/>
      <c r="P28" s="114"/>
      <c r="Q28" s="114"/>
      <c r="R28" s="115"/>
      <c r="S28" s="536"/>
      <c r="T28" s="114"/>
      <c r="U28" s="114"/>
      <c r="V28" s="114"/>
      <c r="W28" s="113"/>
      <c r="X28" s="114"/>
      <c r="Y28" s="114"/>
      <c r="Z28" s="114"/>
      <c r="AA28" s="114"/>
      <c r="AB28" s="113"/>
      <c r="AC28" s="114"/>
      <c r="AD28" s="114"/>
      <c r="AE28" s="114"/>
      <c r="AF28" s="114"/>
      <c r="AG28" s="113"/>
      <c r="AH28" s="114"/>
      <c r="AI28" s="114"/>
      <c r="AJ28" s="114"/>
      <c r="AK28" s="114"/>
      <c r="AL28" s="113"/>
      <c r="AM28" s="114"/>
      <c r="AN28" s="114"/>
      <c r="AO28" s="114"/>
      <c r="AP28" s="114"/>
      <c r="AQ28" s="113"/>
    </row>
    <row r="29" spans="2:47" outlineLevel="1" x14ac:dyDescent="0.3">
      <c r="B29" s="696" t="s">
        <v>340</v>
      </c>
      <c r="C29" s="697"/>
      <c r="D29" s="105"/>
      <c r="E29" s="105"/>
      <c r="F29" s="105"/>
      <c r="G29" s="105"/>
      <c r="H29" s="117">
        <v>-336</v>
      </c>
      <c r="I29" s="105"/>
      <c r="J29" s="105"/>
      <c r="K29" s="105"/>
      <c r="L29" s="105"/>
      <c r="M29" s="117">
        <v>-512</v>
      </c>
      <c r="N29" s="105"/>
      <c r="O29" s="105"/>
      <c r="P29" s="105"/>
      <c r="Q29" s="105"/>
      <c r="R29" s="117">
        <v>-558</v>
      </c>
      <c r="S29" s="105">
        <v>-203</v>
      </c>
      <c r="T29" s="105">
        <f>+(S260+S261+S266)*T226/4</f>
        <v>-148.26000000000002</v>
      </c>
      <c r="U29" s="105">
        <f>+(T260+T261+T266)*U226/4</f>
        <v>-153.21419831781012</v>
      </c>
      <c r="V29" s="105">
        <f>+(U260+U261+U266)*V226/4</f>
        <v>-157.86450944456934</v>
      </c>
      <c r="W29" s="99">
        <f>SUM(S29:V29)</f>
        <v>-662.33870776237939</v>
      </c>
      <c r="X29" s="105">
        <f>+(V260+V261+V266)*X226/4</f>
        <v>-180.00922165148566</v>
      </c>
      <c r="Y29" s="105">
        <f>+(X260+X261+X266)*Y226/4</f>
        <v>-185.60661526164074</v>
      </c>
      <c r="Z29" s="105">
        <f>+(Y260+Y261+Y266)*Z226/4</f>
        <v>-192.15511280968857</v>
      </c>
      <c r="AA29" s="105">
        <f>+(Z260+Z261+Z266)*AA226/4</f>
        <v>-198.1070185253804</v>
      </c>
      <c r="AB29" s="99">
        <f>SUM(X29:AA29)</f>
        <v>-755.87796824819543</v>
      </c>
      <c r="AC29" s="105">
        <f>+(AA260+AA261+AA266)*AC226/4</f>
        <v>-207.4312852136909</v>
      </c>
      <c r="AD29" s="105">
        <f>+(AC260+AC261+AC266)*AD226/4</f>
        <v>-214.81323219595572</v>
      </c>
      <c r="AE29" s="105">
        <f>+(AD260+AD261+AD266)*AE226/4</f>
        <v>-222.47757674912</v>
      </c>
      <c r="AF29" s="105">
        <f>+(AE260+AE261+AE266)*AF226/4</f>
        <v>-229.61174966914876</v>
      </c>
      <c r="AG29" s="99">
        <f>SUM(AC29:AF29)</f>
        <v>-874.33384382791542</v>
      </c>
      <c r="AH29" s="105">
        <f>+(AF260+AF261+AF266)*AH226/4</f>
        <v>-240.21631968553677</v>
      </c>
      <c r="AI29" s="105">
        <f>+(AH260+AH261+AH266)*AI226/4</f>
        <v>-246.25198894592566</v>
      </c>
      <c r="AJ29" s="105">
        <f>+(AI260+AI261+AI266)*AJ226/4</f>
        <v>-252.35728690135034</v>
      </c>
      <c r="AK29" s="105">
        <f>+(AJ260+AJ261+AJ266)*AK226/4</f>
        <v>-258.06480999151233</v>
      </c>
      <c r="AL29" s="99">
        <f>SUM(AH29:AK29)</f>
        <v>-996.89040552432505</v>
      </c>
      <c r="AM29" s="105">
        <f>+(AK260+AK261+AK266)*AM226/4</f>
        <v>-268.75557570378368</v>
      </c>
      <c r="AN29" s="105">
        <f>+(AM260+AM261+AM266)*AN226/4</f>
        <v>-274.81209947161744</v>
      </c>
      <c r="AO29" s="105">
        <f>+(AN260+AN261+AN266)*AO226/4</f>
        <v>-280.79869668185955</v>
      </c>
      <c r="AP29" s="105">
        <f>+(AO260+AO261+AO266)*AP226/4</f>
        <v>-286.45540065298991</v>
      </c>
      <c r="AQ29" s="99">
        <f>SUM(AM29:AP29)</f>
        <v>-1110.8217725102506</v>
      </c>
    </row>
    <row r="30" spans="2:47" ht="16.2" outlineLevel="1" x14ac:dyDescent="0.45">
      <c r="B30" s="308" t="s">
        <v>341</v>
      </c>
      <c r="C30" s="309"/>
      <c r="D30" s="105"/>
      <c r="E30" s="105"/>
      <c r="F30" s="105"/>
      <c r="G30" s="105"/>
      <c r="H30" s="158">
        <v>21</v>
      </c>
      <c r="I30" s="105"/>
      <c r="J30" s="105"/>
      <c r="K30" s="105"/>
      <c r="L30" s="105"/>
      <c r="M30" s="158">
        <v>33</v>
      </c>
      <c r="N30" s="105"/>
      <c r="O30" s="105"/>
      <c r="P30" s="105"/>
      <c r="Q30" s="105"/>
      <c r="R30" s="158">
        <v>48</v>
      </c>
      <c r="S30" s="247">
        <v>91</v>
      </c>
      <c r="T30" s="106">
        <f>+(S247)*T225/4</f>
        <v>7.6996588044999896</v>
      </c>
      <c r="U30" s="106">
        <f>+(T247)*U225/4</f>
        <v>9.3105659016409188</v>
      </c>
      <c r="V30" s="106">
        <f>+(U247)*V225/4</f>
        <v>9.3626633366612726</v>
      </c>
      <c r="W30" s="104">
        <f>SUM(S30:V30)</f>
        <v>117.37288804280217</v>
      </c>
      <c r="X30" s="106">
        <f>+(V247)*X225/4</f>
        <v>36.856307226024683</v>
      </c>
      <c r="Y30" s="106">
        <f>+(X247)*Y225/4</f>
        <v>40.93914979336877</v>
      </c>
      <c r="Z30" s="106">
        <f>+(Y247)*Z225/4</f>
        <v>45.693533559604091</v>
      </c>
      <c r="AA30" s="106">
        <f>+(Z247)*AA225/4</f>
        <v>49.412412122801882</v>
      </c>
      <c r="AB30" s="104">
        <f>SUM(X30:AA30)</f>
        <v>172.90140270179944</v>
      </c>
      <c r="AC30" s="106">
        <f>+(AA247)*AC225/4</f>
        <v>55.897773592302499</v>
      </c>
      <c r="AD30" s="106">
        <f>+(AC247)*AD225/4</f>
        <v>60.909330583294121</v>
      </c>
      <c r="AE30" s="106">
        <f>+(AD247)*AE225/4</f>
        <v>67.01233088099508</v>
      </c>
      <c r="AF30" s="106">
        <f>+(AE247)*AF225/4</f>
        <v>70.710201942061474</v>
      </c>
      <c r="AG30" s="104">
        <f>SUM(AC30:AF30)</f>
        <v>254.52963699865319</v>
      </c>
      <c r="AH30" s="106">
        <f>+(AF247)*AH225/4</f>
        <v>77.854332815999385</v>
      </c>
      <c r="AI30" s="106">
        <f>+(AH247)*AI225/4</f>
        <v>81.986838961824105</v>
      </c>
      <c r="AJ30" s="106">
        <f>+(AI247)*AJ225/4</f>
        <v>86.724157182556809</v>
      </c>
      <c r="AK30" s="106">
        <f>+(AJ247)*AK225/4</f>
        <v>89.433712871937743</v>
      </c>
      <c r="AL30" s="104">
        <f>SUM(AH30:AK30)</f>
        <v>335.99904183231803</v>
      </c>
      <c r="AM30" s="106">
        <f>+(AK247)*AM225/4</f>
        <v>96.484369965892441</v>
      </c>
      <c r="AN30" s="106">
        <f>+(AM247)*AN225/4</f>
        <v>100.66487080316216</v>
      </c>
      <c r="AO30" s="106">
        <f>+(AN247)*AO225/4</f>
        <v>105.44908309834594</v>
      </c>
      <c r="AP30" s="106">
        <f>+(AO247)*AP225/4</f>
        <v>108.02399417235026</v>
      </c>
      <c r="AQ30" s="104">
        <f>SUM(AM30:AP30)</f>
        <v>410.62231803975078</v>
      </c>
      <c r="AU30" s="544"/>
    </row>
    <row r="31" spans="2:47" s="60" customFormat="1" outlineLevel="1" x14ac:dyDescent="0.3">
      <c r="B31" s="275" t="s">
        <v>342</v>
      </c>
      <c r="C31" s="301"/>
      <c r="D31" s="114">
        <v>-63</v>
      </c>
      <c r="E31" s="114">
        <v>-74</v>
      </c>
      <c r="F31" s="114">
        <v>-81</v>
      </c>
      <c r="G31" s="114">
        <v>-97</v>
      </c>
      <c r="H31" s="115">
        <f>SUM(H29:H30)</f>
        <v>-315</v>
      </c>
      <c r="I31" s="114">
        <v>-113</v>
      </c>
      <c r="J31" s="114">
        <v>-119</v>
      </c>
      <c r="K31" s="114">
        <v>-122</v>
      </c>
      <c r="L31" s="114">
        <v>-125</v>
      </c>
      <c r="M31" s="115">
        <f>SUM(M29:M30)</f>
        <v>-479</v>
      </c>
      <c r="N31" s="114">
        <v>-114</v>
      </c>
      <c r="O31" s="114">
        <v>-124</v>
      </c>
      <c r="P31" s="114">
        <v>-125</v>
      </c>
      <c r="Q31" s="114">
        <v>-147</v>
      </c>
      <c r="R31" s="115">
        <f>SUM(R29:R30)</f>
        <v>-510</v>
      </c>
      <c r="S31" s="114">
        <f>SUM(S29:S30)</f>
        <v>-112</v>
      </c>
      <c r="T31" s="114">
        <f t="shared" ref="T31:AQ31" si="12">SUM(T29:T30)</f>
        <v>-140.56034119550003</v>
      </c>
      <c r="U31" s="114">
        <f t="shared" si="12"/>
        <v>-143.90363241616919</v>
      </c>
      <c r="V31" s="114">
        <f t="shared" si="12"/>
        <v>-148.50184610790805</v>
      </c>
      <c r="W31" s="113">
        <f t="shared" si="12"/>
        <v>-544.96581971957721</v>
      </c>
      <c r="X31" s="114">
        <f t="shared" si="12"/>
        <v>-143.15291442546098</v>
      </c>
      <c r="Y31" s="114">
        <f t="shared" si="12"/>
        <v>-144.66746546827198</v>
      </c>
      <c r="Z31" s="114">
        <f t="shared" si="12"/>
        <v>-146.46157925008447</v>
      </c>
      <c r="AA31" s="114">
        <f t="shared" si="12"/>
        <v>-148.69460640257853</v>
      </c>
      <c r="AB31" s="113">
        <f t="shared" si="12"/>
        <v>-582.97656554639593</v>
      </c>
      <c r="AC31" s="114">
        <f t="shared" si="12"/>
        <v>-151.53351162138841</v>
      </c>
      <c r="AD31" s="114">
        <f t="shared" si="12"/>
        <v>-153.9039016126616</v>
      </c>
      <c r="AE31" s="114">
        <f t="shared" si="12"/>
        <v>-155.46524586812492</v>
      </c>
      <c r="AF31" s="114">
        <f t="shared" si="12"/>
        <v>-158.90154772708729</v>
      </c>
      <c r="AG31" s="113">
        <f t="shared" si="12"/>
        <v>-619.80420682926228</v>
      </c>
      <c r="AH31" s="114">
        <f t="shared" si="12"/>
        <v>-162.36198686953739</v>
      </c>
      <c r="AI31" s="114">
        <f t="shared" si="12"/>
        <v>-164.26514998410155</v>
      </c>
      <c r="AJ31" s="114">
        <f t="shared" si="12"/>
        <v>-165.63312971879353</v>
      </c>
      <c r="AK31" s="114">
        <f t="shared" si="12"/>
        <v>-168.63109711957458</v>
      </c>
      <c r="AL31" s="113">
        <f t="shared" si="12"/>
        <v>-660.89136369200696</v>
      </c>
      <c r="AM31" s="114">
        <f t="shared" si="12"/>
        <v>-172.27120573789125</v>
      </c>
      <c r="AN31" s="114">
        <f t="shared" si="12"/>
        <v>-174.14722866845528</v>
      </c>
      <c r="AO31" s="114">
        <f t="shared" si="12"/>
        <v>-175.34961358351362</v>
      </c>
      <c r="AP31" s="114">
        <f t="shared" si="12"/>
        <v>-178.43140648063965</v>
      </c>
      <c r="AQ31" s="113">
        <f t="shared" si="12"/>
        <v>-700.19945447049986</v>
      </c>
      <c r="AU31" s="545"/>
    </row>
    <row r="32" spans="2:47" outlineLevel="1" x14ac:dyDescent="0.3">
      <c r="B32" s="696" t="s">
        <v>519</v>
      </c>
      <c r="C32" s="697"/>
      <c r="D32" s="105"/>
      <c r="E32" s="105"/>
      <c r="F32" s="105"/>
      <c r="G32" s="105"/>
      <c r="H32" s="117">
        <f>SUM(D32:G32)</f>
        <v>0</v>
      </c>
      <c r="I32" s="105">
        <v>112</v>
      </c>
      <c r="J32" s="105">
        <v>112</v>
      </c>
      <c r="K32" s="105">
        <v>113</v>
      </c>
      <c r="L32" s="105">
        <v>134</v>
      </c>
      <c r="M32" s="117">
        <f>SUM(I32:L32)</f>
        <v>471</v>
      </c>
      <c r="N32" s="105">
        <v>146</v>
      </c>
      <c r="O32" s="105">
        <v>147</v>
      </c>
      <c r="P32" s="105">
        <v>143</v>
      </c>
      <c r="Q32" s="105">
        <v>162</v>
      </c>
      <c r="R32" s="117">
        <f>SUM(N32:Q32)</f>
        <v>598</v>
      </c>
      <c r="S32" s="105">
        <v>158</v>
      </c>
      <c r="T32" s="249">
        <f>AVERAGE(S32,Q32,P32,O32)</f>
        <v>152.5</v>
      </c>
      <c r="U32" s="249">
        <f>AVERAGE(T32,S32,Q32,P32)</f>
        <v>153.875</v>
      </c>
      <c r="V32" s="249">
        <f>AVERAGE(U32,T32,S32,Q32)</f>
        <v>156.59375</v>
      </c>
      <c r="W32" s="117">
        <f>SUM(S32:V32)</f>
        <v>620.96875</v>
      </c>
      <c r="X32" s="249">
        <f>AVERAGE(V32,U32,T32,S32)</f>
        <v>155.2421875</v>
      </c>
      <c r="Y32" s="249">
        <f>AVERAGE(X32,V32,U32,T32)</f>
        <v>154.552734375</v>
      </c>
      <c r="Z32" s="249">
        <f>AVERAGE(Y32,X32,V32,U32)</f>
        <v>155.06591796875</v>
      </c>
      <c r="AA32" s="249">
        <f>AVERAGE(Z32,Y32,X32,V32)</f>
        <v>155.3636474609375</v>
      </c>
      <c r="AB32" s="117">
        <f>SUM(X32:AA32)</f>
        <v>620.2244873046875</v>
      </c>
      <c r="AC32" s="249">
        <f>AVERAGE(AA32,Z32,Y32,X32)</f>
        <v>155.05612182617188</v>
      </c>
      <c r="AD32" s="249">
        <f>AVERAGE(AC32,AA32,Z32,Y32)</f>
        <v>155.00960540771484</v>
      </c>
      <c r="AE32" s="249">
        <f>AVERAGE(AD32,AC32,AA32,Z32)</f>
        <v>155.12382316589355</v>
      </c>
      <c r="AF32" s="249">
        <f>AVERAGE(AE32,AD32,AC32,AA32)</f>
        <v>155.13829946517944</v>
      </c>
      <c r="AG32" s="117">
        <f>SUM(AC32:AF32)</f>
        <v>620.32784986495972</v>
      </c>
      <c r="AH32" s="249">
        <f>AVERAGE(AF32,AE32,AD32,AC32)</f>
        <v>155.08196246623993</v>
      </c>
      <c r="AI32" s="249">
        <f>AVERAGE(AH32,AF32,AE32,AD32)</f>
        <v>155.08842262625694</v>
      </c>
      <c r="AJ32" s="249">
        <f>AVERAGE(AI32,AH32,AF32,AE32)</f>
        <v>155.10812693089247</v>
      </c>
      <c r="AK32" s="249">
        <f>AVERAGE(AJ32,AI32,AH32,AF32)</f>
        <v>155.1042028721422</v>
      </c>
      <c r="AL32" s="117">
        <f>SUM(AH32:AK32)</f>
        <v>620.38271489553154</v>
      </c>
      <c r="AM32" s="249">
        <f>AVERAGE(AK32,AJ32,AI32,AH32)</f>
        <v>155.09567872388288</v>
      </c>
      <c r="AN32" s="249">
        <f>AVERAGE(AM32,AK32,AJ32,AI32)</f>
        <v>155.09910778829362</v>
      </c>
      <c r="AO32" s="249">
        <f>AVERAGE(AN32,AM32,AK32,AJ32)</f>
        <v>155.10177907880279</v>
      </c>
      <c r="AP32" s="249">
        <f>AVERAGE(AO32,AN32,AM32,AK32)</f>
        <v>155.10019211578037</v>
      </c>
      <c r="AQ32" s="117">
        <f>SUM(AM32:AP32)</f>
        <v>620.39675770675967</v>
      </c>
    </row>
    <row r="33" spans="1:43" ht="16.2" outlineLevel="1" x14ac:dyDescent="0.45">
      <c r="B33" s="696" t="s">
        <v>166</v>
      </c>
      <c r="C33" s="697"/>
      <c r="D33" s="106">
        <v>3</v>
      </c>
      <c r="E33" s="106">
        <v>-8</v>
      </c>
      <c r="F33" s="106">
        <v>-1</v>
      </c>
      <c r="G33" s="106">
        <v>-16</v>
      </c>
      <c r="H33" s="158">
        <f>SUM(D33:G33)</f>
        <v>-22</v>
      </c>
      <c r="I33" s="106">
        <v>-9</v>
      </c>
      <c r="J33" s="106">
        <v>30</v>
      </c>
      <c r="K33" s="106">
        <v>-4</v>
      </c>
      <c r="L33" s="106">
        <v>4</v>
      </c>
      <c r="M33" s="158">
        <f>SUM(I33:L33)</f>
        <v>21</v>
      </c>
      <c r="N33" s="106">
        <v>-21</v>
      </c>
      <c r="O33" s="106">
        <v>1</v>
      </c>
      <c r="P33" s="106">
        <v>-2</v>
      </c>
      <c r="Q33" s="204">
        <v>15</v>
      </c>
      <c r="R33" s="158">
        <f>SUM(N33:Q33)</f>
        <v>-7</v>
      </c>
      <c r="S33" s="204">
        <v>-16</v>
      </c>
      <c r="T33" s="224">
        <v>-2</v>
      </c>
      <c r="U33" s="224">
        <v>-5</v>
      </c>
      <c r="V33" s="224">
        <v>-1</v>
      </c>
      <c r="W33" s="104">
        <f>SUM(S33:V33)</f>
        <v>-24</v>
      </c>
      <c r="X33" s="224">
        <f>AVERAGE(V33,U33,T33,S33)</f>
        <v>-6</v>
      </c>
      <c r="Y33" s="224">
        <f>AVERAGE(X33,V33,U33,T33)</f>
        <v>-3.5</v>
      </c>
      <c r="Z33" s="224">
        <f>AVERAGE(Y33,X33,V33,U33)</f>
        <v>-3.875</v>
      </c>
      <c r="AA33" s="224">
        <f>AVERAGE(Z33,Y33,X33,V33)</f>
        <v>-3.59375</v>
      </c>
      <c r="AB33" s="104">
        <f>SUM(X33:AA33)</f>
        <v>-16.96875</v>
      </c>
      <c r="AC33" s="224">
        <f>AVERAGE(AA33,Z33,Y33,X33)</f>
        <v>-4.2421875</v>
      </c>
      <c r="AD33" s="224">
        <f>AVERAGE(AC33,AA33,Z33,Y33)</f>
        <v>-3.802734375</v>
      </c>
      <c r="AE33" s="224">
        <f>AVERAGE(AD33,AC33,AA33,Z33)</f>
        <v>-3.87841796875</v>
      </c>
      <c r="AF33" s="224">
        <f>AVERAGE(AE33,AD33,AC33,AA33)</f>
        <v>-3.8792724609375</v>
      </c>
      <c r="AG33" s="104">
        <f>SUM(AC33:AF33)</f>
        <v>-15.8026123046875</v>
      </c>
      <c r="AH33" s="224">
        <f>AVERAGE(AF33,AE33,AD33,AC33)</f>
        <v>-3.950653076171875</v>
      </c>
      <c r="AI33" s="224">
        <f>AVERAGE(AH33,AF33,AE33,AD33)</f>
        <v>-3.8777694702148438</v>
      </c>
      <c r="AJ33" s="224">
        <f>AVERAGE(AI33,AH33,AF33,AE33)</f>
        <v>-3.8965282440185547</v>
      </c>
      <c r="AK33" s="224">
        <f>AVERAGE(AJ33,AI33,AH33,AF33)</f>
        <v>-3.9010558128356934</v>
      </c>
      <c r="AL33" s="104">
        <f>SUM(AH33:AK33)</f>
        <v>-15.626006603240967</v>
      </c>
      <c r="AM33" s="224">
        <f>AVERAGE(AK33,AJ33,AI33,AH33)</f>
        <v>-3.9065016508102417</v>
      </c>
      <c r="AN33" s="224">
        <f>AVERAGE(AM33,AK33,AJ33,AI33)</f>
        <v>-3.8954637944698334</v>
      </c>
      <c r="AO33" s="224">
        <f>AVERAGE(AN33,AM33,AK33,AJ33)</f>
        <v>-3.8998873755335808</v>
      </c>
      <c r="AP33" s="224">
        <f>AVERAGE(AO33,AN33,AM33,AK33)</f>
        <v>-3.9007271584123373</v>
      </c>
      <c r="AQ33" s="104">
        <f>SUM(AM33:AP33)</f>
        <v>-15.602579979225993</v>
      </c>
    </row>
    <row r="34" spans="1:43" ht="16.2" x14ac:dyDescent="0.45">
      <c r="B34" s="291" t="s">
        <v>88</v>
      </c>
      <c r="C34" s="290"/>
      <c r="D34" s="106">
        <f t="shared" ref="D34:G34" si="13">SUM(D31:D33)</f>
        <v>-60</v>
      </c>
      <c r="E34" s="106">
        <f t="shared" si="13"/>
        <v>-82</v>
      </c>
      <c r="F34" s="106">
        <f t="shared" si="13"/>
        <v>-82</v>
      </c>
      <c r="G34" s="106">
        <f t="shared" si="13"/>
        <v>-113</v>
      </c>
      <c r="H34" s="158">
        <f t="shared" ref="H34:AQ34" si="14">SUM(H31:H33)</f>
        <v>-337</v>
      </c>
      <c r="I34" s="106">
        <f t="shared" si="14"/>
        <v>-10</v>
      </c>
      <c r="J34" s="106">
        <f t="shared" si="14"/>
        <v>23</v>
      </c>
      <c r="K34" s="106">
        <f t="shared" si="14"/>
        <v>-13</v>
      </c>
      <c r="L34" s="106">
        <f t="shared" si="14"/>
        <v>13</v>
      </c>
      <c r="M34" s="158">
        <f t="shared" si="14"/>
        <v>13</v>
      </c>
      <c r="N34" s="106">
        <f t="shared" si="14"/>
        <v>11</v>
      </c>
      <c r="O34" s="106">
        <f t="shared" si="14"/>
        <v>24</v>
      </c>
      <c r="P34" s="106">
        <f t="shared" si="14"/>
        <v>16</v>
      </c>
      <c r="Q34" s="106">
        <f t="shared" si="14"/>
        <v>30</v>
      </c>
      <c r="R34" s="158">
        <f t="shared" si="14"/>
        <v>81</v>
      </c>
      <c r="S34" s="106">
        <f>SUM(S31:S33)</f>
        <v>30</v>
      </c>
      <c r="T34" s="103">
        <f>SUM(T31:T33)</f>
        <v>9.9396588044999703</v>
      </c>
      <c r="U34" s="103">
        <f t="shared" si="14"/>
        <v>4.971367583830812</v>
      </c>
      <c r="V34" s="103">
        <f t="shared" si="14"/>
        <v>7.091903892091949</v>
      </c>
      <c r="W34" s="104">
        <f t="shared" si="14"/>
        <v>52.002930280422788</v>
      </c>
      <c r="X34" s="103">
        <f t="shared" si="14"/>
        <v>6.0892730745390224</v>
      </c>
      <c r="Y34" s="103">
        <f t="shared" si="14"/>
        <v>6.3852689067280153</v>
      </c>
      <c r="Z34" s="103">
        <f t="shared" si="14"/>
        <v>4.7293387186655309</v>
      </c>
      <c r="AA34" s="103">
        <f t="shared" si="14"/>
        <v>3.075291058358971</v>
      </c>
      <c r="AB34" s="104">
        <f t="shared" si="14"/>
        <v>20.279171758291568</v>
      </c>
      <c r="AC34" s="103">
        <f t="shared" si="14"/>
        <v>-0.71957729521653846</v>
      </c>
      <c r="AD34" s="103">
        <f t="shared" si="14"/>
        <v>-2.6970305799467553</v>
      </c>
      <c r="AE34" s="103">
        <f t="shared" si="14"/>
        <v>-4.2198406709813696</v>
      </c>
      <c r="AF34" s="103">
        <f t="shared" si="14"/>
        <v>-7.6425207228453473</v>
      </c>
      <c r="AG34" s="104">
        <f t="shared" si="14"/>
        <v>-15.278969268990068</v>
      </c>
      <c r="AH34" s="103">
        <f t="shared" si="14"/>
        <v>-11.230677479469335</v>
      </c>
      <c r="AI34" s="103">
        <f t="shared" si="14"/>
        <v>-13.054496828059456</v>
      </c>
      <c r="AJ34" s="103">
        <f t="shared" si="14"/>
        <v>-14.421531031919613</v>
      </c>
      <c r="AK34" s="103">
        <f t="shared" si="14"/>
        <v>-17.427950060268074</v>
      </c>
      <c r="AL34" s="104">
        <f t="shared" si="14"/>
        <v>-56.134655399716394</v>
      </c>
      <c r="AM34" s="103">
        <f t="shared" si="14"/>
        <v>-21.082028664818608</v>
      </c>
      <c r="AN34" s="103">
        <f t="shared" si="14"/>
        <v>-22.943584674631495</v>
      </c>
      <c r="AO34" s="103">
        <f t="shared" si="14"/>
        <v>-24.147721880244404</v>
      </c>
      <c r="AP34" s="103">
        <f t="shared" si="14"/>
        <v>-27.231941523271615</v>
      </c>
      <c r="AQ34" s="104">
        <f t="shared" si="14"/>
        <v>-95.40527674296618</v>
      </c>
    </row>
    <row r="35" spans="1:43" x14ac:dyDescent="0.3">
      <c r="B35" s="678" t="s">
        <v>167</v>
      </c>
      <c r="C35" s="679"/>
      <c r="D35" s="114">
        <f t="shared" ref="D35:AQ35" si="15">D25+D34</f>
        <v>1084</v>
      </c>
      <c r="E35" s="114">
        <f t="shared" si="15"/>
        <v>1055</v>
      </c>
      <c r="F35" s="114">
        <f t="shared" si="15"/>
        <v>782</v>
      </c>
      <c r="G35" s="114">
        <f t="shared" si="15"/>
        <v>-181</v>
      </c>
      <c r="H35" s="115">
        <f t="shared" si="15"/>
        <v>2740</v>
      </c>
      <c r="I35" s="114">
        <f t="shared" si="15"/>
        <v>1142</v>
      </c>
      <c r="J35" s="114">
        <f t="shared" si="15"/>
        <v>1078</v>
      </c>
      <c r="K35" s="114">
        <f t="shared" si="15"/>
        <v>899</v>
      </c>
      <c r="L35" s="114">
        <f t="shared" si="15"/>
        <v>1460</v>
      </c>
      <c r="M35" s="115">
        <f t="shared" si="15"/>
        <v>4579</v>
      </c>
      <c r="N35" s="114">
        <f t="shared" si="15"/>
        <v>982</v>
      </c>
      <c r="O35" s="114">
        <f t="shared" si="15"/>
        <v>1139</v>
      </c>
      <c r="P35" s="114">
        <f t="shared" si="15"/>
        <v>874</v>
      </c>
      <c r="Q35" s="114">
        <f t="shared" si="15"/>
        <v>1358.1257859999969</v>
      </c>
      <c r="R35" s="115">
        <f t="shared" si="15"/>
        <v>4353.1257859999969</v>
      </c>
      <c r="S35" s="114">
        <f>S25+S34</f>
        <v>1101</v>
      </c>
      <c r="T35" s="112">
        <f t="shared" si="15"/>
        <v>1319.8138806067961</v>
      </c>
      <c r="U35" s="112">
        <f t="shared" si="15"/>
        <v>1267.0694269868825</v>
      </c>
      <c r="V35" s="112">
        <f t="shared" si="15"/>
        <v>2290.4126056761716</v>
      </c>
      <c r="W35" s="113">
        <f t="shared" si="15"/>
        <v>5978.2959132698652</v>
      </c>
      <c r="X35" s="112">
        <f t="shared" si="15"/>
        <v>1530.1884631508756</v>
      </c>
      <c r="Y35" s="112">
        <f t="shared" si="15"/>
        <v>1574.3450406139709</v>
      </c>
      <c r="Z35" s="112">
        <f t="shared" si="15"/>
        <v>1474.8982004896716</v>
      </c>
      <c r="AA35" s="112">
        <f t="shared" si="15"/>
        <v>2530.4573183805633</v>
      </c>
      <c r="AB35" s="113">
        <f t="shared" si="15"/>
        <v>7109.8890226350813</v>
      </c>
      <c r="AC35" s="112">
        <f t="shared" si="15"/>
        <v>1825.8648755621123</v>
      </c>
      <c r="AD35" s="112">
        <f t="shared" si="15"/>
        <v>1849.972639743698</v>
      </c>
      <c r="AE35" s="112">
        <f t="shared" si="15"/>
        <v>1763.4005643359033</v>
      </c>
      <c r="AF35" s="112">
        <f t="shared" si="15"/>
        <v>2841.1406762749107</v>
      </c>
      <c r="AG35" s="113">
        <f t="shared" si="15"/>
        <v>8280.3787559166321</v>
      </c>
      <c r="AH35" s="112">
        <f t="shared" si="15"/>
        <v>1808.9603320218935</v>
      </c>
      <c r="AI35" s="112">
        <f t="shared" si="15"/>
        <v>1805.3988992472403</v>
      </c>
      <c r="AJ35" s="112">
        <f t="shared" si="15"/>
        <v>1722.394981822752</v>
      </c>
      <c r="AK35" s="112">
        <f t="shared" si="15"/>
        <v>2848.4179787907015</v>
      </c>
      <c r="AL35" s="113">
        <f t="shared" si="15"/>
        <v>8185.172191882576</v>
      </c>
      <c r="AM35" s="112">
        <f t="shared" si="15"/>
        <v>1807.9706641669336</v>
      </c>
      <c r="AN35" s="112">
        <f t="shared" si="15"/>
        <v>1774.8914848056552</v>
      </c>
      <c r="AO35" s="112">
        <f t="shared" si="15"/>
        <v>1695.5844570033862</v>
      </c>
      <c r="AP35" s="112">
        <f t="shared" si="15"/>
        <v>2863.7894289890564</v>
      </c>
      <c r="AQ35" s="113">
        <f t="shared" si="15"/>
        <v>8142.2360349650426</v>
      </c>
    </row>
    <row r="36" spans="1:43" s="563" customFormat="1" outlineLevel="1" x14ac:dyDescent="0.3">
      <c r="B36" s="564" t="s">
        <v>100</v>
      </c>
      <c r="C36" s="565"/>
      <c r="D36" s="566">
        <f t="shared" ref="D36:AQ36" si="16">+D35+D310</f>
        <v>1732</v>
      </c>
      <c r="E36" s="566">
        <f t="shared" si="16"/>
        <v>1708</v>
      </c>
      <c r="F36" s="566">
        <f t="shared" si="16"/>
        <v>1445</v>
      </c>
      <c r="G36" s="566">
        <f t="shared" si="16"/>
        <v>486</v>
      </c>
      <c r="H36" s="567">
        <f t="shared" si="16"/>
        <v>5371</v>
      </c>
      <c r="I36" s="566">
        <f t="shared" si="16"/>
        <v>1881</v>
      </c>
      <c r="J36" s="566">
        <f t="shared" si="16"/>
        <v>1818</v>
      </c>
      <c r="K36" s="566">
        <f t="shared" si="16"/>
        <v>1661</v>
      </c>
      <c r="L36" s="566">
        <f t="shared" si="16"/>
        <v>2214</v>
      </c>
      <c r="M36" s="567">
        <f t="shared" si="16"/>
        <v>7574</v>
      </c>
      <c r="N36" s="566">
        <f t="shared" si="16"/>
        <v>1733</v>
      </c>
      <c r="O36" s="566">
        <f t="shared" si="16"/>
        <v>1895</v>
      </c>
      <c r="P36" s="566">
        <f t="shared" si="16"/>
        <v>1660</v>
      </c>
      <c r="Q36" s="566">
        <f t="shared" si="16"/>
        <v>2160.1257859999969</v>
      </c>
      <c r="R36" s="567">
        <f t="shared" si="16"/>
        <v>7448.1257859999969</v>
      </c>
      <c r="S36" s="566">
        <f t="shared" si="16"/>
        <v>1909</v>
      </c>
      <c r="T36" s="566">
        <f t="shared" si="16"/>
        <v>2063.3918225166017</v>
      </c>
      <c r="U36" s="566">
        <f t="shared" si="16"/>
        <v>2020.0910031674503</v>
      </c>
      <c r="V36" s="566">
        <f t="shared" si="16"/>
        <v>3062.8038771698366</v>
      </c>
      <c r="W36" s="567">
        <f t="shared" si="16"/>
        <v>9055.286702853904</v>
      </c>
      <c r="X36" s="566">
        <f t="shared" si="16"/>
        <v>2331.2068761014762</v>
      </c>
      <c r="Y36" s="566">
        <f t="shared" si="16"/>
        <v>2394.3466920980954</v>
      </c>
      <c r="Z36" s="566">
        <f t="shared" si="16"/>
        <v>2304.7866630232652</v>
      </c>
      <c r="AA36" s="566">
        <f t="shared" si="16"/>
        <v>3380.4589618035257</v>
      </c>
      <c r="AB36" s="567">
        <f t="shared" si="16"/>
        <v>10410.799193026362</v>
      </c>
      <c r="AC36" s="566">
        <f t="shared" si="16"/>
        <v>2705.98906639094</v>
      </c>
      <c r="AD36" s="566">
        <f t="shared" si="16"/>
        <v>2750.2931602315216</v>
      </c>
      <c r="AE36" s="566">
        <f t="shared" si="16"/>
        <v>2674.1450541446275</v>
      </c>
      <c r="AF36" s="566">
        <f t="shared" si="16"/>
        <v>3773.07677866018</v>
      </c>
      <c r="AG36" s="567">
        <f t="shared" si="16"/>
        <v>11903.504059427276</v>
      </c>
      <c r="AH36" s="566">
        <f t="shared" si="16"/>
        <v>2772.6956418397917</v>
      </c>
      <c r="AI36" s="566">
        <f t="shared" si="16"/>
        <v>2790.411290757505</v>
      </c>
      <c r="AJ36" s="566">
        <f t="shared" si="16"/>
        <v>2718.3701775919412</v>
      </c>
      <c r="AK36" s="566">
        <f t="shared" si="16"/>
        <v>3866.6603720887674</v>
      </c>
      <c r="AL36" s="567">
        <f t="shared" si="16"/>
        <v>12148.137482277994</v>
      </c>
      <c r="AM36" s="566">
        <f t="shared" si="16"/>
        <v>2859.6226282937969</v>
      </c>
      <c r="AN36" s="566">
        <f t="shared" si="16"/>
        <v>2848.8413093629265</v>
      </c>
      <c r="AO36" s="566">
        <f t="shared" si="16"/>
        <v>2781.0106865221896</v>
      </c>
      <c r="AP36" s="566">
        <f t="shared" si="16"/>
        <v>3972.5098003552012</v>
      </c>
      <c r="AQ36" s="567">
        <f t="shared" si="16"/>
        <v>12461.984424534125</v>
      </c>
    </row>
    <row r="37" spans="1:43" ht="16.2" x14ac:dyDescent="0.45">
      <c r="B37" s="628" t="s">
        <v>41</v>
      </c>
      <c r="C37" s="629"/>
      <c r="D37" s="106">
        <v>392</v>
      </c>
      <c r="E37" s="106">
        <v>364</v>
      </c>
      <c r="F37" s="106">
        <v>275</v>
      </c>
      <c r="G37" s="106">
        <v>-111</v>
      </c>
      <c r="H37" s="158">
        <f>SUM(D37:G37)</f>
        <v>920</v>
      </c>
      <c r="I37" s="106">
        <v>427</v>
      </c>
      <c r="J37" s="106">
        <v>378</v>
      </c>
      <c r="K37" s="106">
        <v>337</v>
      </c>
      <c r="L37" s="106">
        <v>440</v>
      </c>
      <c r="M37" s="158">
        <f>SUM(I37:L37)</f>
        <v>1582</v>
      </c>
      <c r="N37" s="106">
        <v>386</v>
      </c>
      <c r="O37" s="106">
        <v>364</v>
      </c>
      <c r="P37" s="106">
        <v>-1200</v>
      </c>
      <c r="Q37" s="106">
        <v>231</v>
      </c>
      <c r="R37" s="158">
        <f>SUM(N37:Q37)</f>
        <v>-219</v>
      </c>
      <c r="S37" s="106">
        <v>266</v>
      </c>
      <c r="T37" s="106">
        <f>T35*T224</f>
        <v>329.95347015169904</v>
      </c>
      <c r="U37" s="106">
        <f>U35*U224</f>
        <v>316.76735674672062</v>
      </c>
      <c r="V37" s="106">
        <f>V35*V224</f>
        <v>572.60315141904289</v>
      </c>
      <c r="W37" s="104">
        <f>SUM(S37:V37)</f>
        <v>1485.3239783174627</v>
      </c>
      <c r="X37" s="106">
        <f>X35*X224</f>
        <v>382.54711578771889</v>
      </c>
      <c r="Y37" s="106">
        <f>Y35*Y224</f>
        <v>393.58626015349273</v>
      </c>
      <c r="Z37" s="106">
        <f>Z35*Z224</f>
        <v>368.7245501224179</v>
      </c>
      <c r="AA37" s="106">
        <f>AA35*AA224</f>
        <v>632.61432959514082</v>
      </c>
      <c r="AB37" s="104">
        <f>SUM(X37:AA37)</f>
        <v>1777.4722556587703</v>
      </c>
      <c r="AC37" s="106">
        <f>AC35*AC224</f>
        <v>456.46621889052807</v>
      </c>
      <c r="AD37" s="106">
        <f>AD35*AD224</f>
        <v>462.4931599359245</v>
      </c>
      <c r="AE37" s="106">
        <f>AE35*AE224</f>
        <v>440.85014108397581</v>
      </c>
      <c r="AF37" s="106">
        <f>AF35*AF224</f>
        <v>710.28516906872767</v>
      </c>
      <c r="AG37" s="104">
        <f>SUM(AC37:AF37)</f>
        <v>2070.0946889791562</v>
      </c>
      <c r="AH37" s="106">
        <f>AH35*AH224</f>
        <v>452.24008300547337</v>
      </c>
      <c r="AI37" s="106">
        <f>AI35*AI224</f>
        <v>451.34972481181006</v>
      </c>
      <c r="AJ37" s="106">
        <f>AJ35*AJ224</f>
        <v>430.598745455688</v>
      </c>
      <c r="AK37" s="106">
        <f>AK35*AK224</f>
        <v>712.10449469767536</v>
      </c>
      <c r="AL37" s="104">
        <f>SUM(AH37:AK37)</f>
        <v>2046.2930479706467</v>
      </c>
      <c r="AM37" s="106">
        <f>AM35*AM224</f>
        <v>451.9926660417334</v>
      </c>
      <c r="AN37" s="106">
        <f>AN35*AN224</f>
        <v>443.7228712014138</v>
      </c>
      <c r="AO37" s="106">
        <f>AO35*AO224</f>
        <v>423.89611425084655</v>
      </c>
      <c r="AP37" s="106">
        <f>AP35*AP224</f>
        <v>715.94735724726411</v>
      </c>
      <c r="AQ37" s="104">
        <f>SUM(AM37:AP37)</f>
        <v>2035.5590087412579</v>
      </c>
    </row>
    <row r="38" spans="1:43" x14ac:dyDescent="0.3">
      <c r="A38" s="116"/>
      <c r="B38" s="678" t="s">
        <v>56</v>
      </c>
      <c r="C38" s="679"/>
      <c r="D38" s="114">
        <f t="shared" ref="D38:AQ38" si="17">+D35-D37</f>
        <v>692</v>
      </c>
      <c r="E38" s="114">
        <f t="shared" si="17"/>
        <v>691</v>
      </c>
      <c r="F38" s="114">
        <f t="shared" si="17"/>
        <v>507</v>
      </c>
      <c r="G38" s="114">
        <f t="shared" si="17"/>
        <v>-70</v>
      </c>
      <c r="H38" s="115">
        <f t="shared" si="17"/>
        <v>1820</v>
      </c>
      <c r="I38" s="114">
        <f t="shared" si="17"/>
        <v>715</v>
      </c>
      <c r="J38" s="114">
        <f t="shared" si="17"/>
        <v>700</v>
      </c>
      <c r="K38" s="114">
        <f t="shared" si="17"/>
        <v>562</v>
      </c>
      <c r="L38" s="114">
        <f t="shared" si="17"/>
        <v>1020</v>
      </c>
      <c r="M38" s="115">
        <f t="shared" si="17"/>
        <v>2997</v>
      </c>
      <c r="N38" s="114">
        <f t="shared" si="17"/>
        <v>596</v>
      </c>
      <c r="O38" s="114">
        <f t="shared" si="17"/>
        <v>775</v>
      </c>
      <c r="P38" s="114">
        <f t="shared" si="17"/>
        <v>2074</v>
      </c>
      <c r="Q38" s="114">
        <f t="shared" si="17"/>
        <v>1127.1257859999969</v>
      </c>
      <c r="R38" s="115">
        <f t="shared" si="17"/>
        <v>4572.1257859999969</v>
      </c>
      <c r="S38" s="114">
        <f t="shared" si="17"/>
        <v>835</v>
      </c>
      <c r="T38" s="112">
        <f t="shared" si="17"/>
        <v>989.86041045509705</v>
      </c>
      <c r="U38" s="112">
        <f t="shared" si="17"/>
        <v>950.30207024016181</v>
      </c>
      <c r="V38" s="112">
        <f t="shared" si="17"/>
        <v>1717.8094542571287</v>
      </c>
      <c r="W38" s="113">
        <f t="shared" si="17"/>
        <v>4492.9719349524021</v>
      </c>
      <c r="X38" s="112">
        <f t="shared" si="17"/>
        <v>1147.6413473631567</v>
      </c>
      <c r="Y38" s="112">
        <f t="shared" si="17"/>
        <v>1180.7587804604782</v>
      </c>
      <c r="Z38" s="112">
        <f t="shared" si="17"/>
        <v>1106.1736503672537</v>
      </c>
      <c r="AA38" s="112">
        <f t="shared" si="17"/>
        <v>1897.8429887854224</v>
      </c>
      <c r="AB38" s="113">
        <f t="shared" si="17"/>
        <v>5332.416766976311</v>
      </c>
      <c r="AC38" s="112">
        <f t="shared" si="17"/>
        <v>1369.3986566715841</v>
      </c>
      <c r="AD38" s="112">
        <f t="shared" si="17"/>
        <v>1387.4794798077735</v>
      </c>
      <c r="AE38" s="112">
        <f t="shared" si="17"/>
        <v>1322.5504232519274</v>
      </c>
      <c r="AF38" s="112">
        <f t="shared" si="17"/>
        <v>2130.8555072061831</v>
      </c>
      <c r="AG38" s="113">
        <f t="shared" si="17"/>
        <v>6210.2840669374764</v>
      </c>
      <c r="AH38" s="112">
        <f t="shared" si="17"/>
        <v>1356.72024901642</v>
      </c>
      <c r="AI38" s="112">
        <f t="shared" si="17"/>
        <v>1354.0491744354301</v>
      </c>
      <c r="AJ38" s="112">
        <f t="shared" si="17"/>
        <v>1291.796236367064</v>
      </c>
      <c r="AK38" s="112">
        <f t="shared" si="17"/>
        <v>2136.3134840930261</v>
      </c>
      <c r="AL38" s="113">
        <f t="shared" si="17"/>
        <v>6138.8791439119295</v>
      </c>
      <c r="AM38" s="112">
        <f t="shared" si="17"/>
        <v>1355.9779981252002</v>
      </c>
      <c r="AN38" s="112">
        <f t="shared" si="17"/>
        <v>1331.1686136042413</v>
      </c>
      <c r="AO38" s="112">
        <f t="shared" si="17"/>
        <v>1271.6883427525397</v>
      </c>
      <c r="AP38" s="112">
        <f t="shared" si="17"/>
        <v>2147.8420717417921</v>
      </c>
      <c r="AQ38" s="113">
        <f t="shared" si="17"/>
        <v>6106.6770262237842</v>
      </c>
    </row>
    <row r="39" spans="1:43" s="573" customFormat="1" ht="16.2" outlineLevel="1" x14ac:dyDescent="0.45">
      <c r="B39" s="568" t="s">
        <v>360</v>
      </c>
      <c r="C39" s="579"/>
      <c r="D39" s="580">
        <f t="shared" ref="D39:AQ39" si="18">+D235+D237+D239+D241+D242</f>
        <v>0</v>
      </c>
      <c r="E39" s="580">
        <f t="shared" si="18"/>
        <v>0</v>
      </c>
      <c r="F39" s="580">
        <f t="shared" si="18"/>
        <v>0</v>
      </c>
      <c r="G39" s="580">
        <f t="shared" si="18"/>
        <v>0</v>
      </c>
      <c r="H39" s="581">
        <f t="shared" si="18"/>
        <v>0</v>
      </c>
      <c r="I39" s="580">
        <f t="shared" si="18"/>
        <v>22.5</v>
      </c>
      <c r="J39" s="580">
        <f t="shared" si="18"/>
        <v>7.5</v>
      </c>
      <c r="K39" s="580">
        <f t="shared" si="18"/>
        <v>15</v>
      </c>
      <c r="L39" s="580">
        <f t="shared" si="18"/>
        <v>67</v>
      </c>
      <c r="M39" s="581">
        <f t="shared" si="18"/>
        <v>112</v>
      </c>
      <c r="N39" s="580">
        <f t="shared" si="18"/>
        <v>32</v>
      </c>
      <c r="O39" s="580">
        <f t="shared" si="18"/>
        <v>31</v>
      </c>
      <c r="P39" s="580">
        <f t="shared" si="18"/>
        <v>1164</v>
      </c>
      <c r="Q39" s="580">
        <f t="shared" si="18"/>
        <v>30</v>
      </c>
      <c r="R39" s="581">
        <f t="shared" si="18"/>
        <v>1257</v>
      </c>
      <c r="S39" s="580">
        <f t="shared" si="18"/>
        <v>23.4</v>
      </c>
      <c r="T39" s="582">
        <f t="shared" si="18"/>
        <v>21.166666666666668</v>
      </c>
      <c r="U39" s="582">
        <f>+U235+U237+U239+U241+U242</f>
        <v>21.166666666666668</v>
      </c>
      <c r="V39" s="582">
        <f t="shared" si="18"/>
        <v>-35.640959987745134</v>
      </c>
      <c r="W39" s="583">
        <f t="shared" si="18"/>
        <v>30.092373345588207</v>
      </c>
      <c r="X39" s="582">
        <f t="shared" si="18"/>
        <v>17.1875</v>
      </c>
      <c r="Y39" s="582">
        <f t="shared" si="18"/>
        <v>17.1875</v>
      </c>
      <c r="Z39" s="582">
        <f t="shared" si="18"/>
        <v>17.1875</v>
      </c>
      <c r="AA39" s="582">
        <f t="shared" si="18"/>
        <v>-7.8124999999999858</v>
      </c>
      <c r="AB39" s="583">
        <f t="shared" si="18"/>
        <v>43.750000000000014</v>
      </c>
      <c r="AC39" s="582">
        <f t="shared" si="18"/>
        <v>0</v>
      </c>
      <c r="AD39" s="582">
        <f t="shared" si="18"/>
        <v>0</v>
      </c>
      <c r="AE39" s="582">
        <f t="shared" si="18"/>
        <v>0</v>
      </c>
      <c r="AF39" s="582">
        <f t="shared" si="18"/>
        <v>-13.750000000000012</v>
      </c>
      <c r="AG39" s="583">
        <f t="shared" si="18"/>
        <v>-13.750000000000012</v>
      </c>
      <c r="AH39" s="582">
        <f t="shared" si="18"/>
        <v>0</v>
      </c>
      <c r="AI39" s="582">
        <f t="shared" si="18"/>
        <v>0</v>
      </c>
      <c r="AJ39" s="582">
        <f t="shared" si="18"/>
        <v>0</v>
      </c>
      <c r="AK39" s="582">
        <f t="shared" si="18"/>
        <v>-13.750000000000012</v>
      </c>
      <c r="AL39" s="583">
        <f t="shared" si="18"/>
        <v>-13.750000000000012</v>
      </c>
      <c r="AM39" s="582">
        <f t="shared" si="18"/>
        <v>0</v>
      </c>
      <c r="AN39" s="582">
        <f t="shared" si="18"/>
        <v>0</v>
      </c>
      <c r="AO39" s="582">
        <f t="shared" si="18"/>
        <v>0</v>
      </c>
      <c r="AP39" s="582">
        <f t="shared" si="18"/>
        <v>-13.750000000000012</v>
      </c>
      <c r="AQ39" s="583">
        <f t="shared" si="18"/>
        <v>-13.750000000000012</v>
      </c>
    </row>
    <row r="40" spans="1:43" s="573" customFormat="1" outlineLevel="1" x14ac:dyDescent="0.3">
      <c r="B40" s="574" t="s">
        <v>361</v>
      </c>
      <c r="C40" s="579"/>
      <c r="D40" s="576">
        <f t="shared" ref="D40:AQ40" si="19">+D27+D34-D37-D39</f>
        <v>692</v>
      </c>
      <c r="E40" s="576">
        <f t="shared" si="19"/>
        <v>691</v>
      </c>
      <c r="F40" s="576">
        <f t="shared" si="19"/>
        <v>507</v>
      </c>
      <c r="G40" s="576">
        <f t="shared" si="19"/>
        <v>-70</v>
      </c>
      <c r="H40" s="577">
        <f t="shared" si="19"/>
        <v>1820</v>
      </c>
      <c r="I40" s="576">
        <f t="shared" si="19"/>
        <v>760</v>
      </c>
      <c r="J40" s="576">
        <f t="shared" si="19"/>
        <v>750</v>
      </c>
      <c r="K40" s="576">
        <f t="shared" si="19"/>
        <v>625</v>
      </c>
      <c r="L40" s="576">
        <f t="shared" si="19"/>
        <v>1138</v>
      </c>
      <c r="M40" s="577">
        <f>+M27+M34-M37-M39</f>
        <v>3273</v>
      </c>
      <c r="N40" s="576">
        <f t="shared" si="19"/>
        <v>683</v>
      </c>
      <c r="O40" s="576">
        <f t="shared" si="19"/>
        <v>866</v>
      </c>
      <c r="P40" s="576">
        <f t="shared" si="19"/>
        <v>1016</v>
      </c>
      <c r="Q40" s="576">
        <f t="shared" si="19"/>
        <v>1604.1257859999969</v>
      </c>
      <c r="R40" s="577">
        <f t="shared" si="19"/>
        <v>4170.1257859999969</v>
      </c>
      <c r="S40" s="576">
        <f>+S27+S34-S37-S39</f>
        <v>932.6</v>
      </c>
      <c r="T40" s="584">
        <f t="shared" si="19"/>
        <v>1080.3604104550971</v>
      </c>
      <c r="U40" s="584">
        <f t="shared" si="19"/>
        <v>1040.8020702401618</v>
      </c>
      <c r="V40" s="584">
        <f t="shared" si="19"/>
        <v>1637.8865742938935</v>
      </c>
      <c r="W40" s="578">
        <f t="shared" si="19"/>
        <v>4691.6490549891669</v>
      </c>
      <c r="X40" s="584">
        <f t="shared" si="19"/>
        <v>1199.2038473631567</v>
      </c>
      <c r="Y40" s="584">
        <f t="shared" si="19"/>
        <v>1232.3212804604782</v>
      </c>
      <c r="Z40" s="584">
        <f t="shared" si="19"/>
        <v>1157.7361503672537</v>
      </c>
      <c r="AA40" s="584">
        <f t="shared" si="19"/>
        <v>1874.4054887854224</v>
      </c>
      <c r="AB40" s="578">
        <f t="shared" si="19"/>
        <v>5463.666766976311</v>
      </c>
      <c r="AC40" s="584">
        <f t="shared" si="19"/>
        <v>1369.3986566715841</v>
      </c>
      <c r="AD40" s="584">
        <f t="shared" si="19"/>
        <v>1387.4794798077735</v>
      </c>
      <c r="AE40" s="584">
        <f t="shared" si="19"/>
        <v>1322.5504232519274</v>
      </c>
      <c r="AF40" s="584">
        <f t="shared" si="19"/>
        <v>2089.6055072061831</v>
      </c>
      <c r="AG40" s="578">
        <f t="shared" si="19"/>
        <v>6169.0340669374764</v>
      </c>
      <c r="AH40" s="584">
        <f t="shared" si="19"/>
        <v>1356.72024901642</v>
      </c>
      <c r="AI40" s="584">
        <f t="shared" si="19"/>
        <v>1354.0491744354301</v>
      </c>
      <c r="AJ40" s="584">
        <f t="shared" si="19"/>
        <v>1291.796236367064</v>
      </c>
      <c r="AK40" s="584">
        <f t="shared" si="19"/>
        <v>2095.0634840930261</v>
      </c>
      <c r="AL40" s="578">
        <f t="shared" si="19"/>
        <v>6097.6291439119295</v>
      </c>
      <c r="AM40" s="584">
        <f t="shared" si="19"/>
        <v>1355.9779981252002</v>
      </c>
      <c r="AN40" s="584">
        <f t="shared" si="19"/>
        <v>1331.1686136042413</v>
      </c>
      <c r="AO40" s="584">
        <f t="shared" si="19"/>
        <v>1271.6883427525397</v>
      </c>
      <c r="AP40" s="584">
        <f t="shared" si="19"/>
        <v>2106.5920717417921</v>
      </c>
      <c r="AQ40" s="578">
        <f t="shared" si="19"/>
        <v>6065.4270262237842</v>
      </c>
    </row>
    <row r="41" spans="1:43" x14ac:dyDescent="0.3">
      <c r="B41" s="645" t="s">
        <v>0</v>
      </c>
      <c r="C41" s="646"/>
      <c r="D41" s="105">
        <v>282</v>
      </c>
      <c r="E41" s="105">
        <v>279.76258654124456</v>
      </c>
      <c r="F41" s="105">
        <v>272</v>
      </c>
      <c r="G41" s="105">
        <v>269</v>
      </c>
      <c r="H41" s="117">
        <v>276</v>
      </c>
      <c r="I41" s="105">
        <v>265.39999999999998</v>
      </c>
      <c r="J41" s="105">
        <v>266</v>
      </c>
      <c r="K41" s="105">
        <v>266</v>
      </c>
      <c r="L41" s="105">
        <v>267.39999999999998</v>
      </c>
      <c r="M41" s="117">
        <v>266.64184371037703</v>
      </c>
      <c r="N41" s="105">
        <v>268</v>
      </c>
      <c r="O41" s="105">
        <v>268</v>
      </c>
      <c r="P41" s="105">
        <v>268</v>
      </c>
      <c r="Q41" s="105">
        <v>266.39999999999998</v>
      </c>
      <c r="R41" s="268">
        <v>267.7</v>
      </c>
      <c r="S41" s="105">
        <v>265</v>
      </c>
      <c r="T41" s="105">
        <f>S41*(1+T228)-T232</f>
        <v>265.58997327558819</v>
      </c>
      <c r="U41" s="105">
        <f>T41*(1+U228)-U232</f>
        <v>266.05030932397045</v>
      </c>
      <c r="V41" s="105">
        <f>U41*(1+V228)-V232</f>
        <v>266.95846902727357</v>
      </c>
      <c r="W41" s="117">
        <f>(S41*S38/W38)+(T41*T38/W38)+(U41*U38/W38)+(V41*V38/W38)</f>
        <v>266.10091471663327</v>
      </c>
      <c r="X41" s="105">
        <f>V41*(1+X228)-X232</f>
        <v>267.10416232257791</v>
      </c>
      <c r="Y41" s="105">
        <f>X41*(1+Y228)-Y232</f>
        <v>267.63637878609916</v>
      </c>
      <c r="Z41" s="105">
        <f>Y41*(1+Z228)-Z232</f>
        <v>268.15396811777981</v>
      </c>
      <c r="AA41" s="105">
        <f>Z41*(1+AA228)-AA232</f>
        <v>268.68595467748816</v>
      </c>
      <c r="AB41" s="117">
        <f>(X41*X38/AB38)+(Y41*Y38/AB38)+(Z41*Z38/AB38)+(AA41*AA38/AB38)</f>
        <v>268.00275680814389</v>
      </c>
      <c r="AC41" s="105">
        <f>AA41*(1+AC228)-AC232</f>
        <v>269.12393077209873</v>
      </c>
      <c r="AD41" s="105">
        <f>AC41*(1+AD228)-AD232</f>
        <v>269.6350286136053</v>
      </c>
      <c r="AE41" s="105">
        <f>AD41*(1+AE228)-AE232</f>
        <v>270.14084497305657</v>
      </c>
      <c r="AF41" s="105">
        <f>AE41*(1+AF228)-AF232</f>
        <v>270.6437604889278</v>
      </c>
      <c r="AG41" s="117">
        <f>(AC41*AC38/AG38)+(AD41*AD38/AG38)+(AE41*AE38/AG38)+(AF41*AF38/AG38)</f>
        <v>269.9761616103703</v>
      </c>
      <c r="AH41" s="105">
        <f>AF41*(1+AH228)-AH232</f>
        <v>271.45331377320883</v>
      </c>
      <c r="AI41" s="105">
        <f>AH41*(1+AI228)-AI232</f>
        <v>272.35736094484872</v>
      </c>
      <c r="AJ41" s="105">
        <f>AI41*(1+AJ228)-AJ232</f>
        <v>273.36124608390281</v>
      </c>
      <c r="AK41" s="105">
        <f>AJ41*(1+AK228)-AK232</f>
        <v>274.49126590877108</v>
      </c>
      <c r="AL41" s="117">
        <f>(AH41*AH38/AL38)+(AI41*AI38/AL38)+(AJ41*AJ38/AL38)+(AK41*AK38/AL38)</f>
        <v>273.11140183411089</v>
      </c>
      <c r="AM41" s="105">
        <f>AK41*(1+AM228)-AM232</f>
        <v>275.77968427982108</v>
      </c>
      <c r="AN41" s="105">
        <f>AM41*(1+AN228)-AN232</f>
        <v>277.1565806327194</v>
      </c>
      <c r="AO41" s="105">
        <f>AN41*(1+AO228)-AO232</f>
        <v>278.54029278271031</v>
      </c>
      <c r="AP41" s="105">
        <f>AO41*(1+AP228)-AP232</f>
        <v>279.93096453604016</v>
      </c>
      <c r="AQ41" s="117">
        <f>(AM41*AM38/AQ38)+(AN41*AN38/AQ38)+(AO41*AO38/AQ38)+(AP41*AP38/AQ38)</f>
        <v>278.11480192004535</v>
      </c>
    </row>
    <row r="42" spans="1:43" ht="15.75" customHeight="1" x14ac:dyDescent="0.3">
      <c r="B42" s="645" t="s">
        <v>1</v>
      </c>
      <c r="C42" s="646"/>
      <c r="D42" s="105">
        <v>286</v>
      </c>
      <c r="E42" s="105">
        <v>283</v>
      </c>
      <c r="F42" s="105">
        <v>275</v>
      </c>
      <c r="G42" s="105">
        <v>269</v>
      </c>
      <c r="H42" s="117">
        <v>279.57441807692305</v>
      </c>
      <c r="I42" s="105">
        <v>269.39999999999998</v>
      </c>
      <c r="J42" s="105">
        <v>270</v>
      </c>
      <c r="K42" s="105">
        <v>271</v>
      </c>
      <c r="L42" s="105">
        <v>271.7</v>
      </c>
      <c r="M42" s="117">
        <v>270.73702702702701</v>
      </c>
      <c r="N42" s="105">
        <v>272</v>
      </c>
      <c r="O42" s="105">
        <v>272.89328309677421</v>
      </c>
      <c r="P42" s="105">
        <v>273</v>
      </c>
      <c r="Q42" s="105">
        <v>271.39999999999998</v>
      </c>
      <c r="R42" s="268">
        <v>272.3</v>
      </c>
      <c r="S42" s="105">
        <v>269.2</v>
      </c>
      <c r="T42" s="105">
        <f>S42*(1+T229)-T232</f>
        <v>269.84616294849081</v>
      </c>
      <c r="U42" s="105">
        <f>T42*(1+U229)-U232</f>
        <v>270.1507659965626</v>
      </c>
      <c r="V42" s="105">
        <f>U42*(1+V229)-V232</f>
        <v>270.83748082403338</v>
      </c>
      <c r="W42" s="431">
        <f>(S42*S38/W38)+(T42*T38/W38)+(U42*U38/W38)+(V42*V38/W38)</f>
        <v>270.1695155278091</v>
      </c>
      <c r="X42" s="105">
        <f>V42*(1+X229)-X232</f>
        <v>270.70064274563344</v>
      </c>
      <c r="Y42" s="105">
        <f>X42*(1+Y229)-Y232</f>
        <v>271.0792051754226</v>
      </c>
      <c r="Z42" s="105">
        <f>Y42*(1+Z229)-Z232</f>
        <v>271.3903695131059</v>
      </c>
      <c r="AA42" s="105">
        <f>Z42*(1+AA229)-AA232</f>
        <v>271.70315302273167</v>
      </c>
      <c r="AB42" s="117">
        <f>(X42*X38/AB38)+(Y42*Y38/AB38)+(Z42*Z38/AB38)+(AA42*AA38/AB38)</f>
        <v>271.28434723191987</v>
      </c>
      <c r="AC42" s="105">
        <f>AA42*(1+AC229)-AC232</f>
        <v>271.92247800957938</v>
      </c>
      <c r="AD42" s="105">
        <f>AC42*(1+AD229)-AD232</f>
        <v>272.23093496517754</v>
      </c>
      <c r="AE42" s="105">
        <f>AD42*(1+AE229)-AE232</f>
        <v>272.52179648438727</v>
      </c>
      <c r="AF42" s="105">
        <f>AE42*(1+AF229)-AF232</f>
        <v>272.80759666765931</v>
      </c>
      <c r="AG42" s="117">
        <f>(AC42*AC38/AG38)+(AD42*AD38/AG38)+(AE42*AE38/AG38)+(AF42*AF38/AG38)</f>
        <v>272.42272349471813</v>
      </c>
      <c r="AH42" s="105">
        <f>AF42*(1+AH229)-AH232</f>
        <v>273.40054676569798</v>
      </c>
      <c r="AI42" s="105">
        <f>AH42*(1+AI229)-AI232</f>
        <v>274.08823311606881</v>
      </c>
      <c r="AJ42" s="105">
        <f>AI42*(1+AJ229)-AJ232</f>
        <v>274.87203224424616</v>
      </c>
      <c r="AK42" s="105">
        <f>AJ42*(1+AK229)-AK232</f>
        <v>275.78039826270879</v>
      </c>
      <c r="AL42" s="117">
        <f>(AH42*AH38/AL38)+(AI42*AI38/AL38)+(AJ42*AJ38/AL38)+(AK42*AK38/AL38)</f>
        <v>274.6900540512591</v>
      </c>
      <c r="AM42" s="105">
        <f>AK42*(1+AM229)-AM232</f>
        <v>276.84574539875354</v>
      </c>
      <c r="AN42" s="105">
        <f>AM42*(1+AN229)-AN232</f>
        <v>277.99766493312364</v>
      </c>
      <c r="AO42" s="105">
        <f>AN42*(1+AO229)-AO232</f>
        <v>279.15397568616447</v>
      </c>
      <c r="AP42" s="105">
        <f>AO42*(1+AP229)-AP232</f>
        <v>280.31524493655098</v>
      </c>
      <c r="AQ42" s="117">
        <f>(AM42*AM38/AQ38)+(AN42*AN38/AQ38)+(AO42*AO38/AQ38)+(AP42*AP38/AQ38)</f>
        <v>278.79781944858723</v>
      </c>
    </row>
    <row r="43" spans="1:43" ht="15.75" customHeight="1" x14ac:dyDescent="0.3">
      <c r="B43" s="694" t="s">
        <v>57</v>
      </c>
      <c r="C43" s="695"/>
      <c r="D43" s="118">
        <f t="shared" ref="D43:AQ43" si="20">D38/D41</f>
        <v>2.4539007092198584</v>
      </c>
      <c r="E43" s="118">
        <f t="shared" si="20"/>
        <v>2.4699514275406083</v>
      </c>
      <c r="F43" s="118">
        <f t="shared" si="20"/>
        <v>1.8639705882352942</v>
      </c>
      <c r="G43" s="118">
        <f t="shared" si="20"/>
        <v>-0.26022304832713755</v>
      </c>
      <c r="H43" s="119">
        <f t="shared" si="20"/>
        <v>6.5942028985507246</v>
      </c>
      <c r="I43" s="118">
        <f t="shared" si="20"/>
        <v>2.6940467219291637</v>
      </c>
      <c r="J43" s="118">
        <f t="shared" si="20"/>
        <v>2.6315789473684212</v>
      </c>
      <c r="K43" s="118">
        <f t="shared" si="20"/>
        <v>2.1127819548872182</v>
      </c>
      <c r="L43" s="118">
        <f t="shared" si="20"/>
        <v>3.8145100972326107</v>
      </c>
      <c r="M43" s="119">
        <f t="shared" si="20"/>
        <v>11.239796268643053</v>
      </c>
      <c r="N43" s="118">
        <f t="shared" si="20"/>
        <v>2.2238805970149254</v>
      </c>
      <c r="O43" s="118">
        <f t="shared" si="20"/>
        <v>2.8917910447761193</v>
      </c>
      <c r="P43" s="118">
        <f t="shared" si="20"/>
        <v>7.7388059701492535</v>
      </c>
      <c r="Q43" s="118">
        <f t="shared" si="20"/>
        <v>4.2309526501501384</v>
      </c>
      <c r="R43" s="119">
        <f t="shared" si="20"/>
        <v>17.079289450877837</v>
      </c>
      <c r="S43" s="118">
        <f t="shared" si="20"/>
        <v>3.1509433962264151</v>
      </c>
      <c r="T43" s="118">
        <f t="shared" si="20"/>
        <v>3.727024775246214</v>
      </c>
      <c r="U43" s="118">
        <f t="shared" si="20"/>
        <v>3.5718886125517542</v>
      </c>
      <c r="V43" s="118">
        <f t="shared" si="20"/>
        <v>6.4347441776856691</v>
      </c>
      <c r="W43" s="119">
        <f t="shared" si="20"/>
        <v>16.884466330139819</v>
      </c>
      <c r="X43" s="118">
        <f t="shared" si="20"/>
        <v>4.296606003380683</v>
      </c>
      <c r="Y43" s="118">
        <f t="shared" si="20"/>
        <v>4.4118022587809946</v>
      </c>
      <c r="Z43" s="118">
        <f t="shared" si="20"/>
        <v>4.125143693124075</v>
      </c>
      <c r="AA43" s="118">
        <f t="shared" si="20"/>
        <v>7.0634246254645525</v>
      </c>
      <c r="AB43" s="119">
        <f t="shared" si="20"/>
        <v>19.896872817594364</v>
      </c>
      <c r="AC43" s="118">
        <f t="shared" si="20"/>
        <v>5.088357073051327</v>
      </c>
      <c r="AD43" s="118">
        <f t="shared" si="20"/>
        <v>5.1457686597392032</v>
      </c>
      <c r="AE43" s="118">
        <f t="shared" si="20"/>
        <v>4.8957810263155004</v>
      </c>
      <c r="AF43" s="118">
        <f t="shared" si="20"/>
        <v>7.8732851751568749</v>
      </c>
      <c r="AG43" s="119">
        <f t="shared" si="20"/>
        <v>23.003083049607028</v>
      </c>
      <c r="AH43" s="118">
        <f t="shared" si="20"/>
        <v>4.9979874261174775</v>
      </c>
      <c r="AI43" s="118">
        <f t="shared" si="20"/>
        <v>4.9715901554414739</v>
      </c>
      <c r="AJ43" s="118">
        <f t="shared" si="20"/>
        <v>4.7256012140454349</v>
      </c>
      <c r="AK43" s="118">
        <f t="shared" si="20"/>
        <v>7.7828104184671707</v>
      </c>
      <c r="AL43" s="119">
        <f t="shared" si="20"/>
        <v>22.477564476201227</v>
      </c>
      <c r="AM43" s="118">
        <f t="shared" si="20"/>
        <v>4.9168886448841933</v>
      </c>
      <c r="AN43" s="118">
        <f t="shared" si="20"/>
        <v>4.8029478880325449</v>
      </c>
      <c r="AO43" s="118">
        <f t="shared" si="20"/>
        <v>4.5655453652609808</v>
      </c>
      <c r="AP43" s="118">
        <f t="shared" si="20"/>
        <v>7.6727563001172197</v>
      </c>
      <c r="AQ43" s="119">
        <f t="shared" si="20"/>
        <v>21.957396672397827</v>
      </c>
    </row>
    <row r="44" spans="1:43" x14ac:dyDescent="0.3">
      <c r="B44" s="694" t="s">
        <v>58</v>
      </c>
      <c r="C44" s="695"/>
      <c r="D44" s="118">
        <f t="shared" ref="D44:AQ44" si="21">D38/D42</f>
        <v>2.4195804195804196</v>
      </c>
      <c r="E44" s="118">
        <f t="shared" si="21"/>
        <v>2.441696113074205</v>
      </c>
      <c r="F44" s="118">
        <f t="shared" si="21"/>
        <v>1.8436363636363637</v>
      </c>
      <c r="G44" s="118">
        <f t="shared" si="21"/>
        <v>-0.26022304832713755</v>
      </c>
      <c r="H44" s="119">
        <f t="shared" si="21"/>
        <v>6.5098946195400433</v>
      </c>
      <c r="I44" s="118">
        <f t="shared" si="21"/>
        <v>2.6540460282108391</v>
      </c>
      <c r="J44" s="118">
        <f t="shared" si="21"/>
        <v>2.5925925925925926</v>
      </c>
      <c r="K44" s="118">
        <f t="shared" si="21"/>
        <v>2.07380073800738</v>
      </c>
      <c r="L44" s="118">
        <f t="shared" si="21"/>
        <v>3.7541405962458594</v>
      </c>
      <c r="M44" s="119">
        <f t="shared" si="21"/>
        <v>11.069782485647288</v>
      </c>
      <c r="N44" s="118">
        <f t="shared" si="21"/>
        <v>2.1911764705882355</v>
      </c>
      <c r="O44" s="118">
        <f t="shared" si="21"/>
        <v>2.8399379831022342</v>
      </c>
      <c r="P44" s="118">
        <f t="shared" si="21"/>
        <v>7.5970695970695967</v>
      </c>
      <c r="Q44" s="118">
        <f t="shared" si="21"/>
        <v>4.153005843773018</v>
      </c>
      <c r="R44" s="119">
        <f t="shared" si="21"/>
        <v>16.790766749908176</v>
      </c>
      <c r="S44" s="118">
        <f t="shared" si="21"/>
        <v>3.1017830609212482</v>
      </c>
      <c r="T44" s="118">
        <f t="shared" si="21"/>
        <v>3.6682397097639856</v>
      </c>
      <c r="U44" s="118">
        <f t="shared" si="21"/>
        <v>3.5176730546536872</v>
      </c>
      <c r="V44" s="118">
        <f t="shared" si="21"/>
        <v>6.342583932735705</v>
      </c>
      <c r="W44" s="119">
        <f t="shared" si="21"/>
        <v>16.630195772364743</v>
      </c>
      <c r="X44" s="118">
        <f t="shared" si="21"/>
        <v>4.2395220629067705</v>
      </c>
      <c r="Y44" s="118">
        <f t="shared" si="21"/>
        <v>4.3557704092292049</v>
      </c>
      <c r="Z44" s="118">
        <f t="shared" si="21"/>
        <v>4.0759502717499148</v>
      </c>
      <c r="AA44" s="118">
        <f t="shared" si="21"/>
        <v>6.9849869891890508</v>
      </c>
      <c r="AB44" s="119">
        <f t="shared" si="21"/>
        <v>19.656190345614192</v>
      </c>
      <c r="AC44" s="118">
        <f t="shared" si="21"/>
        <v>5.0359891785898716</v>
      </c>
      <c r="AD44" s="118">
        <f t="shared" si="21"/>
        <v>5.0967002702512598</v>
      </c>
      <c r="AE44" s="118">
        <f t="shared" si="21"/>
        <v>4.8530078706115392</v>
      </c>
      <c r="AF44" s="118">
        <f t="shared" si="21"/>
        <v>7.8108364035113063</v>
      </c>
      <c r="AG44" s="119">
        <f t="shared" si="21"/>
        <v>22.796497983979243</v>
      </c>
      <c r="AH44" s="118">
        <f t="shared" si="21"/>
        <v>4.9623904014322182</v>
      </c>
      <c r="AI44" s="118">
        <f t="shared" si="21"/>
        <v>4.9401944732958585</v>
      </c>
      <c r="AJ44" s="118">
        <f t="shared" si="21"/>
        <v>4.6996277715849901</v>
      </c>
      <c r="AK44" s="118">
        <f t="shared" si="21"/>
        <v>7.7464297591519573</v>
      </c>
      <c r="AL44" s="119">
        <f t="shared" si="21"/>
        <v>22.348385219533181</v>
      </c>
      <c r="AM44" s="118">
        <f t="shared" si="21"/>
        <v>4.8979549827364091</v>
      </c>
      <c r="AN44" s="118">
        <f t="shared" si="21"/>
        <v>4.7884165283347722</v>
      </c>
      <c r="AO44" s="118">
        <f t="shared" si="21"/>
        <v>4.5555086207413362</v>
      </c>
      <c r="AP44" s="118">
        <f t="shared" si="21"/>
        <v>7.6622378216637967</v>
      </c>
      <c r="AQ44" s="119">
        <f t="shared" si="21"/>
        <v>21.903603974743099</v>
      </c>
    </row>
    <row r="45" spans="1:43" s="573" customFormat="1" outlineLevel="1" x14ac:dyDescent="0.3">
      <c r="B45" s="574" t="s">
        <v>362</v>
      </c>
      <c r="C45" s="585"/>
      <c r="D45" s="586">
        <f t="shared" ref="D45:AQ45" si="22">+D40/D42</f>
        <v>2.4195804195804196</v>
      </c>
      <c r="E45" s="586">
        <f t="shared" si="22"/>
        <v>2.441696113074205</v>
      </c>
      <c r="F45" s="586">
        <f t="shared" si="22"/>
        <v>1.8436363636363637</v>
      </c>
      <c r="G45" s="586">
        <f t="shared" si="22"/>
        <v>-0.26022304832713755</v>
      </c>
      <c r="H45" s="587">
        <f t="shared" si="22"/>
        <v>6.5098946195400433</v>
      </c>
      <c r="I45" s="586">
        <f t="shared" si="22"/>
        <v>2.8210838901262068</v>
      </c>
      <c r="J45" s="586">
        <f t="shared" si="22"/>
        <v>2.7777777777777777</v>
      </c>
      <c r="K45" s="586">
        <f t="shared" si="22"/>
        <v>2.3062730627306274</v>
      </c>
      <c r="L45" s="586">
        <f t="shared" si="22"/>
        <v>4.188443135811557</v>
      </c>
      <c r="M45" s="587">
        <f t="shared" si="22"/>
        <v>12.089221913754946</v>
      </c>
      <c r="N45" s="586">
        <f t="shared" si="22"/>
        <v>2.5110294117647061</v>
      </c>
      <c r="O45" s="586">
        <f t="shared" si="22"/>
        <v>3.1734016688600448</v>
      </c>
      <c r="P45" s="586">
        <f t="shared" si="22"/>
        <v>3.7216117216117217</v>
      </c>
      <c r="Q45" s="586">
        <f t="shared" si="22"/>
        <v>5.91055927044951</v>
      </c>
      <c r="R45" s="587">
        <f t="shared" si="22"/>
        <v>15.31445385971354</v>
      </c>
      <c r="S45" s="586">
        <f>+S40/S42</f>
        <v>3.4643387815750373</v>
      </c>
      <c r="T45" s="588">
        <f t="shared" si="22"/>
        <v>4.003615981233426</v>
      </c>
      <c r="U45" s="588">
        <f t="shared" si="22"/>
        <v>3.8526711793717623</v>
      </c>
      <c r="V45" s="588">
        <f t="shared" si="22"/>
        <v>6.0474885872906556</v>
      </c>
      <c r="W45" s="589">
        <f t="shared" si="22"/>
        <v>17.365575260493245</v>
      </c>
      <c r="X45" s="588">
        <f t="shared" si="22"/>
        <v>4.4300000000000015</v>
      </c>
      <c r="Y45" s="586">
        <f t="shared" si="22"/>
        <v>4.5459823436586007</v>
      </c>
      <c r="Z45" s="586">
        <f t="shared" si="22"/>
        <v>4.2659441174877237</v>
      </c>
      <c r="AA45" s="586">
        <f t="shared" si="22"/>
        <v>6.8987255684463955</v>
      </c>
      <c r="AB45" s="590">
        <f t="shared" si="22"/>
        <v>20.140000050594313</v>
      </c>
      <c r="AC45" s="586">
        <f t="shared" si="22"/>
        <v>5.0359891785898716</v>
      </c>
      <c r="AD45" s="586">
        <f t="shared" si="22"/>
        <v>5.0967002702512598</v>
      </c>
      <c r="AE45" s="586">
        <f t="shared" si="22"/>
        <v>4.8530078706115392</v>
      </c>
      <c r="AF45" s="586">
        <f t="shared" si="22"/>
        <v>7.6596309367139437</v>
      </c>
      <c r="AG45" s="587">
        <f t="shared" si="22"/>
        <v>22.645078897234814</v>
      </c>
      <c r="AH45" s="586">
        <f t="shared" si="22"/>
        <v>4.9623904014322182</v>
      </c>
      <c r="AI45" s="586">
        <f t="shared" si="22"/>
        <v>4.9401944732958585</v>
      </c>
      <c r="AJ45" s="586">
        <f t="shared" si="22"/>
        <v>4.6996277715849901</v>
      </c>
      <c r="AK45" s="586">
        <f t="shared" si="22"/>
        <v>7.5968542263734991</v>
      </c>
      <c r="AL45" s="587">
        <f t="shared" si="22"/>
        <v>22.198215967346488</v>
      </c>
      <c r="AM45" s="586">
        <f t="shared" si="22"/>
        <v>4.8979549827364091</v>
      </c>
      <c r="AN45" s="586">
        <f t="shared" si="22"/>
        <v>4.7884165283347722</v>
      </c>
      <c r="AO45" s="586">
        <f t="shared" si="22"/>
        <v>4.5555086207413362</v>
      </c>
      <c r="AP45" s="586">
        <f t="shared" si="22"/>
        <v>7.5150820720386315</v>
      </c>
      <c r="AQ45" s="587">
        <f t="shared" si="22"/>
        <v>21.755647293870972</v>
      </c>
    </row>
    <row r="46" spans="1:43" x14ac:dyDescent="0.3">
      <c r="B46" s="645" t="s">
        <v>42</v>
      </c>
      <c r="C46" s="646"/>
      <c r="D46" s="120">
        <v>0.25</v>
      </c>
      <c r="E46" s="120">
        <v>0.25</v>
      </c>
      <c r="F46" s="120">
        <v>0.25</v>
      </c>
      <c r="G46" s="120">
        <v>0.25</v>
      </c>
      <c r="H46" s="121">
        <f>SUM(D46:G46)</f>
        <v>1</v>
      </c>
      <c r="I46" s="120">
        <v>0.4</v>
      </c>
      <c r="J46" s="120">
        <v>0.4</v>
      </c>
      <c r="K46" s="120">
        <v>0.4</v>
      </c>
      <c r="L46" s="120">
        <v>0.4</v>
      </c>
      <c r="M46" s="121">
        <f>SUM(I46:L46)</f>
        <v>1.6</v>
      </c>
      <c r="N46" s="120">
        <v>0.5</v>
      </c>
      <c r="O46" s="120">
        <v>0.5</v>
      </c>
      <c r="P46" s="120">
        <v>0.5</v>
      </c>
      <c r="Q46" s="120">
        <v>0.5</v>
      </c>
      <c r="R46" s="121">
        <f>SUM(N46:Q46)</f>
        <v>2</v>
      </c>
      <c r="S46" s="120">
        <v>0.65</v>
      </c>
      <c r="T46" s="120">
        <f>O46*(1+T47)</f>
        <v>0.65</v>
      </c>
      <c r="U46" s="120">
        <f>P46*(1+U47)</f>
        <v>0.65</v>
      </c>
      <c r="V46" s="120">
        <f>Q46*(1+V47)</f>
        <v>0.65</v>
      </c>
      <c r="W46" s="121">
        <f>SUM(S46:V46)</f>
        <v>2.6</v>
      </c>
      <c r="X46" s="120">
        <f>S46*(1+X47)</f>
        <v>0.8125</v>
      </c>
      <c r="Y46" s="120">
        <f>T46*(1+Y47)</f>
        <v>0.8125</v>
      </c>
      <c r="Z46" s="120">
        <f>U46*(1+Z47)</f>
        <v>0.8125</v>
      </c>
      <c r="AA46" s="120">
        <f>V46*(1+AA47)</f>
        <v>0.8125</v>
      </c>
      <c r="AB46" s="121">
        <f>SUM(X46:AA46)</f>
        <v>3.25</v>
      </c>
      <c r="AC46" s="120">
        <f>X46*(1+AC47)</f>
        <v>1.015625</v>
      </c>
      <c r="AD46" s="120">
        <f>Y46*(1+AD47)</f>
        <v>1.015625</v>
      </c>
      <c r="AE46" s="120">
        <f>Z46*(1+AE47)</f>
        <v>1.015625</v>
      </c>
      <c r="AF46" s="120">
        <f>AA46*(1+AF47)</f>
        <v>1.015625</v>
      </c>
      <c r="AG46" s="121">
        <f>SUM(AC46:AF46)</f>
        <v>4.0625</v>
      </c>
      <c r="AH46" s="120">
        <f>AC46*(1+AH47)</f>
        <v>1.21875</v>
      </c>
      <c r="AI46" s="120">
        <f>AD46*(1+AI47)</f>
        <v>1.21875</v>
      </c>
      <c r="AJ46" s="120">
        <f>AE46*(1+AJ47)</f>
        <v>1.21875</v>
      </c>
      <c r="AK46" s="120">
        <f>AF46*(1+AK47)</f>
        <v>1.21875</v>
      </c>
      <c r="AL46" s="121">
        <f>SUM(AH46:AK46)</f>
        <v>4.875</v>
      </c>
      <c r="AM46" s="120">
        <f>AH46*(1+AM47)</f>
        <v>1.4015624999999998</v>
      </c>
      <c r="AN46" s="120">
        <f>AI46*(1+AN47)</f>
        <v>1.4015624999999998</v>
      </c>
      <c r="AO46" s="120">
        <f>AJ46*(1+AO47)</f>
        <v>1.4015624999999998</v>
      </c>
      <c r="AP46" s="120">
        <f>AK46*(1+AP47)</f>
        <v>1.4015624999999998</v>
      </c>
      <c r="AQ46" s="121">
        <f>SUM(AM46:AP46)</f>
        <v>5.6062499999999993</v>
      </c>
    </row>
    <row r="47" spans="1:43" x14ac:dyDescent="0.3">
      <c r="B47" s="310" t="s">
        <v>84</v>
      </c>
      <c r="C47" s="311"/>
      <c r="D47" s="122">
        <f>D46/0.2-1</f>
        <v>0.25</v>
      </c>
      <c r="E47" s="122">
        <f>E46/0.2-1</f>
        <v>0.25</v>
      </c>
      <c r="F47" s="122">
        <f>F46/0.2-1</f>
        <v>0.25</v>
      </c>
      <c r="G47" s="122">
        <f>G46/0.2-1</f>
        <v>0.25</v>
      </c>
      <c r="H47" s="421">
        <f>H46/0.8-1</f>
        <v>0.25</v>
      </c>
      <c r="I47" s="122">
        <f t="shared" ref="I47:S47" si="23">I46/D46-1</f>
        <v>0.60000000000000009</v>
      </c>
      <c r="J47" s="122">
        <f t="shared" si="23"/>
        <v>0.60000000000000009</v>
      </c>
      <c r="K47" s="122">
        <f t="shared" si="23"/>
        <v>0.60000000000000009</v>
      </c>
      <c r="L47" s="122">
        <f t="shared" si="23"/>
        <v>0.60000000000000009</v>
      </c>
      <c r="M47" s="421">
        <f t="shared" si="23"/>
        <v>0.60000000000000009</v>
      </c>
      <c r="N47" s="122">
        <f t="shared" si="23"/>
        <v>0.25</v>
      </c>
      <c r="O47" s="122">
        <f t="shared" si="23"/>
        <v>0.25</v>
      </c>
      <c r="P47" s="122">
        <f t="shared" si="23"/>
        <v>0.25</v>
      </c>
      <c r="Q47" s="122">
        <f t="shared" si="23"/>
        <v>0.25</v>
      </c>
      <c r="R47" s="422">
        <f t="shared" si="23"/>
        <v>0.25</v>
      </c>
      <c r="S47" s="122">
        <f t="shared" si="23"/>
        <v>0.30000000000000004</v>
      </c>
      <c r="T47" s="316">
        <v>0.3</v>
      </c>
      <c r="U47" s="316">
        <v>0.3</v>
      </c>
      <c r="V47" s="316">
        <v>0.3</v>
      </c>
      <c r="W47" s="422">
        <f>W46/R46-1</f>
        <v>0.30000000000000004</v>
      </c>
      <c r="X47" s="316">
        <v>0.25</v>
      </c>
      <c r="Y47" s="316">
        <v>0.25</v>
      </c>
      <c r="Z47" s="316">
        <v>0.25</v>
      </c>
      <c r="AA47" s="316">
        <v>0.25</v>
      </c>
      <c r="AB47" s="422">
        <f>AB46/W46-1</f>
        <v>0.25</v>
      </c>
      <c r="AC47" s="316">
        <v>0.25</v>
      </c>
      <c r="AD47" s="316">
        <v>0.25</v>
      </c>
      <c r="AE47" s="316">
        <v>0.25</v>
      </c>
      <c r="AF47" s="316">
        <v>0.25</v>
      </c>
      <c r="AG47" s="422">
        <f>AG46/AB46-1</f>
        <v>0.25</v>
      </c>
      <c r="AH47" s="316">
        <v>0.2</v>
      </c>
      <c r="AI47" s="316">
        <v>0.2</v>
      </c>
      <c r="AJ47" s="316">
        <v>0.2</v>
      </c>
      <c r="AK47" s="316">
        <v>0.2</v>
      </c>
      <c r="AL47" s="422">
        <f>AL46/AG46-1</f>
        <v>0.19999999999999996</v>
      </c>
      <c r="AM47" s="316">
        <v>0.15</v>
      </c>
      <c r="AN47" s="316">
        <v>0.15</v>
      </c>
      <c r="AO47" s="316">
        <v>0.15</v>
      </c>
      <c r="AP47" s="316">
        <v>0.15</v>
      </c>
      <c r="AQ47" s="422">
        <f>AQ46/AL46-1</f>
        <v>0.14999999999999991</v>
      </c>
    </row>
    <row r="48" spans="1:43" s="64" customFormat="1" x14ac:dyDescent="0.3">
      <c r="B48" s="123"/>
      <c r="C48" s="194"/>
      <c r="D48" s="194"/>
      <c r="E48" s="194"/>
      <c r="F48" s="194"/>
      <c r="G48" s="194"/>
      <c r="H48" s="67"/>
      <c r="I48" s="194"/>
      <c r="J48" s="194"/>
      <c r="K48" s="194"/>
      <c r="L48" s="194"/>
      <c r="M48" s="67"/>
      <c r="N48" s="194"/>
      <c r="O48" s="194"/>
      <c r="P48" s="194"/>
      <c r="Q48" s="194"/>
      <c r="R48" s="67"/>
      <c r="S48" s="432"/>
      <c r="T48" s="194"/>
      <c r="U48" s="194"/>
      <c r="V48" s="194"/>
      <c r="W48" s="67"/>
      <c r="X48" s="194"/>
      <c r="Y48" s="194"/>
      <c r="Z48" s="194"/>
      <c r="AA48" s="194"/>
      <c r="AB48" s="67"/>
      <c r="AC48" s="194"/>
      <c r="AD48" s="194"/>
      <c r="AE48" s="194"/>
      <c r="AF48" s="194"/>
      <c r="AG48" s="67"/>
      <c r="AH48" s="194"/>
      <c r="AI48" s="194"/>
      <c r="AJ48" s="194"/>
      <c r="AK48" s="194"/>
      <c r="AL48" s="67"/>
      <c r="AM48" s="194"/>
      <c r="AN48" s="194"/>
      <c r="AO48" s="194"/>
      <c r="AP48" s="194"/>
      <c r="AQ48" s="67"/>
    </row>
    <row r="49" spans="2:43" ht="15.6" x14ac:dyDescent="0.3">
      <c r="B49" s="630" t="s">
        <v>90</v>
      </c>
      <c r="C49" s="638"/>
      <c r="D49" s="95" t="s">
        <v>121</v>
      </c>
      <c r="E49" s="95" t="s">
        <v>122</v>
      </c>
      <c r="F49" s="95" t="s">
        <v>123</v>
      </c>
      <c r="G49" s="95" t="s">
        <v>124</v>
      </c>
      <c r="H49" s="408" t="s">
        <v>124</v>
      </c>
      <c r="I49" s="95" t="s">
        <v>125</v>
      </c>
      <c r="J49" s="95" t="s">
        <v>126</v>
      </c>
      <c r="K49" s="95" t="s">
        <v>127</v>
      </c>
      <c r="L49" s="95" t="s">
        <v>128</v>
      </c>
      <c r="M49" s="408" t="s">
        <v>128</v>
      </c>
      <c r="N49" s="95" t="s">
        <v>129</v>
      </c>
      <c r="O49" s="95" t="s">
        <v>130</v>
      </c>
      <c r="P49" s="95" t="s">
        <v>131</v>
      </c>
      <c r="Q49" s="95" t="s">
        <v>132</v>
      </c>
      <c r="R49" s="408" t="s">
        <v>132</v>
      </c>
      <c r="S49" s="95" t="s">
        <v>133</v>
      </c>
      <c r="T49" s="97" t="s">
        <v>134</v>
      </c>
      <c r="U49" s="97" t="s">
        <v>135</v>
      </c>
      <c r="V49" s="97" t="s">
        <v>136</v>
      </c>
      <c r="W49" s="412" t="s">
        <v>136</v>
      </c>
      <c r="X49" s="97" t="s">
        <v>137</v>
      </c>
      <c r="Y49" s="97" t="s">
        <v>138</v>
      </c>
      <c r="Z49" s="97" t="s">
        <v>139</v>
      </c>
      <c r="AA49" s="97" t="s">
        <v>140</v>
      </c>
      <c r="AB49" s="412" t="s">
        <v>140</v>
      </c>
      <c r="AC49" s="97" t="s">
        <v>141</v>
      </c>
      <c r="AD49" s="97" t="s">
        <v>142</v>
      </c>
      <c r="AE49" s="97" t="s">
        <v>143</v>
      </c>
      <c r="AF49" s="97" t="s">
        <v>144</v>
      </c>
      <c r="AG49" s="412" t="s">
        <v>144</v>
      </c>
      <c r="AH49" s="97" t="s">
        <v>145</v>
      </c>
      <c r="AI49" s="97" t="s">
        <v>146</v>
      </c>
      <c r="AJ49" s="97" t="s">
        <v>147</v>
      </c>
      <c r="AK49" s="97" t="s">
        <v>148</v>
      </c>
      <c r="AL49" s="412" t="s">
        <v>148</v>
      </c>
      <c r="AM49" s="97" t="s">
        <v>149</v>
      </c>
      <c r="AN49" s="97" t="s">
        <v>150</v>
      </c>
      <c r="AO49" s="97" t="s">
        <v>151</v>
      </c>
      <c r="AP49" s="97" t="s">
        <v>152</v>
      </c>
      <c r="AQ49" s="412" t="s">
        <v>152</v>
      </c>
    </row>
    <row r="50" spans="2:43" ht="16.2" x14ac:dyDescent="0.45">
      <c r="B50" s="651"/>
      <c r="C50" s="652"/>
      <c r="D50" s="96" t="s">
        <v>71</v>
      </c>
      <c r="E50" s="96" t="s">
        <v>74</v>
      </c>
      <c r="F50" s="96" t="s">
        <v>75</v>
      </c>
      <c r="G50" s="96" t="s">
        <v>79</v>
      </c>
      <c r="H50" s="409" t="s">
        <v>80</v>
      </c>
      <c r="I50" s="96" t="s">
        <v>81</v>
      </c>
      <c r="J50" s="96" t="s">
        <v>92</v>
      </c>
      <c r="K50" s="96" t="s">
        <v>110</v>
      </c>
      <c r="L50" s="96" t="s">
        <v>114</v>
      </c>
      <c r="M50" s="409" t="s">
        <v>115</v>
      </c>
      <c r="N50" s="96" t="s">
        <v>116</v>
      </c>
      <c r="O50" s="96" t="s">
        <v>117</v>
      </c>
      <c r="P50" s="96" t="s">
        <v>118</v>
      </c>
      <c r="Q50" s="96" t="s">
        <v>119</v>
      </c>
      <c r="R50" s="409" t="s">
        <v>120</v>
      </c>
      <c r="S50" s="96" t="s">
        <v>518</v>
      </c>
      <c r="T50" s="94" t="s">
        <v>378</v>
      </c>
      <c r="U50" s="94" t="s">
        <v>379</v>
      </c>
      <c r="V50" s="94" t="s">
        <v>380</v>
      </c>
      <c r="W50" s="413" t="s">
        <v>381</v>
      </c>
      <c r="X50" s="94" t="s">
        <v>382</v>
      </c>
      <c r="Y50" s="94" t="s">
        <v>383</v>
      </c>
      <c r="Z50" s="94" t="s">
        <v>384</v>
      </c>
      <c r="AA50" s="94" t="s">
        <v>385</v>
      </c>
      <c r="AB50" s="413" t="s">
        <v>386</v>
      </c>
      <c r="AC50" s="94" t="s">
        <v>387</v>
      </c>
      <c r="AD50" s="94" t="s">
        <v>388</v>
      </c>
      <c r="AE50" s="94" t="s">
        <v>389</v>
      </c>
      <c r="AF50" s="94" t="s">
        <v>390</v>
      </c>
      <c r="AG50" s="413" t="s">
        <v>391</v>
      </c>
      <c r="AH50" s="94" t="s">
        <v>392</v>
      </c>
      <c r="AI50" s="94" t="s">
        <v>393</v>
      </c>
      <c r="AJ50" s="94" t="s">
        <v>394</v>
      </c>
      <c r="AK50" s="94" t="s">
        <v>395</v>
      </c>
      <c r="AL50" s="413" t="s">
        <v>396</v>
      </c>
      <c r="AM50" s="94" t="s">
        <v>397</v>
      </c>
      <c r="AN50" s="94" t="s">
        <v>398</v>
      </c>
      <c r="AO50" s="94" t="s">
        <v>399</v>
      </c>
      <c r="AP50" s="94" t="s">
        <v>400</v>
      </c>
      <c r="AQ50" s="413" t="s">
        <v>401</v>
      </c>
    </row>
    <row r="51" spans="2:43" ht="15.6" x14ac:dyDescent="0.3">
      <c r="B51" s="630" t="s">
        <v>198</v>
      </c>
      <c r="C51" s="638"/>
      <c r="D51" s="95"/>
      <c r="E51" s="95"/>
      <c r="F51" s="95"/>
      <c r="G51" s="95"/>
      <c r="H51" s="408"/>
      <c r="I51" s="95"/>
      <c r="J51" s="95"/>
      <c r="K51" s="95"/>
      <c r="L51" s="95"/>
      <c r="M51" s="408"/>
      <c r="N51" s="95"/>
      <c r="O51" s="95"/>
      <c r="P51" s="95"/>
      <c r="Q51" s="95"/>
      <c r="R51" s="408"/>
      <c r="S51" s="95"/>
      <c r="T51" s="97"/>
      <c r="U51" s="97"/>
      <c r="V51" s="97"/>
      <c r="W51" s="412"/>
      <c r="X51" s="97"/>
      <c r="Y51" s="97"/>
      <c r="Z51" s="97"/>
      <c r="AA51" s="97"/>
      <c r="AB51" s="412"/>
      <c r="AC51" s="97"/>
      <c r="AD51" s="97"/>
      <c r="AE51" s="97"/>
      <c r="AF51" s="97"/>
      <c r="AG51" s="412"/>
      <c r="AH51" s="97"/>
      <c r="AI51" s="97"/>
      <c r="AJ51" s="97"/>
      <c r="AK51" s="97"/>
      <c r="AL51" s="412"/>
      <c r="AM51" s="97"/>
      <c r="AN51" s="97"/>
      <c r="AO51" s="97"/>
      <c r="AP51" s="97"/>
      <c r="AQ51" s="412"/>
    </row>
    <row r="52" spans="2:43" outlineLevel="1" x14ac:dyDescent="0.3">
      <c r="B52" s="256" t="s">
        <v>365</v>
      </c>
      <c r="C52" s="297"/>
      <c r="D52" s="269">
        <f>+D74+D80+D86+D92+D98+D104</f>
        <v>4036.4</v>
      </c>
      <c r="E52" s="269">
        <f>+E74+E80+E86+E92+E98+E104</f>
        <v>4263.5</v>
      </c>
      <c r="F52" s="269">
        <f>+F74+F80+F86+F92+F98+F104</f>
        <v>4308.7</v>
      </c>
      <c r="G52" s="269">
        <f>+G74+G80+G86+G92+G98+G104</f>
        <v>4104.2079999999996</v>
      </c>
      <c r="H52" s="59"/>
      <c r="I52" s="269">
        <f>+I74+I80+I86+I92+I98+I104</f>
        <v>5559</v>
      </c>
      <c r="J52" s="269">
        <f>+J74+J80+J86+J92+J98+J104</f>
        <v>6034.5038999999997</v>
      </c>
      <c r="K52" s="269">
        <f>+K74+K80+K86+K92+K98+K104</f>
        <v>6156.3000000000011</v>
      </c>
      <c r="L52" s="269">
        <f>+L74+L80+L86+L92+L98+L104</f>
        <v>5867.4989989999995</v>
      </c>
      <c r="M52" s="59"/>
      <c r="N52" s="269">
        <f>+N74+N80+N86+N92+N98+N104</f>
        <v>5615.5999999999995</v>
      </c>
      <c r="O52" s="269">
        <f>+O74+O80+O86+O92+O98+O104</f>
        <v>6216</v>
      </c>
      <c r="P52" s="269">
        <f>+P74+P80+P86+P92+P98+P104</f>
        <v>6122.1</v>
      </c>
      <c r="Q52" s="269">
        <f>+Q74+Q80+Q86+Q92+Q98+Q104</f>
        <v>5874.2</v>
      </c>
      <c r="R52" s="59"/>
      <c r="S52" s="269">
        <f>+S74+S80+S86+S92+S98+S104</f>
        <v>5886.7000000000007</v>
      </c>
      <c r="T52" s="269">
        <f>+T74+T80+T86+T92+T98+T104</f>
        <v>6265.6798350492227</v>
      </c>
      <c r="U52" s="269">
        <f>+U74+U80+U86+U92+U98+U104</f>
        <v>6074.5968026164828</v>
      </c>
      <c r="V52" s="269">
        <f>+V74+V80+V86+V92+V98+V104</f>
        <v>5836.3060898172589</v>
      </c>
      <c r="W52" s="59"/>
      <c r="X52" s="269">
        <f>+X74+X80+X86+X92+X98+X104</f>
        <v>5859.8152375647442</v>
      </c>
      <c r="Y52" s="269">
        <f>+Y74+Y80+Y86+Y92+Y98+Y104</f>
        <v>6169.3841019788269</v>
      </c>
      <c r="Z52" s="269">
        <f>+Z74+Z80+Z86+Z92+Z98+Z104</f>
        <v>5986.1465738601873</v>
      </c>
      <c r="AA52" s="269">
        <f>+AA74+AA80+AA86+AA92+AA98+AA104</f>
        <v>5737.8782270544862</v>
      </c>
      <c r="AB52" s="59"/>
      <c r="AC52" s="269">
        <f>+AC74+AC80+AC86+AC92+AC98+AC104</f>
        <v>5786.4153098249226</v>
      </c>
      <c r="AD52" s="269">
        <f>+AD74+AD80+AD86+AD92+AD98+AD104</f>
        <v>6076.5085865735473</v>
      </c>
      <c r="AE52" s="269">
        <f>+AE74+AE80+AE86+AE92+AE98+AE104</f>
        <v>5902.7357005766899</v>
      </c>
      <c r="AF52" s="269">
        <f>+AF74+AF80+AF86+AF92+AF98+AF104</f>
        <v>5655.1874122379913</v>
      </c>
      <c r="AG52" s="59"/>
      <c r="AH52" s="269">
        <f>+AH74+AH80+AH86+AH92+AH98+AH104</f>
        <v>5692.4411491677656</v>
      </c>
      <c r="AI52" s="269">
        <f>+AI74+AI80+AI86+AI92+AI98+AI104</f>
        <v>5969.2005854246909</v>
      </c>
      <c r="AJ52" s="269">
        <f>+AJ74+AJ80+AJ86+AJ92+AJ98+AJ104</f>
        <v>5801.0026753620023</v>
      </c>
      <c r="AK52" s="269">
        <f>+AK74+AK80+AK86+AK92+AK98+AK104</f>
        <v>5549.4444404517944</v>
      </c>
      <c r="AL52" s="59"/>
      <c r="AM52" s="269">
        <f>+AM74+AM80+AM86+AM92+AM98+AM104</f>
        <v>5580.1650156331634</v>
      </c>
      <c r="AN52" s="269">
        <f>+AN74+AN80+AN86+AN92+AN98+AN104</f>
        <v>5843.3236354660512</v>
      </c>
      <c r="AO52" s="269">
        <f>+AO74+AO80+AO86+AO92+AO98+AO104</f>
        <v>5680.0115393644373</v>
      </c>
      <c r="AP52" s="269">
        <f>+AP74+AP80+AP86+AP92+AP98+AP104</f>
        <v>5425.1517218583631</v>
      </c>
      <c r="AQ52" s="59"/>
    </row>
    <row r="53" spans="2:43" outlineLevel="1" x14ac:dyDescent="0.3">
      <c r="B53" s="256" t="s">
        <v>199</v>
      </c>
      <c r="C53" s="297"/>
      <c r="D53" s="148">
        <f>+(D74/D52*D76)+(D80/D52*D82)+(D86/D52*D88)+(D92/D52*D94)+(D98/D52*D100)+(D104/D52*D106)</f>
        <v>20.051755029233966</v>
      </c>
      <c r="E53" s="148">
        <f>+(E74/E52*E76)+(E80/E52*E82)+(E86/E52*E88)+(E92/E52*E94)+(E98/E52*E100)+(E104/E52*E106)</f>
        <v>19.514230233376335</v>
      </c>
      <c r="F53" s="148">
        <f>+(F74/F52*F76)+(F80/F52*F82)+(F86/F52*F88)+(F92/F52*F94)+(F98/F52*F100)+(F104/F52*F106)</f>
        <v>19.276487571657345</v>
      </c>
      <c r="G53" s="148">
        <f>+(G74/G52*G76)+(G80/G52*G82)+(G86/G52*G88)+(G92/G52*G94)+(G98/G52*G100)+(G104/G52*G106)</f>
        <v>19.98737853634309</v>
      </c>
      <c r="H53" s="59"/>
      <c r="I53" s="148">
        <f>+(I74/I52*I76)+(I80/I52*I82)+(I86/I52*I88)+(I92/I52*I94)+(I98/I52*I100)+(I104/I52*I106)</f>
        <v>17.707042633567188</v>
      </c>
      <c r="J53" s="148">
        <f>+(J74/J52*J76)+(J80/J52*J82)+(J86/J52*J88)+(J92/J52*J94)+(J98/J52*J100)+(J104/J52*J106)</f>
        <v>17.179728071498985</v>
      </c>
      <c r="K53" s="148">
        <f>+(K74/K52*K76)+(K80/K52*K82)+(K86/K52*K88)+(K92/K52*K94)+(K98/K52*K100)+(K104/K52*K106)</f>
        <v>17.055023829248086</v>
      </c>
      <c r="L53" s="148">
        <f>+(L74/L52*L76)+(L80/L52*L82)+(L86/L52*L88)+(L92/L52*L94)+(L98/L52*L100)+(L104/L52*L106)</f>
        <v>17.925037162256018</v>
      </c>
      <c r="M53" s="59"/>
      <c r="N53" s="148">
        <f>+(N74/N52*N76)+(N80/N52*N82)+(N86/N52*N88)+(N92/N52*N94)+(N98/N52*N100)+(N104/N52*N106)</f>
        <v>18.174105527459222</v>
      </c>
      <c r="O53" s="148">
        <f>+(O74/O52*O76)+(O80/O52*O82)+(O86/O52*O88)+(O92/O52*O94)+(O98/O52*O100)+(O104/O52*O106)</f>
        <v>17.897038288288289</v>
      </c>
      <c r="P53" s="148">
        <f>+(P74/P52*P76)+(P80/P52*P82)+(P86/P52*P88)+(P92/P52*P94)+(P98/P52*P100)+(P104/P52*P106)</f>
        <v>18.445283644501067</v>
      </c>
      <c r="Q53" s="148">
        <f>+(Q74/Q52*Q76)+(Q80/Q52*Q82)+(Q86/Q52*Q88)+(Q92/Q52*Q94)+(Q98/Q52*Q100)+(Q104/Q52*Q106)</f>
        <v>19.259164413877631</v>
      </c>
      <c r="R53" s="59"/>
      <c r="S53" s="148">
        <f>+(S74/S52*S76)+(S80/S52*S82)+(S86/S52*S88)+(S92/S52*S94)+(S98/S52*S100)+(S104/S52*S106)</f>
        <v>18.636935991302426</v>
      </c>
      <c r="T53" s="148">
        <f>+(T74/T52*T76)+(T80/T52*T82)+(T86/T52*T88)+(T92/T52*T94)+(T98/T52*T100)+(T104/T52*T106)</f>
        <v>18.6497792807371</v>
      </c>
      <c r="U53" s="148">
        <f>+(U74/U52*U76)+(U80/U52*U82)+(U86/U52*U88)+(U92/U52*U94)+(U98/U52*U100)+(U104/U52*U106)</f>
        <v>19.122682138283686</v>
      </c>
      <c r="V53" s="148">
        <f>+(V74/V52*V76)+(V80/V52*V82)+(V86/V52*V88)+(V92/V52*V94)+(V98/V52*V100)+(V104/V52*V106)</f>
        <v>19.810413116031182</v>
      </c>
      <c r="W53" s="59"/>
      <c r="X53" s="148">
        <f>+(X74/X52*X76)+(X80/X52*X82)+(X86/X52*X88)+(X92/X52*X94)+(X98/X52*X100)+(X104/X52*X106)</f>
        <v>18.977040648532263</v>
      </c>
      <c r="Y53" s="148">
        <f>+(Y74/Y52*Y76)+(Y80/Y52*Y82)+(Y86/Y52*Y88)+(Y92/Y52*Y94)+(Y98/Y52*Y100)+(Y104/Y52*Y106)</f>
        <v>19.007609012640412</v>
      </c>
      <c r="Z53" s="148">
        <f>+(Z74/Z52*Z76)+(Z80/Z52*Z82)+(Z86/Z52*Z88)+(Z92/Z52*Z94)+(Z98/Z52*Z100)+(Z104/Z52*Z106)</f>
        <v>19.47636030092513</v>
      </c>
      <c r="AA53" s="148">
        <f>+(AA74/AA52*AA76)+(AA80/AA52*AA82)+(AA86/AA52*AA88)+(AA92/AA52*AA94)+(AA98/AA52*AA100)+(AA104/AA52*AA106)</f>
        <v>20.107775787131466</v>
      </c>
      <c r="AB53" s="59"/>
      <c r="AC53" s="148">
        <f>+(AC74/AC52*AC76)+(AC80/AC52*AC82)+(AC86/AC52*AC88)+(AC92/AC52*AC94)+(AC98/AC52*AC100)+(AC104/AC52*AC106)</f>
        <v>19.330502748887476</v>
      </c>
      <c r="AD53" s="148">
        <f>+(AD74/AD52*AD76)+(AD80/AD52*AD82)+(AD86/AD52*AD88)+(AD92/AD52*AD94)+(AD98/AD52*AD100)+(AD104/AD52*AD106)</f>
        <v>19.347575739903959</v>
      </c>
      <c r="AE53" s="148">
        <f>+(AE74/AE52*AE76)+(AE80/AE52*AE82)+(AE86/AE52*AE88)+(AE92/AE52*AE94)+(AE98/AE52*AE100)+(AE104/AE52*AE106)</f>
        <v>19.812230820541998</v>
      </c>
      <c r="AF53" s="148">
        <f>+(AF74/AF52*AF76)+(AF80/AF52*AF82)+(AF86/AF52*AF88)+(AF92/AF52*AF94)+(AF98/AF52*AF100)+(AF104/AF52*AF106)</f>
        <v>20.448785277091201</v>
      </c>
      <c r="AG53" s="59"/>
      <c r="AH53" s="148">
        <f>+(AH74/AH52*AH76)+(AH80/AH52*AH82)+(AH86/AH52*AH88)+(AH92/AH52*AH94)+(AH98/AH52*AH100)+(AH104/AH52*AH106)</f>
        <v>19.638301862471366</v>
      </c>
      <c r="AI53" s="148">
        <f>+(AI74/AI52*AI76)+(AI80/AI52*AI82)+(AI86/AI52*AI88)+(AI92/AI52*AI94)+(AI98/AI52*AI100)+(AI104/AI52*AI106)</f>
        <v>19.629863892900318</v>
      </c>
      <c r="AJ53" s="148">
        <f>+(AJ74/AJ52*AJ76)+(AJ80/AJ52*AJ82)+(AJ86/AJ52*AJ88)+(AJ92/AJ52*AJ94)+(AJ98/AJ52*AJ100)+(AJ104/AJ52*AJ106)</f>
        <v>20.079191078406673</v>
      </c>
      <c r="AK53" s="148">
        <f>+(AK74/AK52*AK76)+(AK80/AK52*AK82)+(AK86/AK52*AK88)+(AK92/AK52*AK94)+(AK98/AK52*AK100)+(AK104/AK52*AK106)</f>
        <v>20.705272613586537</v>
      </c>
      <c r="AL53" s="59"/>
      <c r="AM53" s="148">
        <f>+(AM74/AM52*AM76)+(AM80/AM52*AM82)+(AM86/AM52*AM88)+(AM92/AM52*AM94)+(AM98/AM52*AM100)+(AM104/AM52*AM106)</f>
        <v>19.881202364508198</v>
      </c>
      <c r="AN53" s="148">
        <f>+(AN74/AN52*AN76)+(AN80/AN52*AN82)+(AN86/AN52*AN88)+(AN92/AN52*AN94)+(AN98/AN52*AN100)+(AN104/AN52*AN106)</f>
        <v>19.842680710232891</v>
      </c>
      <c r="AO53" s="148">
        <f>+(AO74/AO52*AO76)+(AO80/AO52*AO82)+(AO86/AO52*AO88)+(AO92/AO52*AO94)+(AO98/AO52*AO100)+(AO104/AO52*AO106)</f>
        <v>20.272159667033662</v>
      </c>
      <c r="AP53" s="148">
        <f>+(AP74/AP52*AP76)+(AP80/AP52*AP82)+(AP86/AP52*AP88)+(AP92/AP52*AP94)+(AP98/AP52*AP100)+(AP104/AP52*AP106)</f>
        <v>20.884406544209565</v>
      </c>
      <c r="AQ53" s="59"/>
    </row>
    <row r="54" spans="2:43" outlineLevel="1" x14ac:dyDescent="0.3">
      <c r="B54" s="320" t="s">
        <v>202</v>
      </c>
      <c r="C54" s="307"/>
      <c r="D54" s="130">
        <f>+D78+D84+D90+D96+D102+D108</f>
        <v>5260.8987599999991</v>
      </c>
      <c r="E54" s="130">
        <f>+E78+E84+E90+E96+E102+E108</f>
        <v>5241.5319978000007</v>
      </c>
      <c r="F54" s="130">
        <f>+F78+F84+F90+F96+F102+F108</f>
        <v>5232.5659260000002</v>
      </c>
      <c r="G54" s="130">
        <f>+G78+G84+G90+G96+G102+G108</f>
        <v>5332.1033277126935</v>
      </c>
      <c r="H54" s="59"/>
      <c r="I54" s="130">
        <f>+I78+I84+I90+I96+I102+I108</f>
        <v>6398.1742500000009</v>
      </c>
      <c r="J54" s="130">
        <f>+J78+J84+J90+J96+J102+J108</f>
        <v>6531.2815710492059</v>
      </c>
      <c r="K54" s="130">
        <f>+K78+K84+K90+K96+K102+K108</f>
        <v>6509.7422784000009</v>
      </c>
      <c r="L54" s="130">
        <f>+L78+L84+L90+L96+L102+L108</f>
        <v>6836.3839444273744</v>
      </c>
      <c r="M54" s="59"/>
      <c r="N54" s="130">
        <f>+N78+N84+N90+N96+N102+N108</f>
        <v>6633.8029550000001</v>
      </c>
      <c r="O54" s="130">
        <f>+O78+O84+O90+O96+O102+O108</f>
        <v>7008.6233700000003</v>
      </c>
      <c r="P54" s="130">
        <f>+P78+P84+P90+P96+P102+P108</f>
        <v>7001.2800020000004</v>
      </c>
      <c r="Q54" s="130">
        <f>+Q78+Q84+Q90+Q96+Q102+Q108</f>
        <v>7353.591934</v>
      </c>
      <c r="R54" s="59"/>
      <c r="S54" s="130">
        <f>+S78+S84+S90+S96+S102+S108</f>
        <v>7131.1533214999999</v>
      </c>
      <c r="T54" s="130">
        <f>+T78+T84+T90+T96+T102+T108</f>
        <v>7361.7733959482939</v>
      </c>
      <c r="U54" s="130">
        <f>+U78+U84+U90+U96+U102+U108</f>
        <v>7202.0801940295032</v>
      </c>
      <c r="V54" s="130">
        <f>+V78+V84+V90+V96+V102+V108</f>
        <v>7515.2762562077523</v>
      </c>
      <c r="W54" s="59"/>
      <c r="X54" s="130">
        <f>+X78+X84+X90+X96+X102+X108</f>
        <v>7228.126877150069</v>
      </c>
      <c r="Y54" s="130">
        <f>+Y78+Y84+Y90+Y96+Y102+Y108</f>
        <v>7387.7101741304332</v>
      </c>
      <c r="Z54" s="130">
        <f>+Z78+Z84+Z90+Z96+Z102+Z108</f>
        <v>7228.4775441722704</v>
      </c>
      <c r="AA54" s="130">
        <f>+AA78+AA84+AA90+AA96+AA102+AA108</f>
        <v>7499.4379774258759</v>
      </c>
      <c r="AB54" s="59"/>
      <c r="AC54" s="130">
        <f>+AC78+AC84+AC90+AC96+AC102+AC108</f>
        <v>7270.5306084303911</v>
      </c>
      <c r="AD54" s="130">
        <f>+AD78+AD84+AD90+AD96+AD102+AD108</f>
        <v>7406.6397371132334</v>
      </c>
      <c r="AE54" s="130">
        <f>+AE78+AE84+AE90+AE96+AE102+AE108</f>
        <v>7250.6744546937007</v>
      </c>
      <c r="AF54" s="130">
        <f>+AF78+AF84+AF90+AF96+AF102+AF108</f>
        <v>7516.7113511466414</v>
      </c>
      <c r="AG54" s="59"/>
      <c r="AH54" s="130">
        <f>+AH78+AH84+AH90+AH96+AH102+AH108</f>
        <v>7266.3420454111492</v>
      </c>
      <c r="AI54" s="130">
        <f>+AI78+AI84+AI90+AI96+AI102+AI108</f>
        <v>7381.9994876023784</v>
      </c>
      <c r="AJ54" s="130">
        <f>+AJ78+AJ84+AJ90+AJ96+AJ102+AJ108</f>
        <v>7221.7253522264009</v>
      </c>
      <c r="AK54" s="130">
        <f>+AK78+AK84+AK90+AK96+AK102+AK108</f>
        <v>7468.6793995779308</v>
      </c>
      <c r="AL54" s="59"/>
      <c r="AM54" s="130">
        <f>+AM78+AM84+AM90+AM96+AM102+AM108</f>
        <v>7211.1253437048799</v>
      </c>
      <c r="AN54" s="130">
        <f>+AN78+AN84+AN90+AN96+AN102+AN108</f>
        <v>7304.6739266619388</v>
      </c>
      <c r="AO54" s="130">
        <f>+AO78+AO84+AO90+AO96+AO102+AO108</f>
        <v>7139.0582518685505</v>
      </c>
      <c r="AP54" s="130">
        <f>+AP78+AP84+AP90+AP96+AP102+AP108</f>
        <v>7364.5698180150594</v>
      </c>
      <c r="AQ54" s="59"/>
    </row>
    <row r="55" spans="2:43" outlineLevel="1" x14ac:dyDescent="0.3">
      <c r="B55" s="166" t="s">
        <v>366</v>
      </c>
      <c r="C55" s="167"/>
      <c r="D55" s="168">
        <f>+D110+D116+D122+D128</f>
        <v>10377.9</v>
      </c>
      <c r="E55" s="168">
        <f>+E110+E116+E122+E128</f>
        <v>11495</v>
      </c>
      <c r="F55" s="168">
        <f>+F110+F116+F122+F128</f>
        <v>11376.4</v>
      </c>
      <c r="G55" s="168">
        <f>+G110+G116+G122+G128</f>
        <v>12001.89</v>
      </c>
      <c r="H55" s="170"/>
      <c r="I55" s="168">
        <f>+I110+I116+I122+I128</f>
        <v>25882.400000000001</v>
      </c>
      <c r="J55" s="168">
        <f>+J110+J116+J122+J128</f>
        <v>28145.8</v>
      </c>
      <c r="K55" s="168">
        <f>+K110+K116+K122+K128</f>
        <v>28269.4</v>
      </c>
      <c r="L55" s="168">
        <f>+L110+L116+L122+L128</f>
        <v>28036.3</v>
      </c>
      <c r="M55" s="170"/>
      <c r="N55" s="168">
        <f>+N110+N116+N122+N128</f>
        <v>24766.5</v>
      </c>
      <c r="O55" s="168">
        <f>+O110+O116+O122+O128</f>
        <v>29556</v>
      </c>
      <c r="P55" s="168">
        <f>+P110+P116+P122+P128</f>
        <v>29347.8</v>
      </c>
      <c r="Q55" s="168">
        <f>+Q110+Q116+Q122+Q128</f>
        <v>29576</v>
      </c>
      <c r="R55" s="170"/>
      <c r="S55" s="168">
        <f>+S110+S116+S122+S128</f>
        <v>28800</v>
      </c>
      <c r="T55" s="168">
        <f>+T110+T116+T122+T128</f>
        <v>31450.941233548532</v>
      </c>
      <c r="U55" s="168">
        <f>+U110+U116+U122+U128</f>
        <v>30948.817739181177</v>
      </c>
      <c r="V55" s="168">
        <f>+V110+V116+V122+V128</f>
        <v>31450.849293927851</v>
      </c>
      <c r="W55" s="170"/>
      <c r="X55" s="168">
        <f>+X110+X116+X122+X128</f>
        <v>30801.082485197276</v>
      </c>
      <c r="Y55" s="168">
        <f>+Y110+Y116+Y122+Y128</f>
        <v>33064.434756761533</v>
      </c>
      <c r="Z55" s="168">
        <f>+Z110+Z116+Z122+Z128</f>
        <v>32698.150575642267</v>
      </c>
      <c r="AA55" s="168">
        <f>+AA110+AA116+AA122+AA128</f>
        <v>33288.979362602877</v>
      </c>
      <c r="AB55" s="170"/>
      <c r="AC55" s="168">
        <f>+AC110+AC116+AC122+AC128</f>
        <v>32700.955034638293</v>
      </c>
      <c r="AD55" s="168">
        <f>+AD110+AD116+AD122+AD128</f>
        <v>34955.918359470765</v>
      </c>
      <c r="AE55" s="168">
        <f>+AE110+AE116+AE122+AE128</f>
        <v>34651.81401259132</v>
      </c>
      <c r="AF55" s="168">
        <f>+AF110+AF116+AF122+AF128</f>
        <v>35346.275280182606</v>
      </c>
      <c r="AG55" s="170"/>
      <c r="AH55" s="168">
        <f>+AH110+AH116+AH122+AH128</f>
        <v>34669.011443029689</v>
      </c>
      <c r="AI55" s="168">
        <f>+AI110+AI116+AI122+AI128</f>
        <v>36967.615099281058</v>
      </c>
      <c r="AJ55" s="168">
        <f>+AJ110+AJ116+AJ122+AJ128</f>
        <v>36680.295452408376</v>
      </c>
      <c r="AK55" s="168">
        <f>+AK110+AK116+AK122+AK128</f>
        <v>37446.743502968777</v>
      </c>
      <c r="AL55" s="170"/>
      <c r="AM55" s="168">
        <f>+AM110+AM116+AM122+AM128</f>
        <v>36710.164586014318</v>
      </c>
      <c r="AN55" s="168">
        <f>+AN110+AN116+AN122+AN128</f>
        <v>39054.955250682331</v>
      </c>
      <c r="AO55" s="168">
        <f>+AO110+AO116+AO122+AO128</f>
        <v>38769.966037687111</v>
      </c>
      <c r="AP55" s="168">
        <f>+AP110+AP116+AP122+AP128</f>
        <v>39608.622043222938</v>
      </c>
      <c r="AQ55" s="170"/>
    </row>
    <row r="56" spans="2:43" outlineLevel="1" x14ac:dyDescent="0.3">
      <c r="B56" s="164" t="s">
        <v>200</v>
      </c>
      <c r="C56" s="133"/>
      <c r="D56" s="135">
        <f>+(D110/D55*D112)+(D116/D55*D118)+(D122/D55*D124)+(D128/D55*D130)</f>
        <v>1.4222248817198084</v>
      </c>
      <c r="E56" s="135">
        <f>+(E110/E55*E112)+(E116/E55*E118)+(E122/E55*E124)+(E128/E55*E130)</f>
        <v>1.3319469334493257</v>
      </c>
      <c r="F56" s="135">
        <f>+(F110/F55*F112)+(F116/F55*F118)+(F122/F55*F124)+(F128/F55*F130)</f>
        <v>1.3986298653352554</v>
      </c>
      <c r="G56" s="135">
        <f>+(G110/G55*G112)+(G116/G55*G118)+(G122/G55*G124)+(G128/G55*G130)</f>
        <v>1.366286631188921</v>
      </c>
      <c r="H56" s="141"/>
      <c r="I56" s="135">
        <f>+(I110/I55*I112)+(I116/I55*I118)+(I122/I55*I124)+(I128/I55*I130)</f>
        <v>0.93152128859765715</v>
      </c>
      <c r="J56" s="135">
        <f>+(J110/J55*J112)+(J116/J55*J118)+(J122/J55*J124)+(J128/J55*J130)</f>
        <v>0.9020457581592991</v>
      </c>
      <c r="K56" s="135">
        <f>+(K110/K55*K112)+(K116/K55*K118)+(K122/K55*K124)+(K128/K55*K130)</f>
        <v>0.94641077631644099</v>
      </c>
      <c r="L56" s="135">
        <f>+(L110/L55*L112)+(L116/L55*L118)+(L122/L55*L124)+(L128/L55*L130)</f>
        <v>0.93511763321122976</v>
      </c>
      <c r="M56" s="141"/>
      <c r="N56" s="135">
        <f>+(N110/N55*N112)+(N116/N55*N118)+(N122/N55*N124)+(N128/N55*N130)</f>
        <v>0.9610276987059132</v>
      </c>
      <c r="O56" s="135">
        <f>+(O110/O55*O112)+(O116/O55*O118)+(O122/O55*O124)+(O128/O55*O130)</f>
        <v>0.97748115441873051</v>
      </c>
      <c r="P56" s="135">
        <f>+(P110/P55*P112)+(P116/P55*P118)+(P122/P55*P124)+(P128/P55*P130)</f>
        <v>1.0267137843381786</v>
      </c>
      <c r="Q56" s="135">
        <f>+(Q110/Q55*Q112)+(Q116/Q55*Q118)+(Q122/Q55*Q124)+(Q128/Q55*Q130)</f>
        <v>1.0452215985934541</v>
      </c>
      <c r="R56" s="141"/>
      <c r="S56" s="135">
        <f>+(S110/S55*S112)+(S116/S55*S118)+(S122/S55*S124)+(S128/S55*S130)</f>
        <v>1.0062736805555557</v>
      </c>
      <c r="T56" s="135">
        <f>+(T110/T55*T112)+(T116/T55*T118)+(T122/T55*T124)+(T128/T55*T130)</f>
        <v>1.0500027556633098</v>
      </c>
      <c r="U56" s="135">
        <f>+(U110/U55*U112)+(U116/U55*U118)+(U122/U55*U124)+(U128/U55*U130)</f>
        <v>1.0879721091619341</v>
      </c>
      <c r="V56" s="135">
        <f>+(V110/V55*V112)+(V116/V55*V118)+(V122/V55*V124)+(V128/V55*V130)</f>
        <v>1.1013223094277984</v>
      </c>
      <c r="W56" s="141"/>
      <c r="X56" s="135">
        <f>+(X110/X55*X112)+(X116/X55*X118)+(X122/X55*X124)+(X128/X55*X130)</f>
        <v>1.0500686303653748</v>
      </c>
      <c r="Y56" s="135">
        <f>+(Y110/Y55*Y112)+(Y116/Y55*Y118)+(Y122/Y55*Y124)+(Y128/Y55*Y130)</f>
        <v>1.0978180908428368</v>
      </c>
      <c r="Z56" s="135">
        <f>+(Z110/Z55*Z112)+(Z116/Z55*Z118)+(Z122/Z55*Z124)+(Z128/Z55*Z130)</f>
        <v>1.1357546851852904</v>
      </c>
      <c r="AA56" s="135">
        <f>+(AA110/AA55*AA112)+(AA116/AA55*AA118)+(AA122/AA55*AA124)+(AA128/AA55*AA130)</f>
        <v>1.1435908328547004</v>
      </c>
      <c r="AB56" s="141"/>
      <c r="AC56" s="135">
        <f>+(AC110/AC55*AC112)+(AC116/AC55*AC118)+(AC122/AC55*AC124)+(AC128/AC55*AC130)</f>
        <v>1.0942131470640677</v>
      </c>
      <c r="AD56" s="135">
        <f>+(AD110/AD55*AD112)+(AD116/AD55*AD118)+(AD122/AD55*AD124)+(AD128/AD55*AD130)</f>
        <v>1.1443238665305855</v>
      </c>
      <c r="AE56" s="135">
        <f>+(AE110/AE55*AE112)+(AE116/AE55*AE118)+(AE122/AE55*AE124)+(AE128/AE55*AE130)</f>
        <v>1.1833902634993549</v>
      </c>
      <c r="AF56" s="135">
        <f>+(AF110/AF55*AF112)+(AF116/AF55*AF118)+(AF122/AF55*AF124)+(AF128/AF55*AF130)</f>
        <v>1.1892414909144835</v>
      </c>
      <c r="AG56" s="141"/>
      <c r="AH56" s="135">
        <f>+(AH110/AH55*AH112)+(AH116/AH55*AH118)+(AH122/AH55*AH124)+(AH128/AH55*AH130)</f>
        <v>1.1359454597828349</v>
      </c>
      <c r="AI56" s="135">
        <f>+(AI110/AI55*AI112)+(AI116/AI55*AI118)+(AI122/AI55*AI124)+(AI128/AI55*AI130)</f>
        <v>1.1876186545849015</v>
      </c>
      <c r="AJ56" s="135">
        <f>+(AJ110/AJ55*AJ112)+(AJ116/AJ55*AJ118)+(AJ122/AJ55*AJ124)+(AJ128/AJ55*AJ130)</f>
        <v>1.2274281226225798</v>
      </c>
      <c r="AK56" s="135">
        <f>+(AK110/AK55*AK112)+(AK116/AK55*AK118)+(AK122/AK55*AK124)+(AK128/AK55*AK130)</f>
        <v>1.2303305094795565</v>
      </c>
      <c r="AL56" s="141"/>
      <c r="AM56" s="135">
        <f>+(AM110/AM55*AM112)+(AM116/AM55*AM118)+(AM122/AM55*AM124)+(AM128/AM55*AM130)</f>
        <v>1.1740102140276381</v>
      </c>
      <c r="AN56" s="135">
        <f>+(AN110/AN55*AN112)+(AN116/AN55*AN118)+(AN122/AN55*AN124)+(AN128/AN55*AN130)</f>
        <v>1.2267174072924492</v>
      </c>
      <c r="AO56" s="135">
        <f>+(AO110/AO55*AO112)+(AO116/AO55*AO118)+(AO122/AO55*AO124)+(AO128/AO55*AO130)</f>
        <v>1.2670426016124212</v>
      </c>
      <c r="AP56" s="135">
        <f>+(AP110/AP55*AP112)+(AP116/AP55*AP118)+(AP122/AP55*AP124)+(AP128/AP55*AP130)</f>
        <v>1.2667613576654655</v>
      </c>
      <c r="AQ56" s="141"/>
    </row>
    <row r="57" spans="2:43" outlineLevel="1" x14ac:dyDescent="0.3">
      <c r="B57" s="165" t="s">
        <v>203</v>
      </c>
      <c r="C57" s="136"/>
      <c r="D57" s="153">
        <f>+D114+D120+D126+D133</f>
        <v>959.38099399999987</v>
      </c>
      <c r="E57" s="153">
        <f>+E114+E120+E126+E133</f>
        <v>964.57599000000005</v>
      </c>
      <c r="F57" s="153">
        <f>+F114+F120+F126+F133</f>
        <v>1002.4164863999999</v>
      </c>
      <c r="G57" s="153">
        <f>+G114+G120+G126+G133</f>
        <v>1065.87142064</v>
      </c>
      <c r="H57" s="142"/>
      <c r="I57" s="153">
        <f>+I114+I120+I126+I133</f>
        <v>1567.1504289999998</v>
      </c>
      <c r="J57" s="153">
        <f>+J114+J120+J126+J133</f>
        <v>1599.4943684999998</v>
      </c>
      <c r="K57" s="153">
        <f>+K114+K120+K126+K133</f>
        <v>1658.7768176000002</v>
      </c>
      <c r="L57" s="153">
        <f>+L114+L120+L126+L133</f>
        <v>1704.1205024999999</v>
      </c>
      <c r="M57" s="142"/>
      <c r="N57" s="153">
        <f>+N114+N120+N126+N133</f>
        <v>1547.0840125</v>
      </c>
      <c r="O57" s="153">
        <f>+O114+O120+O126+O133</f>
        <v>1829.0972790000001</v>
      </c>
      <c r="P57" s="153">
        <f>+P114+P120+P126+P133</f>
        <v>1875.1710295999999</v>
      </c>
      <c r="Q57" s="153">
        <f>+Q114+Q120+Q126+Q133</f>
        <v>2009.37581</v>
      </c>
      <c r="R57" s="142"/>
      <c r="S57" s="153">
        <f>+S114+S120+S126+S133</f>
        <v>1883.74433</v>
      </c>
      <c r="T57" s="153">
        <f>+T114+T120+T126+T133</f>
        <v>2080.4852226961384</v>
      </c>
      <c r="U57" s="153">
        <f>+U114+U120+U126+U133</f>
        <v>2087.6299317294438</v>
      </c>
      <c r="V57" s="153">
        <f>+V114+V120+V126+V133</f>
        <v>2251.4389285605275</v>
      </c>
      <c r="W57" s="142"/>
      <c r="X57" s="153">
        <f>+X114+X120+X126+X133</f>
        <v>2102.3112824351319</v>
      </c>
      <c r="Y57" s="153">
        <f>+Y114+Y120+Y126+Y133</f>
        <v>2286.8202822863254</v>
      </c>
      <c r="Z57" s="153">
        <f>+Z114+Z120+Z126+Z133</f>
        <v>2302.4988182171483</v>
      </c>
      <c r="AA57" s="153">
        <f>+AA114+AA120+AA126+AA133</f>
        <v>2474.4831562205272</v>
      </c>
      <c r="AB57" s="142"/>
      <c r="AC57" s="153">
        <f>+AC114+AC120+AC126+AC133</f>
        <v>2325.8179698293889</v>
      </c>
      <c r="AD57" s="153">
        <f>+AD114+AD120+AD126+AD133</f>
        <v>2520.0561742799355</v>
      </c>
      <c r="AE57" s="153">
        <f>+AE114+AE120+AE126+AE133</f>
        <v>2542.410397535647</v>
      </c>
      <c r="AF57" s="153">
        <f>+AF114+AF120+AF126+AF133</f>
        <v>2732.2917123110778</v>
      </c>
      <c r="AG57" s="142"/>
      <c r="AH57" s="153">
        <f>+AH114+AH120+AH126+AH133</f>
        <v>2559.8368993514669</v>
      </c>
      <c r="AI57" s="153">
        <f>+AI114+AI120+AI126+AI133</f>
        <v>2765.9160463675021</v>
      </c>
      <c r="AJ57" s="153">
        <f>+AJ114+AJ120+AJ126+AJ133</f>
        <v>2791.3904234322517</v>
      </c>
      <c r="AK57" s="153">
        <f>+AK114+AK120+AK126+AK133</f>
        <v>2994.6716158032605</v>
      </c>
      <c r="AL57" s="142"/>
      <c r="AM57" s="153">
        <f>+AM114+AM120+AM126+AM133</f>
        <v>2801.3770318700717</v>
      </c>
      <c r="AN57" s="153">
        <f>+AN114+AN120+AN126+AN133</f>
        <v>3018.2917871634977</v>
      </c>
      <c r="AO57" s="153">
        <f>+AO114+AO120+AO126+AO133</f>
        <v>3045.6383152346107</v>
      </c>
      <c r="AP57" s="153">
        <f>+AP114+AP120+AP126+AP133</f>
        <v>3261.3536692575394</v>
      </c>
      <c r="AQ57" s="142"/>
    </row>
    <row r="58" spans="2:43" outlineLevel="1" x14ac:dyDescent="0.3">
      <c r="B58" s="318" t="s">
        <v>206</v>
      </c>
      <c r="C58" s="319"/>
      <c r="D58" s="270">
        <v>128</v>
      </c>
      <c r="E58" s="270">
        <v>124</v>
      </c>
      <c r="F58" s="270">
        <v>118</v>
      </c>
      <c r="G58" s="270">
        <v>124</v>
      </c>
      <c r="H58" s="207"/>
      <c r="I58" s="270">
        <v>284</v>
      </c>
      <c r="J58" s="270">
        <v>259</v>
      </c>
      <c r="K58" s="270">
        <v>194</v>
      </c>
      <c r="L58" s="270">
        <v>281</v>
      </c>
      <c r="M58" s="207"/>
      <c r="N58" s="270">
        <v>219.5</v>
      </c>
      <c r="O58" s="270">
        <v>238</v>
      </c>
      <c r="P58" s="270">
        <v>222</v>
      </c>
      <c r="Q58" s="270">
        <v>235</v>
      </c>
      <c r="R58" s="207"/>
      <c r="S58" s="270">
        <v>206.4</v>
      </c>
      <c r="T58" s="270">
        <f>+O58*(1+T59)</f>
        <v>228.47206596157577</v>
      </c>
      <c r="U58" s="270">
        <f>+P58*(1+U59)</f>
        <v>215.39074917788773</v>
      </c>
      <c r="V58" s="270">
        <f>+Q58*(1+V59)</f>
        <v>217.77526977744211</v>
      </c>
      <c r="W58" s="207"/>
      <c r="X58" s="270">
        <f>+S58*(1+X59)</f>
        <v>195.93642020632993</v>
      </c>
      <c r="Y58" s="270">
        <f>+T58*(1+Y59)</f>
        <v>217.40276004899377</v>
      </c>
      <c r="Z58" s="270">
        <f>+U58*(1+Z59)</f>
        <v>204.50204475121012</v>
      </c>
      <c r="AA58" s="270">
        <f>+V58*(1+AA59)</f>
        <v>205.63457630550963</v>
      </c>
      <c r="AB58" s="207"/>
      <c r="AC58" s="270">
        <f>+X58*(1+AC59)</f>
        <v>185.87278781640535</v>
      </c>
      <c r="AD58" s="270">
        <f>+Y58*(1+AD59)</f>
        <v>206.20037721136816</v>
      </c>
      <c r="AE58" s="270">
        <f>+Z58*(1+AE59)</f>
        <v>193.80699918066304</v>
      </c>
      <c r="AF58" s="270">
        <f>+AA58*(1+AF59)</f>
        <v>194.79060746172118</v>
      </c>
      <c r="AG58" s="207"/>
      <c r="AH58" s="270">
        <f>+AC58*(1+AH59)</f>
        <v>176.21102137071247</v>
      </c>
      <c r="AI58" s="270">
        <f>+AD58*(1+AI59)</f>
        <v>195.45007223843527</v>
      </c>
      <c r="AJ58" s="270">
        <f>+AE58*(1+AJ59)</f>
        <v>183.67341621679324</v>
      </c>
      <c r="AK58" s="270">
        <f>+AF58*(1+AK59)</f>
        <v>184.60613060588008</v>
      </c>
      <c r="AL58" s="207"/>
      <c r="AM58" s="270">
        <f>+AH58*(1+AM59)</f>
        <v>167.01778500257836</v>
      </c>
      <c r="AN58" s="270">
        <f>+AI58*(1+AN59)</f>
        <v>185.24375791962689</v>
      </c>
      <c r="AO58" s="270">
        <f>+AJ58*(1+AO59)</f>
        <v>174.07820202400603</v>
      </c>
      <c r="AP58" s="270">
        <f>+AK58*(1+AP59)</f>
        <v>174.96433021568583</v>
      </c>
      <c r="AQ58" s="207"/>
    </row>
    <row r="59" spans="2:43" outlineLevel="1" x14ac:dyDescent="0.3">
      <c r="B59" s="321" t="s">
        <v>326</v>
      </c>
      <c r="C59" s="297"/>
      <c r="D59" s="171">
        <f>+D58/378-1</f>
        <v>-0.66137566137566139</v>
      </c>
      <c r="E59" s="171">
        <f>+E58/415-1</f>
        <v>-0.70120481927710843</v>
      </c>
      <c r="F59" s="171">
        <f>+F58/365-1</f>
        <v>-0.67671232876712328</v>
      </c>
      <c r="G59" s="171">
        <f>+G58/380-1</f>
        <v>-0.67368421052631577</v>
      </c>
      <c r="H59" s="59"/>
      <c r="I59" s="171">
        <f>+I58/D58-1</f>
        <v>1.21875</v>
      </c>
      <c r="J59" s="171">
        <f>+J58/E58-1</f>
        <v>1.088709677419355</v>
      </c>
      <c r="K59" s="171">
        <f>+K58/F58-1</f>
        <v>0.64406779661016955</v>
      </c>
      <c r="L59" s="171">
        <f>+L58/G58-1</f>
        <v>1.2661290322580645</v>
      </c>
      <c r="M59" s="59"/>
      <c r="N59" s="171">
        <f>+N58/I58-1</f>
        <v>-0.227112676056338</v>
      </c>
      <c r="O59" s="171">
        <f>+O58/J58-1</f>
        <v>-8.108108108108103E-2</v>
      </c>
      <c r="P59" s="171">
        <f>+P58/K58-1</f>
        <v>0.14432989690721643</v>
      </c>
      <c r="Q59" s="171">
        <f>+Q58/L58-1</f>
        <v>-0.16370106761565839</v>
      </c>
      <c r="R59" s="59"/>
      <c r="S59" s="171">
        <f>+S58/N58-1</f>
        <v>-5.9681093394077456E-2</v>
      </c>
      <c r="T59" s="147">
        <f>AVERAGE(S59,Q59,P59,O59)</f>
        <v>-4.0033336295900113E-2</v>
      </c>
      <c r="U59" s="147">
        <f>AVERAGE(T59,S59,Q59,P59)</f>
        <v>-2.9771400099604883E-2</v>
      </c>
      <c r="V59" s="147">
        <f>AVERAGE(U59,T59,S59,Q59)</f>
        <v>-7.3296724351310211E-2</v>
      </c>
      <c r="W59" s="59"/>
      <c r="X59" s="147">
        <f>AVERAGE(V59,U59,T59,S59)</f>
        <v>-5.0695638535223166E-2</v>
      </c>
      <c r="Y59" s="147">
        <f>AVERAGE(X59,V59,U59,T59)</f>
        <v>-4.8449274820509591E-2</v>
      </c>
      <c r="Z59" s="147">
        <f>AVERAGE(Y59,X59,V59,U59)</f>
        <v>-5.0553259451661961E-2</v>
      </c>
      <c r="AA59" s="147">
        <f>AVERAGE(Z59,Y59,X59,V59)</f>
        <v>-5.5748724289676234E-2</v>
      </c>
      <c r="AB59" s="59"/>
      <c r="AC59" s="147">
        <f>AVERAGE(AA59,Z59,Y59,X59)</f>
        <v>-5.1361724274267738E-2</v>
      </c>
      <c r="AD59" s="147">
        <f>AVERAGE(AC59,AA59,Z59,Y59)</f>
        <v>-5.1528245709028878E-2</v>
      </c>
      <c r="AE59" s="147">
        <f>AVERAGE(AD59,AC59,AA59,Z59)</f>
        <v>-5.2297988431158696E-2</v>
      </c>
      <c r="AF59" s="147">
        <f>AVERAGE(AE59,AD59,AC59,AA59)</f>
        <v>-5.2734170676032886E-2</v>
      </c>
      <c r="AG59" s="59"/>
      <c r="AH59" s="147">
        <f>AVERAGE(AF59,AE59,AD59,AC59)</f>
        <v>-5.1980532272622053E-2</v>
      </c>
      <c r="AI59" s="147">
        <f>AVERAGE(AH59,AF59,AE59,AD59)</f>
        <v>-5.2135234272210632E-2</v>
      </c>
      <c r="AJ59" s="147">
        <f>AVERAGE(AI59,AH59,AF59,AE59)</f>
        <v>-5.228698141300607E-2</v>
      </c>
      <c r="AK59" s="147">
        <f>AVERAGE(AJ59,AI59,AH59,AF59)</f>
        <v>-5.2284229658467914E-2</v>
      </c>
      <c r="AL59" s="59"/>
      <c r="AM59" s="147">
        <f>AVERAGE(AK59,AJ59,AI59,AH59)</f>
        <v>-5.2171744404076667E-2</v>
      </c>
      <c r="AN59" s="147">
        <f>AVERAGE(AM59,AK59,AJ59,AI59)</f>
        <v>-5.2219547436940322E-2</v>
      </c>
      <c r="AO59" s="147">
        <f>AVERAGE(AN59,AM59,AK59,AJ59)</f>
        <v>-5.2240625728122742E-2</v>
      </c>
      <c r="AP59" s="147">
        <f>AVERAGE(AO59,AN59,AM59,AK59)</f>
        <v>-5.2229036806901913E-2</v>
      </c>
      <c r="AQ59" s="59"/>
    </row>
    <row r="60" spans="2:43" x14ac:dyDescent="0.3">
      <c r="B60" s="296" t="s">
        <v>332</v>
      </c>
      <c r="C60" s="297"/>
      <c r="D60" s="144">
        <v>65</v>
      </c>
      <c r="E60" s="144">
        <v>63</v>
      </c>
      <c r="F60" s="144">
        <v>63</v>
      </c>
      <c r="G60" s="144">
        <v>65</v>
      </c>
      <c r="H60" s="59"/>
      <c r="I60" s="144">
        <v>65</v>
      </c>
      <c r="J60" s="144">
        <v>63</v>
      </c>
      <c r="K60" s="144">
        <v>62</v>
      </c>
      <c r="L60" s="144">
        <v>65</v>
      </c>
      <c r="M60" s="59"/>
      <c r="N60" s="144">
        <v>65</v>
      </c>
      <c r="O60" s="144">
        <v>63</v>
      </c>
      <c r="P60" s="144">
        <v>62</v>
      </c>
      <c r="Q60" s="144">
        <v>65</v>
      </c>
      <c r="R60" s="59"/>
      <c r="S60" s="144">
        <v>65</v>
      </c>
      <c r="T60" s="145">
        <v>63</v>
      </c>
      <c r="U60" s="145">
        <v>62</v>
      </c>
      <c r="V60" s="145">
        <v>65</v>
      </c>
      <c r="W60" s="506"/>
      <c r="X60" s="145">
        <v>65</v>
      </c>
      <c r="Y60" s="145">
        <v>63</v>
      </c>
      <c r="Z60" s="145">
        <v>62</v>
      </c>
      <c r="AA60" s="145">
        <v>65</v>
      </c>
      <c r="AB60" s="59"/>
      <c r="AC60" s="145">
        <v>65</v>
      </c>
      <c r="AD60" s="145">
        <v>63</v>
      </c>
      <c r="AE60" s="145">
        <v>62</v>
      </c>
      <c r="AF60" s="145">
        <v>65</v>
      </c>
      <c r="AG60" s="59"/>
      <c r="AH60" s="145">
        <v>65</v>
      </c>
      <c r="AI60" s="145">
        <v>63</v>
      </c>
      <c r="AJ60" s="145">
        <v>62</v>
      </c>
      <c r="AK60" s="145">
        <v>65</v>
      </c>
      <c r="AL60" s="59"/>
      <c r="AM60" s="145">
        <v>65</v>
      </c>
      <c r="AN60" s="145">
        <v>63</v>
      </c>
      <c r="AO60" s="145">
        <v>62</v>
      </c>
      <c r="AP60" s="145">
        <v>65</v>
      </c>
      <c r="AQ60" s="59"/>
    </row>
    <row r="61" spans="2:43" outlineLevel="1" x14ac:dyDescent="0.3">
      <c r="B61" s="185" t="s">
        <v>253</v>
      </c>
      <c r="C61" s="167"/>
      <c r="D61" s="322"/>
      <c r="E61" s="322"/>
      <c r="F61" s="322"/>
      <c r="G61" s="322"/>
      <c r="H61" s="170"/>
      <c r="I61" s="322"/>
      <c r="J61" s="322"/>
      <c r="K61" s="322"/>
      <c r="L61" s="322"/>
      <c r="M61" s="170"/>
      <c r="N61" s="322"/>
      <c r="O61" s="322"/>
      <c r="P61" s="322"/>
      <c r="Q61" s="191"/>
      <c r="R61" s="170"/>
      <c r="S61" s="191"/>
      <c r="T61" s="191"/>
      <c r="U61" s="191"/>
      <c r="V61" s="191"/>
      <c r="W61" s="170"/>
      <c r="X61" s="191"/>
      <c r="Y61" s="191"/>
      <c r="Z61" s="191"/>
      <c r="AA61" s="191"/>
      <c r="AB61" s="170"/>
      <c r="AC61" s="191"/>
      <c r="AD61" s="191"/>
      <c r="AE61" s="191"/>
      <c r="AF61" s="191"/>
      <c r="AG61" s="170"/>
      <c r="AH61" s="191"/>
      <c r="AI61" s="191"/>
      <c r="AJ61" s="191"/>
      <c r="AK61" s="191"/>
      <c r="AL61" s="170"/>
      <c r="AM61" s="191"/>
      <c r="AN61" s="191"/>
      <c r="AO61" s="191"/>
      <c r="AP61" s="191"/>
      <c r="AQ61" s="170"/>
    </row>
    <row r="62" spans="2:43" outlineLevel="1" x14ac:dyDescent="0.3">
      <c r="B62" s="183" t="s">
        <v>367</v>
      </c>
      <c r="C62" s="133"/>
      <c r="D62" s="173">
        <v>277269</v>
      </c>
      <c r="E62" s="173">
        <v>276180</v>
      </c>
      <c r="F62" s="173">
        <v>296643</v>
      </c>
      <c r="G62" s="173">
        <v>289243</v>
      </c>
      <c r="H62" s="141"/>
      <c r="I62" s="173">
        <v>282563</v>
      </c>
      <c r="J62" s="173">
        <v>280625</v>
      </c>
      <c r="K62" s="173">
        <v>293551</v>
      </c>
      <c r="L62" s="173">
        <v>293024</v>
      </c>
      <c r="M62" s="141"/>
      <c r="N62" s="173">
        <v>312427</v>
      </c>
      <c r="O62" s="173">
        <v>318978</v>
      </c>
      <c r="P62" s="173">
        <v>325851</v>
      </c>
      <c r="Q62" s="173">
        <v>317057</v>
      </c>
      <c r="R62" s="141"/>
      <c r="S62" s="173">
        <v>315006</v>
      </c>
      <c r="T62" s="145">
        <f>(O62/(O52+O55)*(T52+T55))*(1-2.5%)</f>
        <v>327910.18244265614</v>
      </c>
      <c r="U62" s="145">
        <f>(P62/(P52+P55)*(U52+U55))*(1-2.5%)</f>
        <v>331619.59113397065</v>
      </c>
      <c r="V62" s="145">
        <f>(Q62/(Q52+Q55)*(V52+V55))*(1-2.5%)</f>
        <v>325149.07627859566</v>
      </c>
      <c r="W62" s="141"/>
      <c r="X62" s="145">
        <f>(S62/(S52+S55)*(X52+X55))*(1-5%)</f>
        <v>316287.87433378084</v>
      </c>
      <c r="Y62" s="145">
        <f>(T62/(T52+T55)*(Y52+Y55))*(1-5%)</f>
        <v>324045.73682961357</v>
      </c>
      <c r="Z62" s="145">
        <f t="shared" ref="Z62" si="24">(U62/(U52+U55)*(Z52+Z55))*(1-5%)</f>
        <v>329171.3477713755</v>
      </c>
      <c r="AA62" s="145">
        <f>(V62/(V52+V55)*(AA52+AA55))*(1-5%)</f>
        <v>323303.54076358385</v>
      </c>
      <c r="AB62" s="141"/>
      <c r="AC62" s="145">
        <f>+X62/(X52+X55)*(AC52+AC55)</f>
        <v>332045.56655985094</v>
      </c>
      <c r="AD62" s="145">
        <f>+Y62/(Y52+Y55)*(AD52+AD55)</f>
        <v>338901.06572371308</v>
      </c>
      <c r="AE62" s="145">
        <f t="shared" ref="AE62" si="25">+Z62/(Z52+Z55)*(AE52+AE55)</f>
        <v>345085.64898448618</v>
      </c>
      <c r="AF62" s="145">
        <f>+AA62/(AA52+AA55)*(AF52+AF55)</f>
        <v>339661.425070989</v>
      </c>
      <c r="AG62" s="141"/>
      <c r="AH62" s="145">
        <f>+AC62/(AC52+AC55)*(AH52+AH55)</f>
        <v>348214.00561295444</v>
      </c>
      <c r="AI62" s="145">
        <f>+AD62/(AD52+AD55)*(AI52+AI55)</f>
        <v>354630.07375760953</v>
      </c>
      <c r="AJ62" s="145">
        <f t="shared" ref="AJ62" si="26">+AE62/(AE52+AE55)*(AJ52+AJ55)</f>
        <v>361480.68312456436</v>
      </c>
      <c r="AK62" s="145">
        <f>+AF62/(AF52+AF55)*(AK52+AK55)</f>
        <v>356185.98729117989</v>
      </c>
      <c r="AL62" s="141"/>
      <c r="AM62" s="145">
        <f>+AH62/(AH52+AH55)*(AM52+AM55)</f>
        <v>364855.18046316714</v>
      </c>
      <c r="AN62" s="145">
        <f>+AI62/(AI52+AI55)*(AN52+AN55)</f>
        <v>370830.47960298788</v>
      </c>
      <c r="AO62" s="145">
        <f t="shared" ref="AO62" si="27">+AJ62/(AJ52+AJ55)*(AO52+AO55)</f>
        <v>378232.5156612976</v>
      </c>
      <c r="AP62" s="145">
        <f>+AK62/(AK52+AK55)*(AP52+AP55)</f>
        <v>373065.61202753504</v>
      </c>
      <c r="AQ62" s="141"/>
    </row>
    <row r="63" spans="2:43" outlineLevel="1" x14ac:dyDescent="0.3">
      <c r="B63" s="183" t="s">
        <v>258</v>
      </c>
      <c r="C63" s="133"/>
      <c r="D63" s="323">
        <v>1.8813570936527344</v>
      </c>
      <c r="E63" s="323">
        <v>1.603624447823883</v>
      </c>
      <c r="F63" s="323">
        <v>1.2991575732446072</v>
      </c>
      <c r="G63" s="323">
        <v>1.3014247535808992</v>
      </c>
      <c r="H63" s="141"/>
      <c r="I63" s="323">
        <v>1.5159274214953833</v>
      </c>
      <c r="J63" s="323">
        <v>1.556415144766147</v>
      </c>
      <c r="K63" s="323">
        <v>1.6862896055540604</v>
      </c>
      <c r="L63" s="323">
        <v>1.6893428524625969</v>
      </c>
      <c r="M63" s="141"/>
      <c r="N63" s="323">
        <v>1.6185668972271923</v>
      </c>
      <c r="O63" s="323">
        <v>1.8777031644815629</v>
      </c>
      <c r="P63" s="323">
        <v>2.056</v>
      </c>
      <c r="Q63" s="323">
        <v>2.1629999999999998</v>
      </c>
      <c r="R63" s="324"/>
      <c r="S63" s="323">
        <v>2.306</v>
      </c>
      <c r="T63" s="189">
        <v>2.2000000000000002</v>
      </c>
      <c r="U63" s="189">
        <v>2</v>
      </c>
      <c r="V63" s="189">
        <v>2.2999999999999998</v>
      </c>
      <c r="W63" s="141"/>
      <c r="X63" s="189">
        <v>2.1</v>
      </c>
      <c r="Y63" s="189">
        <v>2.1</v>
      </c>
      <c r="Z63" s="189">
        <v>2.1</v>
      </c>
      <c r="AA63" s="189">
        <v>2.1</v>
      </c>
      <c r="AB63" s="141"/>
      <c r="AC63" s="189">
        <v>2.1</v>
      </c>
      <c r="AD63" s="189">
        <v>2.1</v>
      </c>
      <c r="AE63" s="189">
        <v>2.1</v>
      </c>
      <c r="AF63" s="189">
        <v>2.1</v>
      </c>
      <c r="AG63" s="141"/>
      <c r="AH63" s="189">
        <v>2.2000000000000002</v>
      </c>
      <c r="AI63" s="189">
        <v>2.2000000000000002</v>
      </c>
      <c r="AJ63" s="189">
        <v>2.2000000000000002</v>
      </c>
      <c r="AK63" s="189">
        <v>2.2000000000000002</v>
      </c>
      <c r="AL63" s="141"/>
      <c r="AM63" s="189">
        <v>2.2000000000000002</v>
      </c>
      <c r="AN63" s="189">
        <v>2.2000000000000002</v>
      </c>
      <c r="AO63" s="189">
        <v>2.2000000000000002</v>
      </c>
      <c r="AP63" s="189">
        <v>2.2000000000000002</v>
      </c>
      <c r="AQ63" s="141"/>
    </row>
    <row r="64" spans="2:43" outlineLevel="1" x14ac:dyDescent="0.3">
      <c r="B64" s="140" t="s">
        <v>259</v>
      </c>
      <c r="C64" s="139"/>
      <c r="D64" s="154">
        <f>+D62*D63/1000</f>
        <v>521.64200000000005</v>
      </c>
      <c r="E64" s="154">
        <f>+E62*E63/1000</f>
        <v>442.88900000000001</v>
      </c>
      <c r="F64" s="154">
        <f>+F62*F63/1000</f>
        <v>385.38600000000002</v>
      </c>
      <c r="G64" s="154">
        <f>+G62*G63/1000</f>
        <v>376.428</v>
      </c>
      <c r="H64" s="178"/>
      <c r="I64" s="154">
        <f>+I62*I63/1000</f>
        <v>428.34500000000003</v>
      </c>
      <c r="J64" s="154">
        <f>+J62*J63/1000</f>
        <v>436.76900000000001</v>
      </c>
      <c r="K64" s="154">
        <f>+K62*K63/1000</f>
        <v>495.012</v>
      </c>
      <c r="L64" s="154">
        <f>+L62*L63/1000</f>
        <v>495.01799999999997</v>
      </c>
      <c r="M64" s="178"/>
      <c r="N64" s="154">
        <f>+N62*N63/1000</f>
        <v>505.68400000000003</v>
      </c>
      <c r="O64" s="154">
        <f>+O62*O63/1000</f>
        <v>598.94600000000003</v>
      </c>
      <c r="P64" s="154">
        <f>+P62*P63/1000</f>
        <v>669.949656</v>
      </c>
      <c r="Q64" s="174">
        <f>+Q62*Q63/1000</f>
        <v>685.79429099999993</v>
      </c>
      <c r="R64" s="178"/>
      <c r="S64" s="154">
        <f>+S62*S63/1000</f>
        <v>726.40383599999996</v>
      </c>
      <c r="T64" s="190">
        <f>+T62*T63/1000</f>
        <v>721.40240137384353</v>
      </c>
      <c r="U64" s="190">
        <f>+U62*U63/1000</f>
        <v>663.23918226794126</v>
      </c>
      <c r="V64" s="190">
        <f>+V62*V63/1000</f>
        <v>747.84287544076994</v>
      </c>
      <c r="W64" s="178"/>
      <c r="X64" s="190">
        <f>+X62*X63/1000</f>
        <v>664.20453610093989</v>
      </c>
      <c r="Y64" s="190">
        <f>+Y62*Y63/1000</f>
        <v>680.49604734218849</v>
      </c>
      <c r="Z64" s="190">
        <f>+Z62*Z63/1000</f>
        <v>691.25983031988858</v>
      </c>
      <c r="AA64" s="190">
        <f>+AA62*AA63/1000</f>
        <v>678.93743560352607</v>
      </c>
      <c r="AB64" s="178"/>
      <c r="AC64" s="190">
        <f>+AC62*AC63/1000</f>
        <v>697.29568977568692</v>
      </c>
      <c r="AD64" s="190">
        <f>+AD62*AD63/1000</f>
        <v>711.69223801979751</v>
      </c>
      <c r="AE64" s="190">
        <f>+AE62*AE63/1000</f>
        <v>724.67986286742098</v>
      </c>
      <c r="AF64" s="190">
        <f>+AF62*AF63/1000</f>
        <v>713.28899264907693</v>
      </c>
      <c r="AG64" s="178"/>
      <c r="AH64" s="190">
        <f>+AH62*AH63/1000</f>
        <v>766.07081234849977</v>
      </c>
      <c r="AI64" s="190">
        <f>+AI62*AI63/1000</f>
        <v>780.18616226674101</v>
      </c>
      <c r="AJ64" s="190">
        <f>+AJ62*AJ63/1000</f>
        <v>795.25750287404162</v>
      </c>
      <c r="AK64" s="190">
        <f>+AK62*AK63/1000</f>
        <v>783.60917204059581</v>
      </c>
      <c r="AL64" s="178"/>
      <c r="AM64" s="190">
        <f>+AM62*AM63/1000</f>
        <v>802.6813970189678</v>
      </c>
      <c r="AN64" s="190">
        <f>+AN62*AN63/1000</f>
        <v>815.82705512657344</v>
      </c>
      <c r="AO64" s="190">
        <f>+AO62*AO63/1000</f>
        <v>832.11153445485479</v>
      </c>
      <c r="AP64" s="190">
        <f>+AP62*AP63/1000</f>
        <v>820.74434646057705</v>
      </c>
      <c r="AQ64" s="178"/>
    </row>
    <row r="65" spans="2:43" outlineLevel="1" x14ac:dyDescent="0.3">
      <c r="B65" s="183" t="s">
        <v>260</v>
      </c>
      <c r="C65" s="133"/>
      <c r="D65" s="134">
        <f>+D66-D64</f>
        <v>85.357999999999947</v>
      </c>
      <c r="E65" s="134">
        <f>+E66-E64</f>
        <v>74.11099999999999</v>
      </c>
      <c r="F65" s="134">
        <f>+F66-F64</f>
        <v>69.613999999999976</v>
      </c>
      <c r="G65" s="134">
        <f>+G66-G64</f>
        <v>67.572000000000003</v>
      </c>
      <c r="H65" s="141"/>
      <c r="I65" s="134">
        <f>+I66-I64</f>
        <v>126.65499999999997</v>
      </c>
      <c r="J65" s="134">
        <f>+J66-J64</f>
        <v>128.23099999999999</v>
      </c>
      <c r="K65" s="134">
        <f>+K66-K64</f>
        <v>137.988</v>
      </c>
      <c r="L65" s="134">
        <f>+L66-L64</f>
        <v>129.98200000000003</v>
      </c>
      <c r="M65" s="141"/>
      <c r="N65" s="134">
        <f>+N66-N64</f>
        <v>97.315999999999974</v>
      </c>
      <c r="O65" s="134">
        <f>+O66-O64</f>
        <v>104.05399999999997</v>
      </c>
      <c r="P65" s="134">
        <f>+P66-P64</f>
        <v>112.050344</v>
      </c>
      <c r="Q65" s="134">
        <f>+Q66-Q64</f>
        <v>115.20570900000007</v>
      </c>
      <c r="R65" s="141"/>
      <c r="S65" s="134">
        <f>+S66-S64</f>
        <v>118.59616400000004</v>
      </c>
      <c r="T65" s="145">
        <f>+S65/(S52+S55)*(T52+T55)</f>
        <v>128.95566824682882</v>
      </c>
      <c r="U65" s="145">
        <f t="shared" ref="U65:V65" si="28">+T65/(T52+T55)*(U52+U55)</f>
        <v>126.585548433233</v>
      </c>
      <c r="V65" s="145">
        <f t="shared" si="28"/>
        <v>127.48729613898469</v>
      </c>
      <c r="W65" s="141"/>
      <c r="X65" s="145">
        <f>+V65/(V52+V55)*(X52+X55)</f>
        <v>125.34607900768634</v>
      </c>
      <c r="Y65" s="145">
        <f>+X65/(X52+X55)*(Y52+Y55)</f>
        <v>134.14306969868758</v>
      </c>
      <c r="Z65" s="145">
        <f t="shared" ref="Z65:AA65" si="29">+Y65/(Y52+Y55)*(Z52+Z55)</f>
        <v>132.26421795579077</v>
      </c>
      <c r="AA65" s="145">
        <f t="shared" si="29"/>
        <v>133.43545517756522</v>
      </c>
      <c r="AB65" s="141"/>
      <c r="AC65" s="145">
        <f>(AA65/(AA52+AA55)*(AC52+AC55))*(1+0.5%)</f>
        <v>132.24886650293053</v>
      </c>
      <c r="AD65" s="145">
        <f>(AC65/(AC52+AC55)*(AD52+AD55))*(1+0.5%)</f>
        <v>141.69906554893049</v>
      </c>
      <c r="AE65" s="145">
        <f t="shared" ref="AE65:AF65" si="30">(AD65/(AD52+AD55)*(AE52+AE55))*(1+0.5%)</f>
        <v>140.74903526175365</v>
      </c>
      <c r="AF65" s="145">
        <f t="shared" si="30"/>
        <v>143.01159650127246</v>
      </c>
      <c r="AG65" s="141"/>
      <c r="AH65" s="145">
        <f>(AF65/(AF52+AF55)*(AH52+AH55))*(1+0.5%)</f>
        <v>141.48316109353192</v>
      </c>
      <c r="AI65" s="145">
        <f>(AH65/(AH52+AH55)*(AI52+AI55))*(1+0.5%)</f>
        <v>151.26340109955711</v>
      </c>
      <c r="AJ65" s="145">
        <f t="shared" ref="AJ65:AK65" si="31">(AI65/(AI52+AI55)*(AJ52+AJ55))*(1+0.5%)</f>
        <v>150.40693780234875</v>
      </c>
      <c r="AK65" s="145">
        <f t="shared" si="31"/>
        <v>152.99107788620648</v>
      </c>
      <c r="AL65" s="141"/>
      <c r="AM65" s="145">
        <f>(AK65/(AK52+AK55)*(AM52+AM55))*(1+0.5%)</f>
        <v>151.23185650842348</v>
      </c>
      <c r="AN65" s="145">
        <f>(AM65/(AM52+AM55)*(AN52+AN55))*(1+0.5%)</f>
        <v>161.36077407325902</v>
      </c>
      <c r="AO65" s="145">
        <f t="shared" ref="AO65" si="32">(AN65/(AN52+AN55)*(AO52+AO55))*(1+0.5%)</f>
        <v>160.54836359312557</v>
      </c>
      <c r="AP65" s="145">
        <f>(AO65/(AO52+AO55)*(AP52+AP55))*(1+0.5%)</f>
        <v>163.47025519266529</v>
      </c>
      <c r="AQ65" s="141"/>
    </row>
    <row r="66" spans="2:43" s="60" customFormat="1" outlineLevel="1" x14ac:dyDescent="0.3">
      <c r="B66" s="177" t="s">
        <v>257</v>
      </c>
      <c r="C66" s="139"/>
      <c r="D66" s="154">
        <v>607</v>
      </c>
      <c r="E66" s="154">
        <v>517</v>
      </c>
      <c r="F66" s="154">
        <v>455</v>
      </c>
      <c r="G66" s="154">
        <v>444</v>
      </c>
      <c r="H66" s="178"/>
      <c r="I66" s="154">
        <v>555</v>
      </c>
      <c r="J66" s="154">
        <v>565</v>
      </c>
      <c r="K66" s="154">
        <v>633</v>
      </c>
      <c r="L66" s="154">
        <v>625</v>
      </c>
      <c r="M66" s="178"/>
      <c r="N66" s="154">
        <v>603</v>
      </c>
      <c r="O66" s="154">
        <v>703</v>
      </c>
      <c r="P66" s="154">
        <v>782</v>
      </c>
      <c r="Q66" s="174">
        <v>801</v>
      </c>
      <c r="R66" s="178"/>
      <c r="S66" s="174">
        <v>845</v>
      </c>
      <c r="T66" s="174">
        <f>+T65+T64</f>
        <v>850.35806962067238</v>
      </c>
      <c r="U66" s="174">
        <f>+U65+U64</f>
        <v>789.8247307011743</v>
      </c>
      <c r="V66" s="174">
        <f>+V65+V64</f>
        <v>875.33017157975462</v>
      </c>
      <c r="W66" s="178"/>
      <c r="X66" s="174">
        <f>+X65+X64</f>
        <v>789.55061510862629</v>
      </c>
      <c r="Y66" s="174">
        <f>+Y65+Y64</f>
        <v>814.63911704087604</v>
      </c>
      <c r="Z66" s="174">
        <f>+Z65+Z64</f>
        <v>823.52404827567932</v>
      </c>
      <c r="AA66" s="174">
        <f>+AA65+AA64</f>
        <v>812.37289078109131</v>
      </c>
      <c r="AB66" s="178"/>
      <c r="AC66" s="174">
        <f>+AC65+AC64</f>
        <v>829.54455627861739</v>
      </c>
      <c r="AD66" s="174">
        <f>+AD65+AD64</f>
        <v>853.39130356872806</v>
      </c>
      <c r="AE66" s="174">
        <f>+AE65+AE64</f>
        <v>865.42889812917463</v>
      </c>
      <c r="AF66" s="174">
        <f>+AF65+AF64</f>
        <v>856.30058915034942</v>
      </c>
      <c r="AG66" s="178"/>
      <c r="AH66" s="174">
        <f>+AH65+AH64</f>
        <v>907.55397344203175</v>
      </c>
      <c r="AI66" s="174">
        <f>+AI65+AI64</f>
        <v>931.44956336629809</v>
      </c>
      <c r="AJ66" s="174">
        <f>+AJ65+AJ64</f>
        <v>945.66444067639031</v>
      </c>
      <c r="AK66" s="174">
        <f>+AK65+AK64</f>
        <v>936.60024992680223</v>
      </c>
      <c r="AL66" s="178"/>
      <c r="AM66" s="174">
        <f>+AM65+AM64</f>
        <v>953.91325352739125</v>
      </c>
      <c r="AN66" s="174">
        <f>+AN65+AN64</f>
        <v>977.18782919983244</v>
      </c>
      <c r="AO66" s="174">
        <f>+AO65+AO64</f>
        <v>992.65989804798039</v>
      </c>
      <c r="AP66" s="174">
        <f>+AP65+AP64</f>
        <v>984.21460165324231</v>
      </c>
      <c r="AQ66" s="178"/>
    </row>
    <row r="67" spans="2:43" outlineLevel="1" x14ac:dyDescent="0.3">
      <c r="B67" s="183" t="s">
        <v>158</v>
      </c>
      <c r="C67" s="133"/>
      <c r="D67" s="134">
        <v>345</v>
      </c>
      <c r="E67" s="134">
        <v>347</v>
      </c>
      <c r="F67" s="134">
        <v>340</v>
      </c>
      <c r="G67" s="134">
        <v>345</v>
      </c>
      <c r="H67" s="141"/>
      <c r="I67" s="134">
        <v>418</v>
      </c>
      <c r="J67" s="134">
        <v>410</v>
      </c>
      <c r="K67" s="134">
        <v>418</v>
      </c>
      <c r="L67" s="134">
        <v>416</v>
      </c>
      <c r="M67" s="141"/>
      <c r="N67" s="134">
        <v>415</v>
      </c>
      <c r="O67" s="134">
        <v>410</v>
      </c>
      <c r="P67" s="134">
        <v>423</v>
      </c>
      <c r="Q67" s="173">
        <v>431</v>
      </c>
      <c r="R67" s="141"/>
      <c r="S67" s="173">
        <v>436</v>
      </c>
      <c r="T67" s="173">
        <f>S67/(S67+S146+S163+S177)*T18</f>
        <v>401.23760231766749</v>
      </c>
      <c r="U67" s="173">
        <f>T67/(T67+T146+T163+T177)*U18</f>
        <v>406.33342477070232</v>
      </c>
      <c r="V67" s="173">
        <f>U67/(U67+U146+U163+U177)*V18</f>
        <v>416.78538907331415</v>
      </c>
      <c r="W67" s="141"/>
      <c r="X67" s="173">
        <f>V67/(V67+V146+V163+V177)*X18</f>
        <v>432.23270797829417</v>
      </c>
      <c r="Y67" s="173">
        <f>X67/(X67+X146+X163+X177)*Y18</f>
        <v>442.47613867212647</v>
      </c>
      <c r="Z67" s="173">
        <f>Y67/(Y67+Y146+Y163+Y177)*Z18</f>
        <v>447.8111010701075</v>
      </c>
      <c r="AA67" s="173">
        <f>Z67/(Z67+Z146+Z163+Z177)*AA18</f>
        <v>458.66425313417272</v>
      </c>
      <c r="AB67" s="141"/>
      <c r="AC67" s="173">
        <f>AA67/(AA67+AA146+AA163+AA177)*AC18</f>
        <v>474.91849901159532</v>
      </c>
      <c r="AD67" s="173">
        <f>AC67/(AC67+AC146+AC163+AC177)*AD18</f>
        <v>485.81651848105327</v>
      </c>
      <c r="AE67" s="173">
        <f>AD67/(AD67+AD146+AD163+AD177)*AE18</f>
        <v>491.44133360965805</v>
      </c>
      <c r="AF67" s="173">
        <f>AE67/(AE67+AE146+AE163+AE177)*AF18</f>
        <v>502.8764116831403</v>
      </c>
      <c r="AG67" s="141"/>
      <c r="AH67" s="173">
        <f>AF67/(AF67+AF146+AF163+AF177)*AH18</f>
        <v>520.03538995124222</v>
      </c>
      <c r="AI67" s="173">
        <f>AH67/(AH67+AH146+AH163+AH177)*AI18</f>
        <v>531.51658749811338</v>
      </c>
      <c r="AJ67" s="173">
        <f>AI67/(AI67+AI146+AI163+AI177)*AJ18</f>
        <v>537.43216009327546</v>
      </c>
      <c r="AK67" s="173">
        <f>AJ67/(AJ67+AJ146+AJ163+AJ177)*AK18</f>
        <v>549.44762806677829</v>
      </c>
      <c r="AL67" s="141"/>
      <c r="AM67" s="173">
        <f>AK67/(AK67+AK146+AK163+AK177)*AM18</f>
        <v>567.47556480112939</v>
      </c>
      <c r="AN67" s="173">
        <f>AM67/(AM67+AM146+AM163+AM177)*AN18</f>
        <v>579.50757859773557</v>
      </c>
      <c r="AO67" s="173">
        <f>AN67/(AN67+AN146+AN163+AN177)*AO18</f>
        <v>585.70029216608691</v>
      </c>
      <c r="AP67" s="173">
        <f>AO67/(AO67+AO146+AO163+AO177)*AP18</f>
        <v>598.26990336093957</v>
      </c>
      <c r="AQ67" s="141"/>
    </row>
    <row r="68" spans="2:43" outlineLevel="1" x14ac:dyDescent="0.3">
      <c r="B68" s="183" t="s">
        <v>254</v>
      </c>
      <c r="C68" s="133"/>
      <c r="D68" s="134">
        <v>4863</v>
      </c>
      <c r="E68" s="134">
        <v>4855</v>
      </c>
      <c r="F68" s="134">
        <v>4970</v>
      </c>
      <c r="G68" s="134">
        <v>4980</v>
      </c>
      <c r="H68" s="141"/>
      <c r="I68" s="134">
        <f>6669+97</f>
        <v>6766</v>
      </c>
      <c r="J68" s="134">
        <f>6705+97</f>
        <v>6802</v>
      </c>
      <c r="K68" s="134">
        <f>6748+98</f>
        <v>6846</v>
      </c>
      <c r="L68" s="134">
        <f>6893+97</f>
        <v>6990</v>
      </c>
      <c r="M68" s="141"/>
      <c r="N68" s="134">
        <f>6944+118</f>
        <v>7062</v>
      </c>
      <c r="O68" s="134">
        <f>7244+118</f>
        <v>7362</v>
      </c>
      <c r="P68" s="134">
        <f>7462+114</f>
        <v>7576</v>
      </c>
      <c r="Q68" s="134">
        <f>7376+123</f>
        <v>7499</v>
      </c>
      <c r="R68" s="141"/>
      <c r="S68" s="173">
        <v>7573.5</v>
      </c>
      <c r="T68" s="134">
        <f>+T69*(T54+T57+T58)</f>
        <v>7675.4196296085756</v>
      </c>
      <c r="U68" s="134">
        <f>+U69*(U54+U57+U58)</f>
        <v>7731.156355449848</v>
      </c>
      <c r="V68" s="134">
        <f>+V69*(V54+V57+V58)</f>
        <v>7696.1573852885422</v>
      </c>
      <c r="W68" s="141"/>
      <c r="X68" s="134">
        <f>+X69*(X54+X57+X58)</f>
        <v>7652.5865347002818</v>
      </c>
      <c r="Y68" s="134">
        <f>+Y69*(Y54+Y57+Y58)</f>
        <v>7672.9278073059613</v>
      </c>
      <c r="Z68" s="134">
        <f>+Z69*(Z54+Z57+Z58)</f>
        <v>7743.2997346635311</v>
      </c>
      <c r="AA68" s="134">
        <f>+AA69*(AA54+AA57+AA58)</f>
        <v>7663.2838722933366</v>
      </c>
      <c r="AB68" s="141"/>
      <c r="AC68" s="134">
        <f>+AC69*(AC54+AC57+AC58)</f>
        <v>7711.3762760275968</v>
      </c>
      <c r="AD68" s="134">
        <f>+AD69*(AD54+AD57+AD58)</f>
        <v>7707.8434550914617</v>
      </c>
      <c r="AE68" s="134">
        <f>+AE69*(AE54+AE57+AE58)</f>
        <v>7793.462868540546</v>
      </c>
      <c r="AF68" s="134">
        <f>+AF69*(AF54+AF57+AF58)</f>
        <v>7705.5482720906684</v>
      </c>
      <c r="AG68" s="141"/>
      <c r="AH68" s="134">
        <f>+AH69*(AH54+AH57+AH58)</f>
        <v>7909.9423101228094</v>
      </c>
      <c r="AI68" s="134">
        <f>+AI69*(AI54+AI57+AI58)</f>
        <v>7893.8006706721626</v>
      </c>
      <c r="AJ68" s="134">
        <f>+AJ69*(AJ54+AJ57+AJ58)</f>
        <v>7982.7522625258334</v>
      </c>
      <c r="AK68" s="134">
        <f>+AK69*(AK54+AK57+AK58)</f>
        <v>7882.8022699659568</v>
      </c>
      <c r="AL68" s="141"/>
      <c r="AM68" s="134">
        <f>+AM69*(AM54+AM57+AM58)</f>
        <v>8075.4665949013215</v>
      </c>
      <c r="AN68" s="134">
        <f>+AN69*(AN54+AN57+AN58)</f>
        <v>8045.8759532540944</v>
      </c>
      <c r="AO68" s="134">
        <f>+AO69*(AO54+AO57+AO58)</f>
        <v>8135.4627197608115</v>
      </c>
      <c r="AP68" s="134">
        <f>+AP69*(AP54+AP57+AP58)</f>
        <v>8023.0207832953365</v>
      </c>
      <c r="AQ68" s="141"/>
    </row>
    <row r="69" spans="2:43" outlineLevel="1" x14ac:dyDescent="0.3">
      <c r="B69" s="132" t="s">
        <v>256</v>
      </c>
      <c r="C69" s="133"/>
      <c r="D69" s="151">
        <f>+D68/(D54+D57+D58)</f>
        <v>0.76603429408350565</v>
      </c>
      <c r="E69" s="151">
        <f>+E68/(E54+E57+E58)</f>
        <v>0.76696953817486646</v>
      </c>
      <c r="F69" s="151">
        <f>+F68/(F54+F57+F58)</f>
        <v>0.7823097369669022</v>
      </c>
      <c r="G69" s="151">
        <f>+G68/(G54+G57+G58)</f>
        <v>0.76357241359418604</v>
      </c>
      <c r="H69" s="141"/>
      <c r="I69" s="151">
        <f>+I68/(I54+I57+I58)</f>
        <v>0.82018835035356952</v>
      </c>
      <c r="J69" s="151">
        <f>+J68/(J54+J57+J58)</f>
        <v>0.81074870759486339</v>
      </c>
      <c r="K69" s="151">
        <f>+K68/(K54+K57+K58)</f>
        <v>0.81865283910378295</v>
      </c>
      <c r="L69" s="151">
        <f>+L68/(L54+L57+L58)</f>
        <v>0.7923818484765025</v>
      </c>
      <c r="M69" s="141"/>
      <c r="N69" s="151">
        <f>+N68/(N54+N57+N58)</f>
        <v>0.84067555784298453</v>
      </c>
      <c r="O69" s="151">
        <f>+O68/(O54+O57+O58)</f>
        <v>0.81117525370408738</v>
      </c>
      <c r="P69" s="151">
        <f>+P68/(P54+P57+P58)</f>
        <v>0.83266920640531594</v>
      </c>
      <c r="Q69" s="151">
        <f>+Q68/(Q54+Q57+Q58)</f>
        <v>0.78131123171234529</v>
      </c>
      <c r="R69" s="553"/>
      <c r="S69" s="151">
        <f>+S68/(S54+S57+S58)</f>
        <v>0.82130523124020871</v>
      </c>
      <c r="T69" s="182">
        <f>+O69-1.75%</f>
        <v>0.79367525370408742</v>
      </c>
      <c r="U69" s="182">
        <f>+P69-1.93%</f>
        <v>0.81336920640531596</v>
      </c>
      <c r="V69" s="182">
        <f>+Q69-1.05%</f>
        <v>0.77081123171234533</v>
      </c>
      <c r="W69" s="141"/>
      <c r="X69" s="182">
        <f>+S69-1.8%</f>
        <v>0.80330523124020869</v>
      </c>
      <c r="Y69" s="182">
        <f>+T69-1.8%</f>
        <v>0.77567525370408741</v>
      </c>
      <c r="Z69" s="182">
        <f>+U69-1.8%</f>
        <v>0.79536920640531594</v>
      </c>
      <c r="AA69" s="182">
        <f>+V69-1.8%</f>
        <v>0.75281123171234532</v>
      </c>
      <c r="AB69" s="141"/>
      <c r="AC69" s="182">
        <f>+X69-1.5%</f>
        <v>0.78830523124020868</v>
      </c>
      <c r="AD69" s="182">
        <f>+Y69-1.5%</f>
        <v>0.7606752537040874</v>
      </c>
      <c r="AE69" s="182">
        <f>+Z69-1.5%</f>
        <v>0.78036920640531593</v>
      </c>
      <c r="AF69" s="182">
        <f>+AA69-1.5%</f>
        <v>0.73781123171234531</v>
      </c>
      <c r="AG69" s="141"/>
      <c r="AH69" s="182">
        <f>+AC69+0.25%</f>
        <v>0.79080523124020863</v>
      </c>
      <c r="AI69" s="182">
        <f>+AD69+0.25%</f>
        <v>0.76317525370408734</v>
      </c>
      <c r="AJ69" s="182">
        <f>+AE69+0.25%</f>
        <v>0.78286920640531588</v>
      </c>
      <c r="AK69" s="182">
        <f>+AF69+0.25%</f>
        <v>0.74031123171234525</v>
      </c>
      <c r="AL69" s="141"/>
      <c r="AM69" s="182">
        <f>+AH69+0.25%</f>
        <v>0.79330523124020857</v>
      </c>
      <c r="AN69" s="182">
        <f>+AI69+0.25%</f>
        <v>0.76567525370408729</v>
      </c>
      <c r="AO69" s="182">
        <f>+AJ69+0.25%</f>
        <v>0.78536920640531582</v>
      </c>
      <c r="AP69" s="182">
        <f>+AK69+0.25%</f>
        <v>0.7428112317123452</v>
      </c>
      <c r="AQ69" s="141"/>
    </row>
    <row r="70" spans="2:43" outlineLevel="1" x14ac:dyDescent="0.3">
      <c r="B70" s="140" t="s">
        <v>263</v>
      </c>
      <c r="C70" s="139"/>
      <c r="D70" s="154">
        <f>+D54+D57+D58-D66-D67-D68</f>
        <v>533.27975399999923</v>
      </c>
      <c r="E70" s="154">
        <f>+E54+E57+E58-E66-E67-E68</f>
        <v>611.10798780000096</v>
      </c>
      <c r="F70" s="154">
        <f>+F54+F57+F58-F66-F67-F68</f>
        <v>587.98241240000061</v>
      </c>
      <c r="G70" s="154">
        <f>+G54+G57+G58-G66-G67-G68</f>
        <v>752.9747483526935</v>
      </c>
      <c r="H70" s="141"/>
      <c r="I70" s="154">
        <f>+I54+I57+I58-I66-I67-I68</f>
        <v>510.3246790000012</v>
      </c>
      <c r="J70" s="154">
        <f>+J54+J57+J58-J66-J67-J68</f>
        <v>612.77593954920667</v>
      </c>
      <c r="K70" s="154">
        <f>+K54+K57+K58-K66-K67-K68</f>
        <v>465.51909599999999</v>
      </c>
      <c r="L70" s="154">
        <f>+L54+L57+L58-L66-L67-L68</f>
        <v>790.50444692737437</v>
      </c>
      <c r="M70" s="196">
        <f>+SUM(I70:L70)</f>
        <v>2379.1241614765822</v>
      </c>
      <c r="N70" s="154">
        <f>+N54+N57+N58-N66-N67-N68</f>
        <v>320.38696750000054</v>
      </c>
      <c r="O70" s="154">
        <f>+O54+O57+O58-O66-O67-O68</f>
        <v>600.72064900000078</v>
      </c>
      <c r="P70" s="154">
        <f>+P54+P57+P58-P66-P67-P68</f>
        <v>317.45103159999962</v>
      </c>
      <c r="Q70" s="154">
        <f>+Q54+Q57+Q58-Q66-Q67-Q68</f>
        <v>866.96774399999958</v>
      </c>
      <c r="R70" s="196">
        <f>+SUM(N70:Q70)</f>
        <v>2105.5263921000005</v>
      </c>
      <c r="S70" s="154">
        <f>+S54+S57+S58-S66-S67-S68</f>
        <v>366.79765149999912</v>
      </c>
      <c r="T70" s="154">
        <f>+T54+T57+T58-T66-T67-T68</f>
        <v>743.71538305909235</v>
      </c>
      <c r="U70" s="154">
        <f>+U54+U57+U58-U66-U67-U68</f>
        <v>577.78636401510994</v>
      </c>
      <c r="V70" s="154">
        <f>+V54+V57+V58-V66-V67-V68</f>
        <v>996.21750860410884</v>
      </c>
      <c r="W70" s="196">
        <f>+SUM(S70:V70)</f>
        <v>2684.5169071783102</v>
      </c>
      <c r="X70" s="154">
        <f>+X54+X57+X58-X66-X67-X68</f>
        <v>652.00472200432887</v>
      </c>
      <c r="Y70" s="154">
        <f>+Y54+Y57+Y58-Y66-Y67-Y68</f>
        <v>961.89015344678774</v>
      </c>
      <c r="Z70" s="154">
        <f>+Z54+Z57+Z58-Z66-Z67-Z68</f>
        <v>720.84352313131058</v>
      </c>
      <c r="AA70" s="154">
        <f>+AA54+AA57+AA58-AA66-AA67-AA68</f>
        <v>1245.2346937433113</v>
      </c>
      <c r="AB70" s="434">
        <f>+SUM(X70:AA70)</f>
        <v>3579.9730923257384</v>
      </c>
      <c r="AC70" s="154">
        <f>+AC54+AC57+AC58-AC66-AC67-AC68</f>
        <v>766.38203475837508</v>
      </c>
      <c r="AD70" s="154">
        <f>+AD54+AD57+AD58-AD66-AD67-AD68</f>
        <v>1085.8450114632951</v>
      </c>
      <c r="AE70" s="154">
        <f>+AE54+AE57+AE58-AE66-AE67-AE68</f>
        <v>836.55875113063121</v>
      </c>
      <c r="AF70" s="154">
        <f>+AF54+AF57+AF58-AF66-AF67-AF68</f>
        <v>1379.0683979952819</v>
      </c>
      <c r="AG70" s="141"/>
      <c r="AH70" s="154">
        <f>+AH54+AH57+AH58-AH66-AH67-AH68</f>
        <v>664.85829261724393</v>
      </c>
      <c r="AI70" s="154">
        <f>+AI54+AI57+AI58-AI66-AI67-AI68</f>
        <v>986.59878467174167</v>
      </c>
      <c r="AJ70" s="154">
        <f>+AJ54+AJ57+AJ58-AJ66-AJ67-AJ68</f>
        <v>730.94032857994716</v>
      </c>
      <c r="AK70" s="154">
        <f>+AK54+AK57+AK58-AK66-AK67-AK68</f>
        <v>1279.1069980275342</v>
      </c>
      <c r="AL70" s="141"/>
      <c r="AM70" s="154">
        <f>+AM54+AM57+AM58-AM66-AM67-AM68</f>
        <v>582.66474734768781</v>
      </c>
      <c r="AN70" s="154">
        <f>+AN54+AN57+AN58-AN66-AN67-AN68</f>
        <v>905.63811069340136</v>
      </c>
      <c r="AO70" s="154">
        <f>+AO54+AO57+AO58-AO66-AO67-AO68</f>
        <v>644.95185915228831</v>
      </c>
      <c r="AP70" s="154">
        <f>+AP54+AP57+AP58-AP66-AP67-AP68</f>
        <v>1195.3825291787671</v>
      </c>
      <c r="AQ70" s="141"/>
    </row>
    <row r="71" spans="2:43" ht="15" outlineLevel="1" thickBot="1" x14ac:dyDescent="0.35">
      <c r="B71" s="186" t="s">
        <v>255</v>
      </c>
      <c r="C71" s="187"/>
      <c r="D71" s="188">
        <f>+D70/(D54+D57+D58)</f>
        <v>8.4003820667163262E-2</v>
      </c>
      <c r="E71" s="188">
        <f>+E70/(E54+E57+E58)</f>
        <v>9.6539899315744318E-2</v>
      </c>
      <c r="F71" s="188">
        <f>+F70/(F54+F57+F58)</f>
        <v>9.255218639553503E-2</v>
      </c>
      <c r="G71" s="188">
        <f>+G70/(G54+G57+G58)</f>
        <v>0.11545195702312068</v>
      </c>
      <c r="H71" s="143"/>
      <c r="I71" s="188">
        <f>+I70/(I54+I57+I58)</f>
        <v>6.1862600741017716E-2</v>
      </c>
      <c r="J71" s="188">
        <f>+J70/(J54+J57+J58)</f>
        <v>7.303841532413223E-2</v>
      </c>
      <c r="K71" s="188">
        <f>+K70/(K54+K57+K58)</f>
        <v>5.5667328308125395E-2</v>
      </c>
      <c r="L71" s="188">
        <f>+L70/(L54+L57+L58)</f>
        <v>8.961106936841319E-2</v>
      </c>
      <c r="M71" s="143"/>
      <c r="N71" s="188">
        <f>+N70/(N54+N57+N58)</f>
        <v>3.8139548658833913E-2</v>
      </c>
      <c r="O71" s="188">
        <f>+O70/(O54+O57+O58)</f>
        <v>6.6189856677242545E-2</v>
      </c>
      <c r="P71" s="188">
        <f>+P70/(P54+P57+P58)</f>
        <v>3.4890667707882864E-2</v>
      </c>
      <c r="Q71" s="188">
        <f>+Q70/(Q54+Q57+Q58)</f>
        <v>9.0328261890853842E-2</v>
      </c>
      <c r="R71" s="143"/>
      <c r="S71" s="188">
        <f>+S70/(S54+S57+S58)</f>
        <v>3.9777227171528651E-2</v>
      </c>
      <c r="T71" s="188">
        <f>+T70/(T54+T57+T58)</f>
        <v>7.6903742572724934E-2</v>
      </c>
      <c r="U71" s="188">
        <f>+U70/(U54+U57+U58)</f>
        <v>6.078697865675723E-2</v>
      </c>
      <c r="V71" s="188">
        <f>+V70/(V54+V57+V58)</f>
        <v>9.9776499676110436E-2</v>
      </c>
      <c r="W71" s="433">
        <f>+W70-M70</f>
        <v>305.39274570172802</v>
      </c>
      <c r="X71" s="188">
        <f>+X70/(X54+X57+X58)</f>
        <v>6.8442062249729096E-2</v>
      </c>
      <c r="Y71" s="188">
        <f>+Y70/(Y54+Y57+Y58)</f>
        <v>9.7239855182772603E-2</v>
      </c>
      <c r="Z71" s="188">
        <f>+Z70/(Z54+Z57+Z58)</f>
        <v>7.4042948172182002E-2</v>
      </c>
      <c r="AA71" s="188">
        <f>+AA70/(AA54+AA57+AA58)</f>
        <v>0.12232701791944844</v>
      </c>
      <c r="AB71" s="435">
        <f>+AB70-M70</f>
        <v>1200.8489308491562</v>
      </c>
      <c r="AC71" s="188">
        <f>+AC70/(AC54+AC57+AC58)</f>
        <v>7.8344376607149296E-2</v>
      </c>
      <c r="AD71" s="188">
        <f>+AD70/(AD54+AD57+AD58)</f>
        <v>0.10716037947456714</v>
      </c>
      <c r="AE71" s="188">
        <f>+AE70/(AE54+AE57+AE58)</f>
        <v>8.3765676406370698E-2</v>
      </c>
      <c r="AF71" s="188">
        <f>+AF70/(AF54+AF57+AF58)</f>
        <v>0.13204669121674373</v>
      </c>
      <c r="AG71" s="143"/>
      <c r="AH71" s="188">
        <f>+AH70/(AH54+AH57+AH58)</f>
        <v>6.6469943170418239E-2</v>
      </c>
      <c r="AI71" s="188">
        <f>+AI70/(AI54+AI57+AI58)</f>
        <v>9.5384696068324545E-2</v>
      </c>
      <c r="AJ71" s="188">
        <f>+AJ70/(AJ54+AJ57+AJ58)</f>
        <v>7.1683381388559314E-2</v>
      </c>
      <c r="AK71" s="188">
        <f>+AK70/(AK54+AK57+AK58)</f>
        <v>0.12012698590824018</v>
      </c>
      <c r="AL71" s="143"/>
      <c r="AM71" s="188">
        <f>+AM70/(AM54+AM57+AM58)</f>
        <v>5.7238920711035819E-2</v>
      </c>
      <c r="AN71" s="188">
        <f>+AN70/(AN54+AN57+AN58)</f>
        <v>8.6183865398621995E-2</v>
      </c>
      <c r="AO71" s="188">
        <f>+AO70/(AO54+AO57+AO58)</f>
        <v>6.226140383653038E-2</v>
      </c>
      <c r="AP71" s="188">
        <f>+AP70/(AP54+AP57+AP58)</f>
        <v>0.11067446948604173</v>
      </c>
      <c r="AQ71" s="143"/>
    </row>
    <row r="72" spans="2:43" ht="15.6" x14ac:dyDescent="0.3">
      <c r="B72" s="630" t="s">
        <v>201</v>
      </c>
      <c r="C72" s="638"/>
      <c r="D72" s="95" t="s">
        <v>71</v>
      </c>
      <c r="E72" s="95" t="s">
        <v>74</v>
      </c>
      <c r="F72" s="95" t="s">
        <v>75</v>
      </c>
      <c r="G72" s="95" t="s">
        <v>79</v>
      </c>
      <c r="H72" s="408"/>
      <c r="I72" s="95" t="s">
        <v>81</v>
      </c>
      <c r="J72" s="95" t="s">
        <v>92</v>
      </c>
      <c r="K72" s="95" t="s">
        <v>110</v>
      </c>
      <c r="L72" s="95" t="s">
        <v>114</v>
      </c>
      <c r="M72" s="408"/>
      <c r="N72" s="95" t="s">
        <v>116</v>
      </c>
      <c r="O72" s="95" t="s">
        <v>117</v>
      </c>
      <c r="P72" s="95" t="s">
        <v>118</v>
      </c>
      <c r="Q72" s="95" t="s">
        <v>119</v>
      </c>
      <c r="R72" s="408"/>
      <c r="S72" s="95" t="s">
        <v>518</v>
      </c>
      <c r="T72" s="97" t="s">
        <v>378</v>
      </c>
      <c r="U72" s="97" t="s">
        <v>379</v>
      </c>
      <c r="V72" s="97" t="s">
        <v>380</v>
      </c>
      <c r="W72" s="412"/>
      <c r="X72" s="97" t="s">
        <v>382</v>
      </c>
      <c r="Y72" s="97" t="s">
        <v>383</v>
      </c>
      <c r="Z72" s="97" t="s">
        <v>384</v>
      </c>
      <c r="AA72" s="97" t="s">
        <v>385</v>
      </c>
      <c r="AB72" s="412"/>
      <c r="AC72" s="97" t="s">
        <v>387</v>
      </c>
      <c r="AD72" s="97" t="s">
        <v>388</v>
      </c>
      <c r="AE72" s="97" t="s">
        <v>389</v>
      </c>
      <c r="AF72" s="97" t="s">
        <v>390</v>
      </c>
      <c r="AG72" s="412"/>
      <c r="AH72" s="97" t="s">
        <v>392</v>
      </c>
      <c r="AI72" s="97" t="s">
        <v>393</v>
      </c>
      <c r="AJ72" s="97" t="s">
        <v>394</v>
      </c>
      <c r="AK72" s="97" t="s">
        <v>395</v>
      </c>
      <c r="AL72" s="412"/>
      <c r="AM72" s="97" t="s">
        <v>397</v>
      </c>
      <c r="AN72" s="97" t="s">
        <v>398</v>
      </c>
      <c r="AO72" s="97" t="s">
        <v>399</v>
      </c>
      <c r="AP72" s="97" t="s">
        <v>400</v>
      </c>
      <c r="AQ72" s="412"/>
    </row>
    <row r="73" spans="2:43" ht="16.2" outlineLevel="1" x14ac:dyDescent="0.45">
      <c r="B73" s="643" t="s">
        <v>169</v>
      </c>
      <c r="C73" s="644"/>
      <c r="D73" s="271">
        <f>+ROUND((1658-D78),0)</f>
        <v>0</v>
      </c>
      <c r="E73" s="271">
        <f>ROUND((1682-E78),0)</f>
        <v>0</v>
      </c>
      <c r="F73" s="271">
        <f>ROUND((1704-F78),0)</f>
        <v>0</v>
      </c>
      <c r="G73" s="271">
        <f>ROUND((1719-G78),0)</f>
        <v>0</v>
      </c>
      <c r="H73" s="272"/>
      <c r="I73" s="271">
        <f>ROUND((1722-I78),0)</f>
        <v>0</v>
      </c>
      <c r="J73" s="271">
        <f>ROUND((1709-J78),0)</f>
        <v>0</v>
      </c>
      <c r="K73" s="271">
        <f>ROUND((1742-K78),0)</f>
        <v>0</v>
      </c>
      <c r="L73" s="271">
        <f>ROUND((1782-L78),0)</f>
        <v>0</v>
      </c>
      <c r="M73" s="53"/>
      <c r="N73" s="271">
        <f>ROUND((1750-N78),0)</f>
        <v>0</v>
      </c>
      <c r="O73" s="271">
        <f>ROUND((1787-O78),0)</f>
        <v>0</v>
      </c>
      <c r="P73" s="271">
        <f>ROUND((1836-P78),0)</f>
        <v>0</v>
      </c>
      <c r="Q73" s="271"/>
      <c r="R73" s="80"/>
      <c r="S73" s="52"/>
      <c r="T73" s="52"/>
      <c r="U73" s="52"/>
      <c r="V73" s="52"/>
      <c r="W73" s="80"/>
      <c r="X73" s="52"/>
      <c r="Y73" s="52"/>
      <c r="Z73" s="52"/>
      <c r="AA73" s="52"/>
      <c r="AB73" s="80"/>
      <c r="AC73" s="52"/>
      <c r="AD73" s="52"/>
      <c r="AE73" s="52"/>
      <c r="AF73" s="52"/>
      <c r="AG73" s="80"/>
      <c r="AH73" s="52"/>
      <c r="AI73" s="52"/>
      <c r="AJ73" s="52"/>
      <c r="AK73" s="52"/>
      <c r="AL73" s="80"/>
      <c r="AM73" s="52"/>
      <c r="AN73" s="52"/>
      <c r="AO73" s="52"/>
      <c r="AP73" s="52"/>
      <c r="AQ73" s="80"/>
    </row>
    <row r="74" spans="2:43" outlineLevel="2" x14ac:dyDescent="0.3">
      <c r="B74" s="128" t="s">
        <v>363</v>
      </c>
      <c r="C74" s="292"/>
      <c r="D74" s="269">
        <v>1210</v>
      </c>
      <c r="E74" s="269">
        <v>1290</v>
      </c>
      <c r="F74" s="269">
        <v>1315.5</v>
      </c>
      <c r="G74" s="269">
        <v>1269.5039999999999</v>
      </c>
      <c r="H74" s="59"/>
      <c r="I74" s="269">
        <v>1255</v>
      </c>
      <c r="J74" s="269">
        <v>1282.604</v>
      </c>
      <c r="K74" s="269">
        <v>1322.4</v>
      </c>
      <c r="L74" s="269">
        <v>1201.7</v>
      </c>
      <c r="M74" s="59"/>
      <c r="N74" s="269">
        <v>1188.2</v>
      </c>
      <c r="O74" s="269">
        <v>1248</v>
      </c>
      <c r="P74" s="269">
        <v>1314.5</v>
      </c>
      <c r="Q74" s="269">
        <v>1257.2</v>
      </c>
      <c r="R74" s="55"/>
      <c r="S74" s="269">
        <v>1231</v>
      </c>
      <c r="T74" s="129">
        <f>+O74*(1+T75)</f>
        <v>1263.3666141626038</v>
      </c>
      <c r="U74" s="129">
        <f>+P74*(1+U75)</f>
        <v>1343.5979196151388</v>
      </c>
      <c r="V74" s="129">
        <f>+Q74*(1+V75)</f>
        <v>1293.8645244925501</v>
      </c>
      <c r="W74" s="55"/>
      <c r="X74" s="129">
        <f>+S74*(1+X75)</f>
        <v>1268.190466515164</v>
      </c>
      <c r="Y74" s="129">
        <f>+T74*(1+Y75)</f>
        <v>1274.0497467419375</v>
      </c>
      <c r="Z74" s="129">
        <f>+U74*(1+Z75)</f>
        <v>1353.6639608842911</v>
      </c>
      <c r="AA74" s="129">
        <f>+V74*(1+AA75)</f>
        <v>1298.8210492227724</v>
      </c>
      <c r="AB74" s="55"/>
      <c r="AC74" s="129">
        <f>+X74*(1+AC75)</f>
        <v>1284.0397778668062</v>
      </c>
      <c r="AD74" s="129">
        <f>+Y74*(1+AD75)</f>
        <v>1284.3301525115014</v>
      </c>
      <c r="AE74" s="129">
        <f>+Z74*(1+AE75)</f>
        <v>1364.4558110440444</v>
      </c>
      <c r="AF74" s="129">
        <f>+AA74*(1+AF75)</f>
        <v>1309.3316851127327</v>
      </c>
      <c r="AG74" s="55"/>
      <c r="AH74" s="129">
        <f>+AC74*(1+AH75)</f>
        <v>1292.5887304868922</v>
      </c>
      <c r="AI74" s="129">
        <f>+AD74*(1+AI75)</f>
        <v>1291.006005286835</v>
      </c>
      <c r="AJ74" s="129">
        <f>+AE74*(1+AJ75)</f>
        <v>1370.568761222627</v>
      </c>
      <c r="AK74" s="129">
        <f>+AF74*(1+AK75)</f>
        <v>1314.0545635262633</v>
      </c>
      <c r="AL74" s="55"/>
      <c r="AM74" s="129">
        <f>+AH74*(1+AM75)</f>
        <v>1295.8017865038451</v>
      </c>
      <c r="AN74" s="129">
        <f>+AI74*(1+AN75)</f>
        <v>1292.8685742878874</v>
      </c>
      <c r="AO74" s="129">
        <f>+AJ74*(1+AO75)</f>
        <v>1371.2594279621103</v>
      </c>
      <c r="AP74" s="129">
        <f>+AK74*(1+AP75)</f>
        <v>1313.4105117460472</v>
      </c>
      <c r="AQ74" s="55"/>
    </row>
    <row r="75" spans="2:43" outlineLevel="2" x14ac:dyDescent="0.3">
      <c r="B75" s="146" t="s">
        <v>205</v>
      </c>
      <c r="C75" s="292"/>
      <c r="D75" s="171">
        <f>+D74/1211-1</f>
        <v>-8.2576383154420174E-4</v>
      </c>
      <c r="E75" s="171">
        <f>+E74/1259-1</f>
        <v>2.4622716441620396E-2</v>
      </c>
      <c r="F75" s="171">
        <f>+F74/1258-1</f>
        <v>4.5707472178060371E-2</v>
      </c>
      <c r="G75" s="171">
        <f>+G74/1231-1</f>
        <v>3.1278635255889364E-2</v>
      </c>
      <c r="H75" s="89"/>
      <c r="I75" s="171">
        <f>+I74/D74-1</f>
        <v>3.7190082644628086E-2</v>
      </c>
      <c r="J75" s="171">
        <f>+J74/E74-1</f>
        <v>-5.733333333333257E-3</v>
      </c>
      <c r="K75" s="171">
        <f>+K74/F74-1</f>
        <v>5.2451539338655984E-3</v>
      </c>
      <c r="L75" s="171">
        <f>+L74/G74-1</f>
        <v>-5.3409835652349136E-2</v>
      </c>
      <c r="M75" s="89"/>
      <c r="N75" s="171">
        <f>+N74/I74-1</f>
        <v>-5.3227091633466062E-2</v>
      </c>
      <c r="O75" s="171">
        <f>+O74/J74-1</f>
        <v>-2.697948860287358E-2</v>
      </c>
      <c r="P75" s="171">
        <f>+P74/K74-1</f>
        <v>-5.9739866908651296E-3</v>
      </c>
      <c r="Q75" s="171">
        <f>+Q74/L74-1</f>
        <v>4.6184571856536571E-2</v>
      </c>
      <c r="R75" s="81"/>
      <c r="S75" s="171">
        <f>+S74/N74-1</f>
        <v>3.6020871907086249E-2</v>
      </c>
      <c r="T75" s="182">
        <f>AVERAGE(S75,Q75,P75,O75)</f>
        <v>1.2312992117471028E-2</v>
      </c>
      <c r="U75" s="182">
        <f>AVERAGE(T75,S75,Q75,P75)</f>
        <v>2.213611229755718E-2</v>
      </c>
      <c r="V75" s="182">
        <f>AVERAGE(U75,T75,S75,Q75)</f>
        <v>2.9163637044662759E-2</v>
      </c>
      <c r="W75" s="62"/>
      <c r="X75" s="147">
        <f>AVERAGE(V75,U75,T75,S75)+0.53031860288693%</f>
        <v>3.0211589370563605E-2</v>
      </c>
      <c r="Y75" s="147">
        <f>AVERAGE(X75,V75,U75,T75)-1.5%</f>
        <v>8.4560827075636433E-3</v>
      </c>
      <c r="Z75" s="147">
        <f>AVERAGE(Y75,X75,V75,U75)-1.5%</f>
        <v>7.4918553550867989E-3</v>
      </c>
      <c r="AA75" s="147">
        <f>AVERAGE(Z75,Y75,X75,V75)-1.5%</f>
        <v>3.8307911194692019E-3</v>
      </c>
      <c r="AB75" s="62"/>
      <c r="AC75" s="147">
        <f>AVERAGE(AA75,Z75,Y75,X75)</f>
        <v>1.2497579638170813E-2</v>
      </c>
      <c r="AD75" s="147">
        <f>AVERAGE(AC75,AA75,Z75,Y75)</f>
        <v>8.0690772050726143E-3</v>
      </c>
      <c r="AE75" s="147">
        <f>AVERAGE(AD75,AC75,AA75,Z75)</f>
        <v>7.9723258294498583E-3</v>
      </c>
      <c r="AF75" s="147">
        <f>AVERAGE(AE75,AD75,AC75,AA75)</f>
        <v>8.0924434480406215E-3</v>
      </c>
      <c r="AG75" s="62"/>
      <c r="AH75" s="182">
        <f>AVERAGE(AF75,AE75,AD75,AC75)-0.25%</f>
        <v>6.6578565301834754E-3</v>
      </c>
      <c r="AI75" s="182">
        <f>AVERAGE(AH75,AF75,AE75,AD75)-0.25%</f>
        <v>5.1979257531866423E-3</v>
      </c>
      <c r="AJ75" s="182">
        <f>AVERAGE(AI75,AH75,AF75,AE75)-0.25%</f>
        <v>4.4801378902151485E-3</v>
      </c>
      <c r="AK75" s="182">
        <f>AVERAGE(AJ75,AI75,AH75,AF75)-0.25%</f>
        <v>3.6070909054064727E-3</v>
      </c>
      <c r="AL75" s="62"/>
      <c r="AM75" s="182">
        <f>AVERAGE(AK75,AJ75,AI75,AH75)-0.25%</f>
        <v>2.485752769747935E-3</v>
      </c>
      <c r="AN75" s="182">
        <f>AVERAGE(AM75,AK75,AJ75,AI75)-0.25%</f>
        <v>1.4427268296390489E-3</v>
      </c>
      <c r="AO75" s="182">
        <f>AVERAGE(AN75,AM75,AK75,AJ75)-0.25%</f>
        <v>5.0392709875215136E-4</v>
      </c>
      <c r="AP75" s="182">
        <f>AVERAGE(AO75,AN75,AM75,AK75)-0.25%</f>
        <v>-4.9012559911359825E-4</v>
      </c>
      <c r="AQ75" s="62"/>
    </row>
    <row r="76" spans="2:43" outlineLevel="2" x14ac:dyDescent="0.3">
      <c r="B76" s="128" t="s">
        <v>174</v>
      </c>
      <c r="C76" s="292"/>
      <c r="D76" s="148">
        <v>21.074999999999999</v>
      </c>
      <c r="E76" s="148">
        <v>20.7</v>
      </c>
      <c r="F76" s="148">
        <v>20.56</v>
      </c>
      <c r="G76" s="148">
        <v>20.834</v>
      </c>
      <c r="H76" s="59"/>
      <c r="I76" s="148">
        <v>21.11</v>
      </c>
      <c r="J76" s="148">
        <v>21.155999999999999</v>
      </c>
      <c r="K76" s="148">
        <v>21.244</v>
      </c>
      <c r="L76" s="148">
        <v>22.814</v>
      </c>
      <c r="M76" s="59"/>
      <c r="N76" s="148">
        <v>22.664999999999999</v>
      </c>
      <c r="O76" s="148">
        <v>22.73</v>
      </c>
      <c r="P76" s="148">
        <v>22.53</v>
      </c>
      <c r="Q76" s="148">
        <v>23.263000000000002</v>
      </c>
      <c r="R76" s="425"/>
      <c r="S76" s="148">
        <v>23.57</v>
      </c>
      <c r="T76" s="148">
        <f>+O76*(1+T77)</f>
        <v>23.640298946167544</v>
      </c>
      <c r="U76" s="148">
        <f>+P76*(1+U77)</f>
        <v>23.432289276601615</v>
      </c>
      <c r="V76" s="148">
        <f>+Q76*(1+V77)</f>
        <v>24.075500984829379</v>
      </c>
      <c r="W76" s="55"/>
      <c r="X76" s="148">
        <f>+S76*(1+X77)</f>
        <v>24.483059681678043</v>
      </c>
      <c r="Y76" s="148">
        <f>+T76*(1+Y77)</f>
        <v>24.194437356477025</v>
      </c>
      <c r="Z76" s="148">
        <f>+U76*(1+Z77)</f>
        <v>23.884261380501517</v>
      </c>
      <c r="AA76" s="148">
        <f>+V76*(1+AA77)</f>
        <v>24.503425366253186</v>
      </c>
      <c r="AB76" s="55"/>
      <c r="AC76" s="148">
        <f>+X76*(1+AC77)</f>
        <v>25.090492508887163</v>
      </c>
      <c r="AD76" s="148">
        <f>+Y76*(1+AD77)</f>
        <v>24.710465053766761</v>
      </c>
      <c r="AE76" s="148">
        <f>+Z76*(1+AE77)</f>
        <v>24.381062322842883</v>
      </c>
      <c r="AF76" s="148">
        <f>+AA76*(1+AF77)</f>
        <v>25.022366917231004</v>
      </c>
      <c r="AG76" s="55"/>
      <c r="AH76" s="148">
        <f>+AC76*(1+AH77)</f>
        <v>25.580493313182313</v>
      </c>
      <c r="AI76" s="148">
        <f>+AD76*(1+AI77)</f>
        <v>25.160420244082406</v>
      </c>
      <c r="AJ76" s="148">
        <f>+AE76*(1+AJ77)</f>
        <v>24.806006628475188</v>
      </c>
      <c r="AK76" s="148">
        <f>+AF76*(1+AK77)</f>
        <v>25.437400660777811</v>
      </c>
      <c r="AL76" s="55"/>
      <c r="AM76" s="148">
        <f>+AH76*(1+AM77)</f>
        <v>25.975419192054265</v>
      </c>
      <c r="AN76" s="148">
        <f>+AI76*(1+AN77)</f>
        <v>25.52312932892907</v>
      </c>
      <c r="AO76" s="148">
        <f>+AJ76*(1+AO77)</f>
        <v>25.140082784428508</v>
      </c>
      <c r="AP76" s="148">
        <f>+AK76*(1+AP77)</f>
        <v>25.754786139809479</v>
      </c>
      <c r="AQ76" s="55"/>
    </row>
    <row r="77" spans="2:43" outlineLevel="2" x14ac:dyDescent="0.3">
      <c r="B77" s="146" t="s">
        <v>204</v>
      </c>
      <c r="C77" s="297"/>
      <c r="D77" s="171">
        <f>+D76/21.69-1</f>
        <v>-2.835408022130026E-2</v>
      </c>
      <c r="E77" s="171">
        <f>+E76/21.5-1</f>
        <v>-3.7209302325581395E-2</v>
      </c>
      <c r="F77" s="171">
        <f>+F76/20.85-1</f>
        <v>-1.3908872901678748E-2</v>
      </c>
      <c r="G77" s="171">
        <f>+G76/21.12-1</f>
        <v>-1.3541666666666785E-2</v>
      </c>
      <c r="H77" s="89"/>
      <c r="I77" s="171">
        <f>+I76/D76-1</f>
        <v>1.6607354685647113E-3</v>
      </c>
      <c r="J77" s="171">
        <f>+J76/E76-1</f>
        <v>2.2028985507246412E-2</v>
      </c>
      <c r="K77" s="171">
        <f>+K76/F76-1</f>
        <v>3.3268482490272477E-2</v>
      </c>
      <c r="L77" s="171">
        <f>+L76/G76-1</f>
        <v>9.5036958817317885E-2</v>
      </c>
      <c r="M77" s="89"/>
      <c r="N77" s="171">
        <f>+N76/I76-1</f>
        <v>7.3661771672193233E-2</v>
      </c>
      <c r="O77" s="171">
        <f>+O76/J76-1</f>
        <v>7.4399697485347138E-2</v>
      </c>
      <c r="P77" s="171">
        <f>+P76/K76-1</f>
        <v>6.05347392204858E-2</v>
      </c>
      <c r="Q77" s="171">
        <f>+Q76/L76-1</f>
        <v>1.9680897694398292E-2</v>
      </c>
      <c r="R77" s="62"/>
      <c r="S77" s="171">
        <f>+S76/N76-1</f>
        <v>3.9929406574012782E-2</v>
      </c>
      <c r="T77" s="147">
        <f>AVERAGE(S77,Q77,P77)</f>
        <v>4.0048347829632291E-2</v>
      </c>
      <c r="U77" s="147">
        <f>AVERAGE(T77,S77,Q77,P77)</f>
        <v>4.0048347829632291E-2</v>
      </c>
      <c r="V77" s="147">
        <f>AVERAGE(U77,T77,S77,Q77)</f>
        <v>3.4926749981918914E-2</v>
      </c>
      <c r="W77" s="62"/>
      <c r="X77" s="147">
        <f>AVERAGE(V77,U77,T77,S77)</f>
        <v>3.873821305379907E-2</v>
      </c>
      <c r="Y77" s="147">
        <f>AVERAGE(X77,V77,U77,T77)-1.5%</f>
        <v>2.3440414673745642E-2</v>
      </c>
      <c r="Z77" s="147">
        <f>AVERAGE(Y77,X77,V77,U77)-1.5%</f>
        <v>1.9288431384773978E-2</v>
      </c>
      <c r="AA77" s="147">
        <f>AVERAGE(Z77,Y77,X77,V77)-1.13241853250356%</f>
        <v>1.7774266948523798E-2</v>
      </c>
      <c r="AB77" s="62"/>
      <c r="AC77" s="147">
        <f>AVERAGE(AA77,Z77,Y77,X77)</f>
        <v>2.4810331515210622E-2</v>
      </c>
      <c r="AD77" s="147">
        <f>AVERAGE(AC77,AA77,Z77,Y77)</f>
        <v>2.1328361130563508E-2</v>
      </c>
      <c r="AE77" s="147">
        <f>AVERAGE(AD77,AC77,AA77,Z77)</f>
        <v>2.080034774476798E-2</v>
      </c>
      <c r="AF77" s="147">
        <f>AVERAGE(AE77,AD77,AC77,AA77)</f>
        <v>2.1178326834766475E-2</v>
      </c>
      <c r="AG77" s="62"/>
      <c r="AH77" s="182">
        <f>AVERAGE(AF77,AE77,AD77,AC77)-0.25%</f>
        <v>1.9529341806327146E-2</v>
      </c>
      <c r="AI77" s="182">
        <f>AVERAGE(AH77,AF77,AE77,AD77)-0.25%</f>
        <v>1.820909437910628E-2</v>
      </c>
      <c r="AJ77" s="182">
        <f>AVERAGE(AI77,AH77,AF77,AE77)-0.25%</f>
        <v>1.742927769124197E-2</v>
      </c>
      <c r="AK77" s="182">
        <f>AVERAGE(AJ77,AI77,AH77,AF77)-0.25%</f>
        <v>1.6586510177860468E-2</v>
      </c>
      <c r="AL77" s="62"/>
      <c r="AM77" s="182">
        <f>AVERAGE(AK77,AJ77,AI77,AH77)-0.25%</f>
        <v>1.5438556013633966E-2</v>
      </c>
      <c r="AN77" s="182">
        <f>AVERAGE(AM77,AK77,AJ77,AI77)-0.25%</f>
        <v>1.4415859565460673E-2</v>
      </c>
      <c r="AO77" s="182">
        <f>AVERAGE(AN77,AM77,AK77,AJ77)-0.25%</f>
        <v>1.3467550862049269E-2</v>
      </c>
      <c r="AP77" s="182">
        <f>AVERAGE(AO77,AN77,AM77,AK77)-0.25%</f>
        <v>1.2477119154751094E-2</v>
      </c>
      <c r="AQ77" s="62"/>
    </row>
    <row r="78" spans="2:43" s="60" customFormat="1" outlineLevel="2" x14ac:dyDescent="0.3">
      <c r="B78" s="124" t="s">
        <v>168</v>
      </c>
      <c r="C78" s="172"/>
      <c r="D78" s="149">
        <f>+D74*D76*D60/1000</f>
        <v>1657.5487499999999</v>
      </c>
      <c r="E78" s="149">
        <f>+E74*E76*E60/1000</f>
        <v>1682.289</v>
      </c>
      <c r="F78" s="149">
        <f>+F74*F76*F60/1000</f>
        <v>1703.9408399999998</v>
      </c>
      <c r="G78" s="149">
        <f>+G74*G76*G60/1000</f>
        <v>1719.1750118399998</v>
      </c>
      <c r="H78" s="127"/>
      <c r="I78" s="149">
        <f>+I74*I76*I60/1000</f>
        <v>1722.0482500000001</v>
      </c>
      <c r="J78" s="149">
        <f>+J74*J76*J60/1000</f>
        <v>1709.490524112</v>
      </c>
      <c r="K78" s="149">
        <f>+K74*K76*K60/1000</f>
        <v>1741.7700672000001</v>
      </c>
      <c r="L78" s="149">
        <f>+L74*L76*L60/1000</f>
        <v>1782.0129469999999</v>
      </c>
      <c r="M78" s="127"/>
      <c r="N78" s="149">
        <f>+N74*N76*N60/1000</f>
        <v>1750.4859450000001</v>
      </c>
      <c r="O78" s="149">
        <f>+O74*O76*O60/1000</f>
        <v>1787.1235200000001</v>
      </c>
      <c r="P78" s="149">
        <f>+P74*P76*P60/1000</f>
        <v>1836.17247</v>
      </c>
      <c r="Q78" s="149">
        <f>+Q74*Q76*Q60/1000</f>
        <v>1901.005834</v>
      </c>
      <c r="R78" s="127"/>
      <c r="S78" s="149">
        <f>+S74*S76*S60/1000</f>
        <v>1885.95355</v>
      </c>
      <c r="T78" s="149">
        <f>+T74*T76*T60/1000</f>
        <v>1881.5809595569219</v>
      </c>
      <c r="U78" s="149">
        <f>+U74*U76*U60/1000</f>
        <v>1951.9816576794476</v>
      </c>
      <c r="V78" s="149">
        <f>+V74*V76*V60/1000</f>
        <v>2024.7783811876523</v>
      </c>
      <c r="W78" s="126"/>
      <c r="X78" s="149">
        <f>+X74*X76*X60/1000</f>
        <v>2018.1968871626821</v>
      </c>
      <c r="Y78" s="149">
        <f>+Y74*Y76*Y60/1000</f>
        <v>1941.9697575547432</v>
      </c>
      <c r="Z78" s="149">
        <f>+Z74*Z76*Z60/1000</f>
        <v>2004.5383595137744</v>
      </c>
      <c r="AA78" s="149">
        <f>+AA74*AA76*AA60/1000</f>
        <v>2068.6617018436759</v>
      </c>
      <c r="AB78" s="126"/>
      <c r="AC78" s="149">
        <f>+AC74*AC76*AC60/1000</f>
        <v>2094.1173777992153</v>
      </c>
      <c r="AD78" s="149">
        <f>+AD74*AD76*AD60/1000</f>
        <v>1999.3929071214666</v>
      </c>
      <c r="AE78" s="149">
        <f>+AE74*AE76*AE60/1000</f>
        <v>2062.5466942814587</v>
      </c>
      <c r="AF78" s="149">
        <f>+AF74*AF76*AF60/1000</f>
        <v>2129.5675596810652</v>
      </c>
      <c r="AG78" s="126"/>
      <c r="AH78" s="149">
        <f>+AH74*AH76*AH60/1000</f>
        <v>2149.2287294994594</v>
      </c>
      <c r="AI78" s="149">
        <f>+AI74*AI76*AI60/1000</f>
        <v>2046.3819787310028</v>
      </c>
      <c r="AJ78" s="149">
        <f>+AJ74*AJ76*AJ60/1000</f>
        <v>2107.8969420915096</v>
      </c>
      <c r="AK78" s="149">
        <f>+AK74*AK76*AK60/1000</f>
        <v>2172.69860746517</v>
      </c>
      <c r="AL78" s="126"/>
      <c r="AM78" s="149">
        <f>+AM74*AM76*AM60/1000</f>
        <v>2187.8346486262617</v>
      </c>
      <c r="AN78" s="149">
        <f>+AN74*AN76*AN60/1000</f>
        <v>2078.8772650920469</v>
      </c>
      <c r="AO78" s="149">
        <f>+AO74*AO76*AO60/1000</f>
        <v>2137.3616833495225</v>
      </c>
      <c r="AP78" s="149">
        <f>+AP74*AP76*AP60/1000</f>
        <v>2198.729444846816</v>
      </c>
      <c r="AQ78" s="126"/>
    </row>
    <row r="79" spans="2:43" ht="16.2" outlineLevel="1" x14ac:dyDescent="0.45">
      <c r="B79" s="674" t="s">
        <v>170</v>
      </c>
      <c r="C79" s="675"/>
      <c r="D79" s="131"/>
      <c r="E79" s="131"/>
      <c r="F79" s="131"/>
      <c r="G79" s="131"/>
      <c r="H79" s="141"/>
      <c r="I79" s="131"/>
      <c r="J79" s="131"/>
      <c r="K79" s="131"/>
      <c r="L79" s="131"/>
      <c r="M79" s="141"/>
      <c r="N79" s="131"/>
      <c r="O79" s="131"/>
      <c r="P79" s="131"/>
      <c r="Q79" s="131"/>
      <c r="R79" s="141"/>
      <c r="S79" s="131"/>
      <c r="T79" s="131"/>
      <c r="U79" s="131"/>
      <c r="V79" s="131"/>
      <c r="W79" s="141"/>
      <c r="X79" s="131"/>
      <c r="Y79" s="131"/>
      <c r="Z79" s="131"/>
      <c r="AA79" s="131"/>
      <c r="AB79" s="141"/>
      <c r="AC79" s="131"/>
      <c r="AD79" s="131"/>
      <c r="AE79" s="131"/>
      <c r="AF79" s="131"/>
      <c r="AG79" s="141"/>
      <c r="AH79" s="131"/>
      <c r="AI79" s="131"/>
      <c r="AJ79" s="131"/>
      <c r="AK79" s="131"/>
      <c r="AL79" s="141"/>
      <c r="AM79" s="131"/>
      <c r="AN79" s="131"/>
      <c r="AO79" s="131"/>
      <c r="AP79" s="131"/>
      <c r="AQ79" s="141"/>
    </row>
    <row r="80" spans="2:43" outlineLevel="2" x14ac:dyDescent="0.3">
      <c r="B80" s="132" t="s">
        <v>364</v>
      </c>
      <c r="C80" s="133"/>
      <c r="D80" s="134">
        <v>541</v>
      </c>
      <c r="E80" s="134">
        <v>531</v>
      </c>
      <c r="F80" s="134">
        <v>535</v>
      </c>
      <c r="G80" s="134">
        <v>558</v>
      </c>
      <c r="H80" s="141"/>
      <c r="I80" s="134">
        <v>570</v>
      </c>
      <c r="J80" s="134">
        <v>557.4</v>
      </c>
      <c r="K80" s="134">
        <v>549.4</v>
      </c>
      <c r="L80" s="134">
        <v>565</v>
      </c>
      <c r="M80" s="141"/>
      <c r="N80" s="134">
        <v>557.29999999999995</v>
      </c>
      <c r="O80" s="134">
        <v>547</v>
      </c>
      <c r="P80" s="134">
        <v>541</v>
      </c>
      <c r="Q80" s="134">
        <v>551</v>
      </c>
      <c r="R80" s="141"/>
      <c r="S80" s="134">
        <v>550.5</v>
      </c>
      <c r="T80" s="134">
        <f>+O80*(1+T81)</f>
        <v>537.30060835568327</v>
      </c>
      <c r="U80" s="134">
        <f>+P80*(1+U81)</f>
        <v>531.5322522486415</v>
      </c>
      <c r="V80" s="134">
        <f>+Q80*(1+V81)</f>
        <v>541.05267534906761</v>
      </c>
      <c r="W80" s="141"/>
      <c r="X80" s="134">
        <f>+S80*(1+X81)</f>
        <v>541.48730444047385</v>
      </c>
      <c r="Y80" s="134">
        <f>+T80*(1+Y81)</f>
        <v>519.88434604253882</v>
      </c>
      <c r="Z80" s="134">
        <f>+U80*(1+Z81)</f>
        <v>512.35192588766017</v>
      </c>
      <c r="AA80" s="134">
        <f>+V80*(1+AA81)</f>
        <v>519.01500454686243</v>
      </c>
      <c r="AB80" s="141"/>
      <c r="AC80" s="134">
        <f>+X80*(1+AC81)</f>
        <v>524.48429431735599</v>
      </c>
      <c r="AD80" s="134">
        <f>+Y80*(1+AD81)</f>
        <v>501.6063801793282</v>
      </c>
      <c r="AE80" s="134">
        <f>+Z80*(1+AE81)</f>
        <v>493.98738887933877</v>
      </c>
      <c r="AF80" s="134">
        <f>+AA80*(1+AF81)</f>
        <v>500.44295784401538</v>
      </c>
      <c r="AG80" s="141"/>
      <c r="AH80" s="134">
        <f>+AC80*(1+AH81)</f>
        <v>505.05409456200044</v>
      </c>
      <c r="AI80" s="134">
        <f>+AD80*(1+AI81)</f>
        <v>482.31573951312515</v>
      </c>
      <c r="AJ80" s="134">
        <f>+AE80*(1+AJ81)</f>
        <v>474.58222114967907</v>
      </c>
      <c r="AK80" s="134">
        <f>+AF80*(1+AK81)</f>
        <v>480.35392698898642</v>
      </c>
      <c r="AL80" s="141"/>
      <c r="AM80" s="134">
        <f>+AH80*(1+AM81)</f>
        <v>484.2295477774752</v>
      </c>
      <c r="AN80" s="134">
        <f>+AI80*(1+AN81)</f>
        <v>461.9240024123236</v>
      </c>
      <c r="AO80" s="134">
        <f>+AJ80*(1+AO81)</f>
        <v>454.06409298900093</v>
      </c>
      <c r="AP80" s="134">
        <f>+AK80*(1+AP81)</f>
        <v>459.11175083068048</v>
      </c>
      <c r="AQ80" s="141"/>
    </row>
    <row r="81" spans="2:43" outlineLevel="2" x14ac:dyDescent="0.3">
      <c r="B81" s="150" t="s">
        <v>205</v>
      </c>
      <c r="C81" s="133"/>
      <c r="D81" s="151">
        <f>+D80/527-1</f>
        <v>2.6565464895635715E-2</v>
      </c>
      <c r="E81" s="151">
        <f>+E80/521.4-1</f>
        <v>1.8411967779056404E-2</v>
      </c>
      <c r="F81" s="151">
        <f>+F80/516-1</f>
        <v>3.6821705426356655E-2</v>
      </c>
      <c r="G81" s="151">
        <f>+G80/547-1</f>
        <v>2.0109689213893889E-2</v>
      </c>
      <c r="H81" s="152"/>
      <c r="I81" s="151">
        <f>+I80/D80-1</f>
        <v>5.3604436229205188E-2</v>
      </c>
      <c r="J81" s="151">
        <f>+J80/E80-1</f>
        <v>4.9717514124293816E-2</v>
      </c>
      <c r="K81" s="151">
        <f>+K80/F80-1</f>
        <v>2.6915887850467168E-2</v>
      </c>
      <c r="L81" s="151">
        <f>+L80/G80-1</f>
        <v>1.2544802867383575E-2</v>
      </c>
      <c r="M81" s="152"/>
      <c r="N81" s="151">
        <f>+N80/I80-1</f>
        <v>-2.2280701754386012E-2</v>
      </c>
      <c r="O81" s="151">
        <f>+O80/J80-1</f>
        <v>-1.8658055256548178E-2</v>
      </c>
      <c r="P81" s="151">
        <f>+P80/K80-1</f>
        <v>-1.5289406625409452E-2</v>
      </c>
      <c r="Q81" s="151">
        <f>+Q80/L80-1</f>
        <v>-2.4778761061946875E-2</v>
      </c>
      <c r="R81" s="152"/>
      <c r="S81" s="151">
        <f>+S80/N80-1</f>
        <v>-1.2201686703750103E-2</v>
      </c>
      <c r="T81" s="147">
        <f>AVERAGE(S81,Q81,P81,O81)</f>
        <v>-1.7731977411913652E-2</v>
      </c>
      <c r="U81" s="147">
        <f>AVERAGE(T81,S81,Q81,P81)</f>
        <v>-1.750045795075502E-2</v>
      </c>
      <c r="V81" s="147">
        <f>AVERAGE(U81,T81,S81,Q81)</f>
        <v>-1.8053220782091414E-2</v>
      </c>
      <c r="W81" s="152"/>
      <c r="X81" s="147">
        <f>AVERAGE(V81,U81,T81,S81)</f>
        <v>-1.6371835712127546E-2</v>
      </c>
      <c r="Y81" s="147">
        <f>AVERAGE(X81,V81,U81,T81)-1.5%</f>
        <v>-3.2414372964221908E-2</v>
      </c>
      <c r="Z81" s="147">
        <f>AVERAGE(Y81,X81,V81,U81)-1.5%</f>
        <v>-3.6084971852298975E-2</v>
      </c>
      <c r="AA81" s="147">
        <f>AVERAGE(Z81,Y81,X81,V81)-1.5%</f>
        <v>-4.0731100327684955E-2</v>
      </c>
      <c r="AB81" s="152"/>
      <c r="AC81" s="147">
        <f>AVERAGE(AA81,Z81,Y81,X81)</f>
        <v>-3.1400570214083344E-2</v>
      </c>
      <c r="AD81" s="147">
        <f>AVERAGE(AC81,AA81,Z81,Y81)</f>
        <v>-3.51577538395723E-2</v>
      </c>
      <c r="AE81" s="147">
        <f>AVERAGE(AD81,AC81,AA81,Z81)</f>
        <v>-3.5843599058409892E-2</v>
      </c>
      <c r="AF81" s="147">
        <f>AVERAGE(AE81,AD81,AC81,AA81)</f>
        <v>-3.5783255859937621E-2</v>
      </c>
      <c r="AG81" s="152"/>
      <c r="AH81" s="182">
        <f>AVERAGE(AF81,AE81,AD81,AC81)-0.25%</f>
        <v>-3.7046294743000793E-2</v>
      </c>
      <c r="AI81" s="182">
        <f>AVERAGE(AH81,AF81,AE81,AD81)-0.25%</f>
        <v>-3.845772587523015E-2</v>
      </c>
      <c r="AJ81" s="182">
        <f>AVERAGE(AI81,AH81,AF81,AE81)-0.25%</f>
        <v>-3.9282718884144613E-2</v>
      </c>
      <c r="AK81" s="182">
        <f>AVERAGE(AJ81,AI81,AH81,AF81)-0.25%</f>
        <v>-4.01424988405783E-2</v>
      </c>
      <c r="AL81" s="152"/>
      <c r="AM81" s="182">
        <f>AVERAGE(AK81,AJ81,AI81,AH81)-0.25%</f>
        <v>-4.1232309585738466E-2</v>
      </c>
      <c r="AN81" s="182">
        <f>AVERAGE(AM81,AK81,AJ81,AI81)-0.25%</f>
        <v>-4.2278813296422885E-2</v>
      </c>
      <c r="AO81" s="182">
        <f>AVERAGE(AN81,AM81,AK81,AJ81)-0.25%</f>
        <v>-4.3234085151721072E-2</v>
      </c>
      <c r="AP81" s="182">
        <f>AVERAGE(AO81,AN81,AM81,AK81)-0.25%</f>
        <v>-4.4221926718615183E-2</v>
      </c>
      <c r="AQ81" s="152"/>
    </row>
    <row r="82" spans="2:43" outlineLevel="2" x14ac:dyDescent="0.3">
      <c r="B82" s="132" t="s">
        <v>175</v>
      </c>
      <c r="C82" s="133"/>
      <c r="D82" s="135">
        <v>11.99</v>
      </c>
      <c r="E82" s="135">
        <v>11.87</v>
      </c>
      <c r="F82" s="135">
        <v>12.11</v>
      </c>
      <c r="G82" s="135">
        <v>11.994</v>
      </c>
      <c r="H82" s="141"/>
      <c r="I82" s="135">
        <v>11.96</v>
      </c>
      <c r="J82" s="135">
        <v>12.004</v>
      </c>
      <c r="K82" s="135">
        <v>12.414</v>
      </c>
      <c r="L82" s="135">
        <v>12.6</v>
      </c>
      <c r="M82" s="141"/>
      <c r="N82" s="135">
        <v>12.43</v>
      </c>
      <c r="O82" s="135">
        <v>12.53</v>
      </c>
      <c r="P82" s="135">
        <v>12.97</v>
      </c>
      <c r="Q82" s="135">
        <v>13.15</v>
      </c>
      <c r="R82" s="141"/>
      <c r="S82" s="135">
        <v>13.085000000000001</v>
      </c>
      <c r="T82" s="135">
        <f>+O82*(1+T83)</f>
        <v>13.119469792738986</v>
      </c>
      <c r="U82" s="135">
        <f>+P82*(1+U83)</f>
        <v>13.580169450265338</v>
      </c>
      <c r="V82" s="135">
        <f>+Q82*(1+V83)</f>
        <v>13.776055846770573</v>
      </c>
      <c r="W82" s="141"/>
      <c r="X82" s="135">
        <f>+S82*(1+X83)</f>
        <v>13.720908933949781</v>
      </c>
      <c r="Y82" s="135">
        <f>+T82*(1+Y83)</f>
        <v>13.546824961904116</v>
      </c>
      <c r="Z82" s="135">
        <f>+U82*(1+Z83)</f>
        <v>13.973403349889249</v>
      </c>
      <c r="AA82" s="135">
        <f>+V82*(1+AA83)</f>
        <v>14.112665925212189</v>
      </c>
      <c r="AB82" s="141"/>
      <c r="AC82" s="135">
        <f>+X82*(1+AC83)</f>
        <v>14.182491776371599</v>
      </c>
      <c r="AD82" s="135">
        <f>+Y82*(1+AD83)</f>
        <v>13.95189488999165</v>
      </c>
      <c r="AE82" s="135">
        <f>+Z82*(1+AE83)</f>
        <v>14.381892083435547</v>
      </c>
      <c r="AF82" s="135">
        <f>+AA82*(1+AF83)</f>
        <v>14.526202442730593</v>
      </c>
      <c r="AG82" s="141"/>
      <c r="AH82" s="135">
        <f>+AC82*(1+AH83)</f>
        <v>14.579878507377792</v>
      </c>
      <c r="AI82" s="135">
        <f>+AD82*(1+AI83)</f>
        <v>14.323213432991279</v>
      </c>
      <c r="AJ82" s="135">
        <f>+AE82*(1+AJ83)</f>
        <v>14.752835387326028</v>
      </c>
      <c r="AK82" s="135">
        <f>+AF82*(1+AK83)</f>
        <v>14.888371988878875</v>
      </c>
      <c r="AL82" s="141"/>
      <c r="AM82" s="135">
        <f>+AH82*(1+AM83)</f>
        <v>14.927456510508073</v>
      </c>
      <c r="AN82" s="135">
        <f>+AI82*(1+AN83)</f>
        <v>14.649705034965251</v>
      </c>
      <c r="AO82" s="135">
        <f>+AJ82*(1+AO83)</f>
        <v>15.075032469873502</v>
      </c>
      <c r="AP82" s="135">
        <f>+AK82*(1+AP83)</f>
        <v>15.198816778470166</v>
      </c>
      <c r="AQ82" s="141"/>
    </row>
    <row r="83" spans="2:43" outlineLevel="2" x14ac:dyDescent="0.3">
      <c r="B83" s="150" t="s">
        <v>204</v>
      </c>
      <c r="C83" s="133"/>
      <c r="D83" s="151">
        <f>+D82/12.32-1</f>
        <v>-2.6785714285714302E-2</v>
      </c>
      <c r="E83" s="151">
        <f>+E82/12.15-1</f>
        <v>-2.3045267489712029E-2</v>
      </c>
      <c r="F83" s="151">
        <f>+F82/12.07-1</f>
        <v>3.314001657000798E-3</v>
      </c>
      <c r="G83" s="151">
        <f>+G82/12.07-1</f>
        <v>-6.2966031483016049E-3</v>
      </c>
      <c r="H83" s="152"/>
      <c r="I83" s="151">
        <f>+I82/D82-1</f>
        <v>-2.5020850708923348E-3</v>
      </c>
      <c r="J83" s="151">
        <f>+J82/E82-1</f>
        <v>1.1288963774220839E-2</v>
      </c>
      <c r="K83" s="151">
        <f>+K82/F82-1</f>
        <v>2.5103220478942978E-2</v>
      </c>
      <c r="L83" s="151">
        <f>+L82/G82-1</f>
        <v>5.0525262631315737E-2</v>
      </c>
      <c r="M83" s="152"/>
      <c r="N83" s="151">
        <f>+N82/I82-1</f>
        <v>3.9297658862876172E-2</v>
      </c>
      <c r="O83" s="151">
        <f>+O82/J82-1</f>
        <v>4.3818727090969567E-2</v>
      </c>
      <c r="P83" s="151">
        <f>+P82/K82-1</f>
        <v>4.4788142419848631E-2</v>
      </c>
      <c r="Q83" s="151">
        <f>+Q82/L82-1</f>
        <v>4.3650793650793718E-2</v>
      </c>
      <c r="R83" s="152"/>
      <c r="S83" s="151">
        <f>+S82/N82-1</f>
        <v>5.2695092518101561E-2</v>
      </c>
      <c r="T83" s="147">
        <f>AVERAGE(S83,Q83,P83)</f>
        <v>4.704467619624797E-2</v>
      </c>
      <c r="U83" s="147">
        <f>AVERAGE(T83,S83,Q83,P83)</f>
        <v>4.704467619624797E-2</v>
      </c>
      <c r="V83" s="147">
        <f>AVERAGE(U83,T83,S83,Q83)</f>
        <v>4.7608809640347804E-2</v>
      </c>
      <c r="W83" s="152"/>
      <c r="X83" s="147">
        <f>AVERAGE(V83,U83,T83,S83)</f>
        <v>4.8598313637736326E-2</v>
      </c>
      <c r="Y83" s="147">
        <f>AVERAGE(X83,V83,U83,T83)-1.5%</f>
        <v>3.2574118917645015E-2</v>
      </c>
      <c r="Z83" s="147">
        <f>AVERAGE(Y83,X83,V83,U83)-1.5%</f>
        <v>2.8956479597994279E-2</v>
      </c>
      <c r="AA83" s="147">
        <f>AVERAGE(Z83,Y83,X83,V83)-1.5%</f>
        <v>2.4434430448430855E-2</v>
      </c>
      <c r="AB83" s="152"/>
      <c r="AC83" s="147">
        <f>AVERAGE(AA83,Z83,Y83,X83)</f>
        <v>3.3640835650451617E-2</v>
      </c>
      <c r="AD83" s="147">
        <f>AVERAGE(AC83,AA83,Z83,Y83)</f>
        <v>2.990146615363044E-2</v>
      </c>
      <c r="AE83" s="147">
        <f>AVERAGE(AD83,AC83,AA83,Z83)</f>
        <v>2.92333029626268E-2</v>
      </c>
      <c r="AF83" s="147">
        <f>AVERAGE(AE83,AD83,AC83,AA83)</f>
        <v>2.9302508803784929E-2</v>
      </c>
      <c r="AG83" s="152"/>
      <c r="AH83" s="182">
        <f>AVERAGE(AF83,AE83,AD83,AC83)-0.25%</f>
        <v>2.801952839262345E-2</v>
      </c>
      <c r="AI83" s="182">
        <f>AVERAGE(AH83,AF83,AE83,AD83)-0.25%</f>
        <v>2.6614201578166408E-2</v>
      </c>
      <c r="AJ83" s="182">
        <f>AVERAGE(AI83,AH83,AF83,AE83)-0.25%</f>
        <v>2.5792385434300399E-2</v>
      </c>
      <c r="AK83" s="182">
        <f>AVERAGE(AJ83,AI83,AH83,AF83)-0.25%</f>
        <v>2.4932156052218799E-2</v>
      </c>
      <c r="AL83" s="152"/>
      <c r="AM83" s="182">
        <f>AVERAGE(AK83,AJ83,AI83,AH83)-0.25%</f>
        <v>2.3839567864327265E-2</v>
      </c>
      <c r="AN83" s="182">
        <f>AVERAGE(AM83,AK83,AJ83,AI83)-0.25%</f>
        <v>2.279457773225322E-2</v>
      </c>
      <c r="AO83" s="182">
        <f>AVERAGE(AN83,AM83,AK83,AJ83)-0.25%</f>
        <v>2.1839671770774921E-2</v>
      </c>
      <c r="AP83" s="182">
        <f>AVERAGE(AO83,AN83,AM83,AK83)-0.25%</f>
        <v>2.0851493354893551E-2</v>
      </c>
      <c r="AQ83" s="152"/>
    </row>
    <row r="84" spans="2:43" outlineLevel="2" x14ac:dyDescent="0.3">
      <c r="B84" s="137" t="s">
        <v>171</v>
      </c>
      <c r="C84" s="136"/>
      <c r="D84" s="153">
        <f>+D80*D82*D60/1000</f>
        <v>421.62835000000001</v>
      </c>
      <c r="E84" s="153">
        <f>+E80*E82*E60/1000</f>
        <v>397.08711</v>
      </c>
      <c r="F84" s="153">
        <f>+F80*F82*F60/1000</f>
        <v>408.16755000000001</v>
      </c>
      <c r="G84" s="153">
        <f>+G80*G82*G60/1000</f>
        <v>435.02238</v>
      </c>
      <c r="H84" s="142"/>
      <c r="I84" s="153">
        <f>+I80*I82*I60/1000</f>
        <v>443.11800000000005</v>
      </c>
      <c r="J84" s="153">
        <f>+J80*J82*J60/1000</f>
        <v>421.53486479999998</v>
      </c>
      <c r="K84" s="153">
        <f>+K80*K82*K60/1000</f>
        <v>422.85559919999997</v>
      </c>
      <c r="L84" s="153">
        <f>+L80*L82*L60/1000</f>
        <v>462.73500000000001</v>
      </c>
      <c r="M84" s="142"/>
      <c r="N84" s="153">
        <f>+N80*N82*N60/1000</f>
        <v>450.270535</v>
      </c>
      <c r="O84" s="153">
        <f>+O80*O82*O60/1000</f>
        <v>431.79633000000001</v>
      </c>
      <c r="P84" s="153">
        <f>+P80*P82*P60/1000</f>
        <v>435.03974000000005</v>
      </c>
      <c r="Q84" s="153">
        <f>+Q80*Q82*Q60/1000</f>
        <v>470.96725000000004</v>
      </c>
      <c r="R84" s="142"/>
      <c r="S84" s="153">
        <f>+S80*S82*S60/1000</f>
        <v>468.21401250000002</v>
      </c>
      <c r="T84" s="153">
        <f>+T80*T82*T60/1000</f>
        <v>444.09324335938805</v>
      </c>
      <c r="U84" s="153">
        <f>+U80*U82*U60/1000</f>
        <v>447.53447933669929</v>
      </c>
      <c r="V84" s="153">
        <f>+V80*V82*V60/1000</f>
        <v>484.48217165746996</v>
      </c>
      <c r="W84" s="142"/>
      <c r="X84" s="153">
        <f>+X80*X82*X60/1000</f>
        <v>482.93036955264938</v>
      </c>
      <c r="Y84" s="153">
        <f>+Y80*Y82*Y60/1000</f>
        <v>443.69528088515256</v>
      </c>
      <c r="Z84" s="153">
        <f>+Z80*Z82*Z60/1000</f>
        <v>443.87660728629203</v>
      </c>
      <c r="AA84" s="153">
        <f>+AA80*AA82*AA60/1000</f>
        <v>476.10454900725301</v>
      </c>
      <c r="AB84" s="142"/>
      <c r="AC84" s="153">
        <f>+AC80*AC82*AC60/1000</f>
        <v>483.50212241447758</v>
      </c>
      <c r="AD84" s="153">
        <f>+AD80*AD82*AD60/1000</f>
        <v>440.89664802190418</v>
      </c>
      <c r="AE84" s="153">
        <f>+AE80*AE82*AE60/1000</f>
        <v>440.47734568132705</v>
      </c>
      <c r="AF84" s="153">
        <f>+AF80*AF82*AF60/1000</f>
        <v>472.51982158426881</v>
      </c>
      <c r="AG84" s="142"/>
      <c r="AH84" s="153">
        <f>+AH80*AH82*AH60/1000</f>
        <v>478.63577699389805</v>
      </c>
      <c r="AI84" s="153">
        <f>+AI80*AI82*AI60/1000</f>
        <v>435.22361058566361</v>
      </c>
      <c r="AJ84" s="153">
        <f>+AJ80*AJ82*AJ60/1000</f>
        <v>434.08886995511187</v>
      </c>
      <c r="AK84" s="153">
        <f>+AK80*AK82*AK60/1000</f>
        <v>464.8597168365016</v>
      </c>
      <c r="AL84" s="142"/>
      <c r="AM84" s="153">
        <f>+AM80*AM82*AM60/1000</f>
        <v>469.8405085108314</v>
      </c>
      <c r="AN84" s="153">
        <f>+AN80*AN82*AN60/1000</f>
        <v>426.32417418640046</v>
      </c>
      <c r="AO84" s="153">
        <f>+AO80*AO82*AO60/1000</f>
        <v>424.39191860319676</v>
      </c>
      <c r="AP84" s="153">
        <f>+AP80*AP82*AP60/1000</f>
        <v>453.56709981168046</v>
      </c>
      <c r="AQ84" s="142"/>
    </row>
    <row r="85" spans="2:43" ht="16.2" outlineLevel="1" x14ac:dyDescent="0.45">
      <c r="B85" s="643" t="s">
        <v>172</v>
      </c>
      <c r="C85" s="644"/>
      <c r="D85" s="51"/>
      <c r="E85" s="51"/>
      <c r="F85" s="51"/>
      <c r="G85" s="51"/>
      <c r="H85" s="59"/>
      <c r="I85" s="51"/>
      <c r="J85" s="51"/>
      <c r="K85" s="51"/>
      <c r="L85" s="51"/>
      <c r="M85" s="59"/>
      <c r="N85" s="51"/>
      <c r="O85" s="51"/>
      <c r="P85" s="51"/>
      <c r="Q85" s="51"/>
      <c r="R85" s="55"/>
      <c r="S85" s="52"/>
      <c r="T85" s="52"/>
      <c r="U85" s="52"/>
      <c r="V85" s="52"/>
      <c r="W85" s="55"/>
      <c r="X85" s="52"/>
      <c r="Y85" s="52"/>
      <c r="Z85" s="52"/>
      <c r="AA85" s="52"/>
      <c r="AB85" s="55"/>
      <c r="AC85" s="52"/>
      <c r="AD85" s="52"/>
      <c r="AE85" s="52"/>
      <c r="AF85" s="52"/>
      <c r="AG85" s="55"/>
      <c r="AH85" s="52"/>
      <c r="AI85" s="52"/>
      <c r="AJ85" s="52"/>
      <c r="AK85" s="52"/>
      <c r="AL85" s="55"/>
      <c r="AM85" s="52"/>
      <c r="AN85" s="52"/>
      <c r="AO85" s="52"/>
      <c r="AP85" s="52"/>
      <c r="AQ85" s="55"/>
    </row>
    <row r="86" spans="2:43" outlineLevel="2" x14ac:dyDescent="0.3">
      <c r="B86" s="128" t="s">
        <v>368</v>
      </c>
      <c r="C86" s="292"/>
      <c r="D86" s="269">
        <v>865</v>
      </c>
      <c r="E86" s="269">
        <v>900.4</v>
      </c>
      <c r="F86" s="269">
        <v>1015</v>
      </c>
      <c r="G86" s="269">
        <v>825.2</v>
      </c>
      <c r="H86" s="59"/>
      <c r="I86" s="269">
        <v>824</v>
      </c>
      <c r="J86" s="269">
        <v>865.5</v>
      </c>
      <c r="K86" s="269">
        <v>1025.4000000000001</v>
      </c>
      <c r="L86" s="269">
        <v>890.4</v>
      </c>
      <c r="M86" s="59"/>
      <c r="N86" s="269">
        <v>876</v>
      </c>
      <c r="O86" s="269">
        <v>939</v>
      </c>
      <c r="P86" s="269">
        <v>1026</v>
      </c>
      <c r="Q86" s="269">
        <v>878</v>
      </c>
      <c r="R86" s="55"/>
      <c r="S86" s="269">
        <v>916</v>
      </c>
      <c r="T86" s="129">
        <f>+O86*(1+T87)</f>
        <v>966.52277620135624</v>
      </c>
      <c r="U86" s="129">
        <f>+P86*(1+U87)</f>
        <v>1041.8085165566529</v>
      </c>
      <c r="V86" s="129">
        <f>+Q86*(1+V87)</f>
        <v>894.78174450128347</v>
      </c>
      <c r="W86" s="55"/>
      <c r="X86" s="129">
        <f>+S86*(1+X87)</f>
        <v>941.07420530842592</v>
      </c>
      <c r="Y86" s="129">
        <f>+T86*(1+Y87)</f>
        <v>974.06306315457982</v>
      </c>
      <c r="Z86" s="129">
        <f>+U86*(1+Z87)</f>
        <v>1044.3340061975059</v>
      </c>
      <c r="AA86" s="129">
        <f>+V86*(1+AA87)</f>
        <v>894.04641037057513</v>
      </c>
      <c r="AB86" s="55"/>
      <c r="AC86" s="129">
        <f>+X86*(1+AC87)</f>
        <v>949.72676665863492</v>
      </c>
      <c r="AD86" s="129">
        <f>+Y86*(1+AD87)</f>
        <v>978.59200363797265</v>
      </c>
      <c r="AE86" s="129">
        <f>+Z86*(1+AE87)</f>
        <v>1048.3667588281662</v>
      </c>
      <c r="AF86" s="129">
        <f>+AA86*(1+AF87)</f>
        <v>897.82009808633734</v>
      </c>
      <c r="AG86" s="55"/>
      <c r="AH86" s="129">
        <f>+AC86*(1+AH87)</f>
        <v>952.55845849450532</v>
      </c>
      <c r="AI86" s="129">
        <f>+AD86*(1+AI87)</f>
        <v>979.98982042119803</v>
      </c>
      <c r="AJ86" s="129">
        <f>+AE86*(1+AJ87)</f>
        <v>1049.0200077403065</v>
      </c>
      <c r="AK86" s="129">
        <f>+AF86*(1+AK87)</f>
        <v>897.65265481751408</v>
      </c>
      <c r="AL86" s="55"/>
      <c r="AM86" s="129">
        <f>+AH86*(1+AM87)</f>
        <v>951.33122811879423</v>
      </c>
      <c r="AN86" s="129">
        <f>+AI86*(1+AN87)</f>
        <v>977.68112496519132</v>
      </c>
      <c r="AO86" s="129">
        <f>+AJ86*(1+AO87)</f>
        <v>1045.5562546924934</v>
      </c>
      <c r="AP86" s="129">
        <f>+AK86*(1+AP87)</f>
        <v>893.80787791080979</v>
      </c>
      <c r="AQ86" s="55"/>
    </row>
    <row r="87" spans="2:43" outlineLevel="2" x14ac:dyDescent="0.3">
      <c r="B87" s="146" t="s">
        <v>205</v>
      </c>
      <c r="C87" s="292"/>
      <c r="D87" s="171">
        <f>+D86/846.4-1</f>
        <v>2.197542533081287E-2</v>
      </c>
      <c r="E87" s="171">
        <f>+E86/915-1</f>
        <v>-1.595628415300554E-2</v>
      </c>
      <c r="F87" s="171">
        <f>+F86/1024-1</f>
        <v>-8.7890625E-3</v>
      </c>
      <c r="G87" s="171">
        <f>+G86/881-1</f>
        <v>-6.3337116912599245E-2</v>
      </c>
      <c r="H87" s="89"/>
      <c r="I87" s="171">
        <f>+I86/D86-1</f>
        <v>-4.739884393063587E-2</v>
      </c>
      <c r="J87" s="171">
        <f>+J86/E86-1</f>
        <v>-3.8760550866281607E-2</v>
      </c>
      <c r="K87" s="171">
        <f>+K86/F86-1</f>
        <v>1.0246305418719404E-2</v>
      </c>
      <c r="L87" s="171">
        <f>+L86/G86-1</f>
        <v>7.9011148812409004E-2</v>
      </c>
      <c r="M87" s="89"/>
      <c r="N87" s="171">
        <f>+N86/I86-1</f>
        <v>6.3106796116504826E-2</v>
      </c>
      <c r="O87" s="171">
        <f>+O86/J86-1</f>
        <v>8.4922010398613468E-2</v>
      </c>
      <c r="P87" s="171">
        <f>+P86/K86-1</f>
        <v>5.8513750731403746E-4</v>
      </c>
      <c r="Q87" s="171">
        <f>+Q86/L86-1</f>
        <v>-1.3926325247079929E-2</v>
      </c>
      <c r="R87" s="62"/>
      <c r="S87" s="171">
        <f>+S86/N86-1</f>
        <v>4.5662100456621113E-2</v>
      </c>
      <c r="T87" s="147">
        <f>AVERAGE(S87,Q87,P87,O87)</f>
        <v>2.9310730778867172E-2</v>
      </c>
      <c r="U87" s="147">
        <f>AVERAGE(T87,S87,Q87,P87)</f>
        <v>1.5407910873930598E-2</v>
      </c>
      <c r="V87" s="147">
        <f>AVERAGE(U87,T87,S87,Q87)</f>
        <v>1.9113604215584737E-2</v>
      </c>
      <c r="W87" s="62"/>
      <c r="X87" s="147">
        <f>AVERAGE(V87,U87,T87,S87)</f>
        <v>2.7373586581250907E-2</v>
      </c>
      <c r="Y87" s="147">
        <f>AVERAGE(X87,V87,U87,T87)-1.5%</f>
        <v>7.8014581124083542E-3</v>
      </c>
      <c r="Z87" s="147">
        <f>AVERAGE(Y87,X87,V87,U87)-1.5%</f>
        <v>2.4241399457936505E-3</v>
      </c>
      <c r="AA87" s="147">
        <f>AVERAGE(Z87,Y87,X87,V87)-1.5%</f>
        <v>-8.2180278624058647E-4</v>
      </c>
      <c r="AB87" s="62"/>
      <c r="AC87" s="147">
        <f>AVERAGE(AA87,Z87,Y87,X87)</f>
        <v>9.1943454633030813E-3</v>
      </c>
      <c r="AD87" s="147">
        <f>AVERAGE(AC87,AA87,Z87,Y87)</f>
        <v>4.6495351838161253E-3</v>
      </c>
      <c r="AE87" s="147">
        <f>AVERAGE(AD87,AC87,AA87,Z87)</f>
        <v>3.8615544516680676E-3</v>
      </c>
      <c r="AF87" s="147">
        <f>AVERAGE(AE87,AD87,AC87,AA87)</f>
        <v>4.2209080781366723E-3</v>
      </c>
      <c r="AG87" s="62"/>
      <c r="AH87" s="182">
        <f>AVERAGE(AF87,AE87,AD87,AC87)-0.25%</f>
        <v>2.9815857942309871E-3</v>
      </c>
      <c r="AI87" s="182">
        <f>AVERAGE(AH87,AF87,AE87,AD87)-0.25%</f>
        <v>1.4283958769629635E-3</v>
      </c>
      <c r="AJ87" s="182">
        <f>AVERAGE(AI87,AH87,AF87,AE87)-0.25%</f>
        <v>6.2311105024967246E-4</v>
      </c>
      <c r="AK87" s="182">
        <f>AVERAGE(AJ87,AI87,AH87,AF87)-0.25%</f>
        <v>-1.8649980010492602E-4</v>
      </c>
      <c r="AL87" s="62"/>
      <c r="AM87" s="182">
        <f>AVERAGE(AK87,AJ87,AI87,AH87)-0.25%</f>
        <v>-1.2883517696653259E-3</v>
      </c>
      <c r="AN87" s="182">
        <f>AVERAGE(AM87,AK87,AJ87,AI87)-0.25%</f>
        <v>-2.3558361606394042E-3</v>
      </c>
      <c r="AO87" s="182">
        <f>AVERAGE(AN87,AM87,AK87,AJ87)-0.25%</f>
        <v>-3.3018941700399961E-3</v>
      </c>
      <c r="AP87" s="182">
        <f>AVERAGE(AO87,AN87,AM87,AK87)-0.25%</f>
        <v>-4.2831454751124133E-3</v>
      </c>
      <c r="AQ87" s="62"/>
    </row>
    <row r="88" spans="2:43" outlineLevel="2" x14ac:dyDescent="0.3">
      <c r="B88" s="128" t="s">
        <v>176</v>
      </c>
      <c r="C88" s="292"/>
      <c r="D88" s="148">
        <v>14.52</v>
      </c>
      <c r="E88" s="148">
        <v>14.554</v>
      </c>
      <c r="F88" s="148">
        <v>14.48</v>
      </c>
      <c r="G88" s="148">
        <v>15.124999989999999</v>
      </c>
      <c r="H88" s="59"/>
      <c r="I88" s="148">
        <v>15.12</v>
      </c>
      <c r="J88" s="148">
        <v>15.3</v>
      </c>
      <c r="K88" s="148">
        <v>15</v>
      </c>
      <c r="L88" s="148">
        <v>16.042999999999999</v>
      </c>
      <c r="M88" s="59"/>
      <c r="N88" s="148">
        <v>15.42</v>
      </c>
      <c r="O88" s="148">
        <v>15.58</v>
      </c>
      <c r="P88" s="148">
        <v>15.66</v>
      </c>
      <c r="Q88" s="148">
        <v>16.52</v>
      </c>
      <c r="R88" s="55"/>
      <c r="S88" s="148">
        <v>15.984</v>
      </c>
      <c r="T88" s="148">
        <f>+O88*(1+T89)</f>
        <v>16.15286864973859</v>
      </c>
      <c r="U88" s="148">
        <f>+P88*(1+U89)</f>
        <v>16.23581020891568</v>
      </c>
      <c r="V88" s="148">
        <f>+Q88*(1+V89)</f>
        <v>17.097569962586768</v>
      </c>
      <c r="W88" s="55"/>
      <c r="X88" s="148">
        <f>+S88*(1+X89)</f>
        <v>16.563726561354684</v>
      </c>
      <c r="Y88" s="148">
        <f>+T88*(1+Y89)</f>
        <v>16.495188402727475</v>
      </c>
      <c r="Z88" s="148">
        <f>+U88*(1+Z89)</f>
        <v>16.51666146031549</v>
      </c>
      <c r="AA88" s="148">
        <f>+V88*(1+AA89)</f>
        <v>17.310100475476407</v>
      </c>
      <c r="AB88" s="55"/>
      <c r="AC88" s="148">
        <f>+X88*(1+AC89)</f>
        <v>16.924776026654008</v>
      </c>
      <c r="AD88" s="148">
        <f>+Y88*(1+AD89)</f>
        <v>16.795066038958357</v>
      </c>
      <c r="AE88" s="148">
        <f>+Z88*(1+AE89)</f>
        <v>16.80448911437696</v>
      </c>
      <c r="AF88" s="148">
        <f>+AA88*(1+AF89)</f>
        <v>17.612309976800329</v>
      </c>
      <c r="AG88" s="55"/>
      <c r="AH88" s="148">
        <f>+AC88*(1+AH89)</f>
        <v>17.199221297118068</v>
      </c>
      <c r="AI88" s="148">
        <f>+AD88*(1+AI89)</f>
        <v>17.04397044406446</v>
      </c>
      <c r="AJ88" s="148">
        <f>+AE88*(1+AJ89)</f>
        <v>17.039419026428106</v>
      </c>
      <c r="AK88" s="148">
        <f>+AF88*(1+AK89)</f>
        <v>17.84335898185736</v>
      </c>
      <c r="AL88" s="55"/>
      <c r="AM88" s="148">
        <f>+AH88*(1+AM89)</f>
        <v>17.406190189925702</v>
      </c>
      <c r="AN88" s="148">
        <f>+AI88*(1+AN89)</f>
        <v>17.231251753227657</v>
      </c>
      <c r="AO88" s="148">
        <f>+AJ88*(1+AO89)</f>
        <v>17.210326713792149</v>
      </c>
      <c r="AP88" s="148">
        <f>+AK88*(1+AP89)</f>
        <v>18.004709747807322</v>
      </c>
      <c r="AQ88" s="55"/>
    </row>
    <row r="89" spans="2:43" outlineLevel="2" x14ac:dyDescent="0.3">
      <c r="B89" s="146" t="s">
        <v>204</v>
      </c>
      <c r="C89" s="292"/>
      <c r="D89" s="171">
        <f>+D88/14.68-1</f>
        <v>-1.0899182561307952E-2</v>
      </c>
      <c r="E89" s="171">
        <f>+E88/14.48-1</f>
        <v>5.1104972375690672E-3</v>
      </c>
      <c r="F89" s="171">
        <f>+F88/13.88-1</f>
        <v>4.3227665706051743E-2</v>
      </c>
      <c r="G89" s="171">
        <f>+G88/14.5-1</f>
        <v>4.3103447586206878E-2</v>
      </c>
      <c r="H89" s="89"/>
      <c r="I89" s="171">
        <f>+I88/D88-1</f>
        <v>4.1322314049586861E-2</v>
      </c>
      <c r="J89" s="171">
        <f>+J88/E88-1</f>
        <v>5.1257386285557205E-2</v>
      </c>
      <c r="K89" s="171">
        <f>+K88/F88-1</f>
        <v>3.5911602209944826E-2</v>
      </c>
      <c r="L89" s="171">
        <f>+L88/G88-1</f>
        <v>6.0694215577318467E-2</v>
      </c>
      <c r="M89" s="89"/>
      <c r="N89" s="171">
        <f>+N88/I88-1</f>
        <v>1.9841269841269993E-2</v>
      </c>
      <c r="O89" s="171">
        <f>+O88/J88-1</f>
        <v>1.8300653594771177E-2</v>
      </c>
      <c r="P89" s="171">
        <f>+P88/K88-1</f>
        <v>4.4000000000000039E-2</v>
      </c>
      <c r="Q89" s="171">
        <f>+Q88/L88-1</f>
        <v>2.9732593654553385E-2</v>
      </c>
      <c r="R89" s="62"/>
      <c r="S89" s="171">
        <f>+S88/N88-1</f>
        <v>3.6575875486381415E-2</v>
      </c>
      <c r="T89" s="147">
        <f>AVERAGE(S89,Q89,P89)</f>
        <v>3.6769489713644944E-2</v>
      </c>
      <c r="U89" s="147">
        <f>AVERAGE(T89,S89,Q89,P89)</f>
        <v>3.6769489713644944E-2</v>
      </c>
      <c r="V89" s="147">
        <f>AVERAGE(U89,T89,S89,Q89)</f>
        <v>3.4961862142056169E-2</v>
      </c>
      <c r="W89" s="62"/>
      <c r="X89" s="147">
        <f>AVERAGE(V89,U89,T89,S89)</f>
        <v>3.6269179263931868E-2</v>
      </c>
      <c r="Y89" s="147">
        <f>AVERAGE(X89,V89,U89,T89)-1.5%</f>
        <v>2.119250520831948E-2</v>
      </c>
      <c r="Z89" s="147">
        <f>AVERAGE(Y89,X89,V89,U89)-1.5%</f>
        <v>1.7298259081988114E-2</v>
      </c>
      <c r="AA89" s="147">
        <f>AVERAGE(Z89,Y89,X89,V89)-1.5%</f>
        <v>1.2430451424073907E-2</v>
      </c>
      <c r="AB89" s="62"/>
      <c r="AC89" s="147">
        <f>AVERAGE(AA89,Z89,Y89,X89)</f>
        <v>2.1797598744578345E-2</v>
      </c>
      <c r="AD89" s="147">
        <f>AVERAGE(AC89,AA89,Z89,Y89)</f>
        <v>1.8179703614739962E-2</v>
      </c>
      <c r="AE89" s="147">
        <f>AVERAGE(AD89,AC89,AA89,Z89)</f>
        <v>1.7426503216345084E-2</v>
      </c>
      <c r="AF89" s="147">
        <f>AVERAGE(AE89,AD89,AC89,AA89)</f>
        <v>1.7458564249934326E-2</v>
      </c>
      <c r="AG89" s="62"/>
      <c r="AH89" s="182">
        <f>AVERAGE(AF89,AE89,AD89,AC89)-0.25%</f>
        <v>1.621559245639943E-2</v>
      </c>
      <c r="AI89" s="182">
        <f>AVERAGE(AH89,AF89,AE89,AD89)-0.25%</f>
        <v>1.48200908843547E-2</v>
      </c>
      <c r="AJ89" s="182">
        <f>AVERAGE(AI89,AH89,AF89,AE89)-0.25%</f>
        <v>1.3980187701758384E-2</v>
      </c>
      <c r="AK89" s="182">
        <f>AVERAGE(AJ89,AI89,AH89,AF89)-0.25%</f>
        <v>1.3118608823111709E-2</v>
      </c>
      <c r="AL89" s="62"/>
      <c r="AM89" s="182">
        <f>AVERAGE(AK89,AJ89,AI89,AH89)-0.25%</f>
        <v>1.2033619966406056E-2</v>
      </c>
      <c r="AN89" s="182">
        <f>AVERAGE(AM89,AK89,AJ89,AI89)-0.25%</f>
        <v>1.0988126843907712E-2</v>
      </c>
      <c r="AO89" s="182">
        <f>AVERAGE(AN89,AM89,AK89,AJ89)-0.25%</f>
        <v>1.0030135833795965E-2</v>
      </c>
      <c r="AP89" s="182">
        <f>AVERAGE(AO89,AN89,AM89,AK89)-0.25%</f>
        <v>9.0426228668053603E-3</v>
      </c>
      <c r="AQ89" s="62"/>
    </row>
    <row r="90" spans="2:43" outlineLevel="2" x14ac:dyDescent="0.3">
      <c r="B90" s="124" t="s">
        <v>173</v>
      </c>
      <c r="C90" s="125"/>
      <c r="D90" s="149">
        <f>+D86*D88*D60/1000</f>
        <v>816.38699999999994</v>
      </c>
      <c r="E90" s="149">
        <f>+E86*E88*E60/1000</f>
        <v>825.57856079999999</v>
      </c>
      <c r="F90" s="149">
        <f>+F86*F88*F60/1000</f>
        <v>925.92360000000008</v>
      </c>
      <c r="G90" s="149">
        <f>+G86*G88*G60/1000</f>
        <v>811.27474946361997</v>
      </c>
      <c r="H90" s="61"/>
      <c r="I90" s="149">
        <f>+I86*I88*I60/1000</f>
        <v>809.82719999999995</v>
      </c>
      <c r="J90" s="149">
        <f>+J86*J88*J60/1000</f>
        <v>834.25545000000011</v>
      </c>
      <c r="K90" s="149">
        <f>+K86*K88*K60/1000</f>
        <v>953.62200000000007</v>
      </c>
      <c r="L90" s="149">
        <f>+L86*L88*L60/1000</f>
        <v>928.50466799999992</v>
      </c>
      <c r="M90" s="61"/>
      <c r="N90" s="149">
        <f>+N86*N88*N60/1000</f>
        <v>878.01480000000004</v>
      </c>
      <c r="O90" s="149">
        <f>+O86*O88*O60/1000</f>
        <v>921.66606000000002</v>
      </c>
      <c r="P90" s="149">
        <f>+P86*P88*P60/1000</f>
        <v>996.16392000000008</v>
      </c>
      <c r="Q90" s="149">
        <f>+Q86*Q88*Q60/1000</f>
        <v>942.79640000000006</v>
      </c>
      <c r="R90" s="61"/>
      <c r="S90" s="149">
        <f>+S86*S88*S60/1000</f>
        <v>951.68736000000001</v>
      </c>
      <c r="T90" s="149">
        <f>+T86*T88*T60/1000</f>
        <v>983.56327341055533</v>
      </c>
      <c r="U90" s="149">
        <f>+U86*U88*U60/1000</f>
        <v>1048.70553162844</v>
      </c>
      <c r="V90" s="149">
        <f>+V86*V88*V60/1000</f>
        <v>994.40857606064856</v>
      </c>
      <c r="W90" s="56"/>
      <c r="X90" s="149">
        <f>+X86*X88*X60/1000</f>
        <v>1013.2002276937402</v>
      </c>
      <c r="Y90" s="149">
        <f>+Y86*Y88*Y60/1000</f>
        <v>1012.2432858009754</v>
      </c>
      <c r="Z90" s="149">
        <f>+Z86*Z88*Z60/1000</f>
        <v>1069.4324963752717</v>
      </c>
      <c r="AA90" s="149">
        <f>+AA86*AA88*AA60/1000</f>
        <v>1005.9421575614884</v>
      </c>
      <c r="AB90" s="56"/>
      <c r="AC90" s="149">
        <f>+AC86*AC88*AC60/1000</f>
        <v>1044.8043327940197</v>
      </c>
      <c r="AD90" s="149">
        <f>+AD86*AD88*AD60/1000</f>
        <v>1035.4375915566688</v>
      </c>
      <c r="AE90" s="149">
        <f>+AE86*AE88*AE60/1000</f>
        <v>1092.2706027693596</v>
      </c>
      <c r="AF90" s="149">
        <f>+AF86*AF88*AF60/1000</f>
        <v>1027.8245816083602</v>
      </c>
      <c r="AG90" s="56"/>
      <c r="AH90" s="149">
        <f>+AH86*AH88*AH60/1000</f>
        <v>1064.9121421957623</v>
      </c>
      <c r="AI90" s="149">
        <f>+AI86*AI88*AI60/1000</f>
        <v>1052.283804688805</v>
      </c>
      <c r="AJ90" s="149">
        <f>+AJ86*AJ88*AJ60/1000</f>
        <v>1108.230871697624</v>
      </c>
      <c r="AK90" s="149">
        <f>+AK86*AK88*AK60/1000</f>
        <v>1041.1140064602025</v>
      </c>
      <c r="AL90" s="56"/>
      <c r="AM90" s="149">
        <f>+AM86*AM88*AM60/1000</f>
        <v>1076.3383988663361</v>
      </c>
      <c r="AN90" s="149">
        <f>+AN86*AN88*AN60/1000</f>
        <v>1061.3401847152045</v>
      </c>
      <c r="AO90" s="149">
        <f>+AO86*AO88*AO60/1000</f>
        <v>1115.6506139362148</v>
      </c>
      <c r="AP90" s="149">
        <f>+AP86*AP88*AP60/1000</f>
        <v>1046.0288417857025</v>
      </c>
      <c r="AQ90" s="56"/>
    </row>
    <row r="91" spans="2:43" ht="16.2" outlineLevel="1" x14ac:dyDescent="0.45">
      <c r="B91" s="674" t="s">
        <v>177</v>
      </c>
      <c r="C91" s="675"/>
      <c r="D91" s="131"/>
      <c r="E91" s="131"/>
      <c r="F91" s="131"/>
      <c r="G91" s="131"/>
      <c r="H91" s="141"/>
      <c r="I91" s="131"/>
      <c r="J91" s="131"/>
      <c r="K91" s="131"/>
      <c r="L91" s="131"/>
      <c r="M91" s="141"/>
      <c r="N91" s="131"/>
      <c r="O91" s="131"/>
      <c r="P91" s="131"/>
      <c r="Q91" s="131"/>
      <c r="R91" s="141"/>
      <c r="S91" s="131"/>
      <c r="T91" s="131"/>
      <c r="U91" s="131"/>
      <c r="V91" s="131"/>
      <c r="W91" s="141"/>
      <c r="X91" s="131"/>
      <c r="Y91" s="131"/>
      <c r="Z91" s="131"/>
      <c r="AA91" s="131"/>
      <c r="AB91" s="141"/>
      <c r="AC91" s="131"/>
      <c r="AD91" s="131"/>
      <c r="AE91" s="131"/>
      <c r="AF91" s="131"/>
      <c r="AG91" s="141"/>
      <c r="AH91" s="131"/>
      <c r="AI91" s="131"/>
      <c r="AJ91" s="131"/>
      <c r="AK91" s="131"/>
      <c r="AL91" s="141"/>
      <c r="AM91" s="131"/>
      <c r="AN91" s="131"/>
      <c r="AO91" s="131"/>
      <c r="AP91" s="131"/>
      <c r="AQ91" s="141"/>
    </row>
    <row r="92" spans="2:43" outlineLevel="2" x14ac:dyDescent="0.3">
      <c r="B92" s="132" t="s">
        <v>369</v>
      </c>
      <c r="C92" s="133"/>
      <c r="D92" s="134">
        <v>389.4</v>
      </c>
      <c r="E92" s="134">
        <v>402.4</v>
      </c>
      <c r="F92" s="134">
        <v>386</v>
      </c>
      <c r="G92" s="134">
        <v>398.60399999999998</v>
      </c>
      <c r="H92" s="141"/>
      <c r="I92" s="134">
        <v>500</v>
      </c>
      <c r="J92" s="134">
        <v>533.59990000000005</v>
      </c>
      <c r="K92" s="134">
        <v>534.70000000000005</v>
      </c>
      <c r="L92" s="134">
        <v>540.29999999999995</v>
      </c>
      <c r="M92" s="141"/>
      <c r="N92" s="134">
        <v>503.7</v>
      </c>
      <c r="O92" s="134">
        <v>543</v>
      </c>
      <c r="P92" s="134">
        <v>529.20000000000005</v>
      </c>
      <c r="Q92" s="134">
        <v>534</v>
      </c>
      <c r="R92" s="426"/>
      <c r="S92" s="134">
        <v>518.4</v>
      </c>
      <c r="T92" s="134">
        <f>+O92*(1+T93)</f>
        <v>535.51394274247104</v>
      </c>
      <c r="U92" s="134">
        <f>+P92*(1+U93)</f>
        <v>507.16559774463394</v>
      </c>
      <c r="V92" s="134">
        <f>+Q92*(1+V93)</f>
        <v>510.25037395116135</v>
      </c>
      <c r="W92" s="141"/>
      <c r="X92" s="134">
        <f>+S92*(1+X93)</f>
        <v>493.68338953073811</v>
      </c>
      <c r="Y92" s="134">
        <f>+T92*(1+Y93)</f>
        <v>510.4013816434213</v>
      </c>
      <c r="Z92" s="134">
        <f>+U92*(1+Z93)</f>
        <v>484.25627949765783</v>
      </c>
      <c r="AA92" s="134">
        <f>+V92*(1+AA93)</f>
        <v>486.75089529473382</v>
      </c>
      <c r="AB92" s="141"/>
      <c r="AC92" s="134">
        <f>+X92*(1+AC93)</f>
        <v>470.75191429365088</v>
      </c>
      <c r="AD92" s="134">
        <f>+Y92*(1+AD93)</f>
        <v>486.85016597623559</v>
      </c>
      <c r="AE92" s="134">
        <f>+Z92*(1+AE93)</f>
        <v>462.00247864386421</v>
      </c>
      <c r="AF92" s="134">
        <f>+AA92*(1+AF93)</f>
        <v>464.28713541786692</v>
      </c>
      <c r="AG92" s="141"/>
      <c r="AH92" s="134">
        <f>+AC92*(1+AH93)</f>
        <v>447.83838059879969</v>
      </c>
      <c r="AI92" s="134">
        <f>+AD92*(1+AI93)</f>
        <v>462.88230276301329</v>
      </c>
      <c r="AJ92" s="134">
        <f>+AE92*(1+AJ93)</f>
        <v>438.90122067994866</v>
      </c>
      <c r="AK92" s="134">
        <f>+AF92*(1+AK93)</f>
        <v>440.60179663954852</v>
      </c>
      <c r="AL92" s="141"/>
      <c r="AM92" s="134">
        <f>+AH92*(1+AM93)</f>
        <v>424.44759444049572</v>
      </c>
      <c r="AN92" s="134">
        <f>+AI92*(1+AN93)</f>
        <v>438.29425352991427</v>
      </c>
      <c r="AO92" s="134">
        <f>+AJ92*(1+AO93)</f>
        <v>415.160314743372</v>
      </c>
      <c r="AP92" s="134">
        <f>+AK92*(1+AP93)</f>
        <v>416.3184732814052</v>
      </c>
      <c r="AQ92" s="141"/>
    </row>
    <row r="93" spans="2:43" outlineLevel="2" x14ac:dyDescent="0.3">
      <c r="B93" s="150" t="s">
        <v>205</v>
      </c>
      <c r="C93" s="133"/>
      <c r="D93" s="151">
        <f>+D92/409.44-1</f>
        <v>-4.894490035169996E-2</v>
      </c>
      <c r="E93" s="151">
        <f>+E92/424.4-1</f>
        <v>-5.1837888784165842E-2</v>
      </c>
      <c r="F93" s="151">
        <f>+F92/397.7-1</f>
        <v>-2.9419160170983116E-2</v>
      </c>
      <c r="G93" s="151">
        <f>+G92/407.5-1</f>
        <v>-2.1830674846625819E-2</v>
      </c>
      <c r="H93" s="152"/>
      <c r="I93" s="151">
        <f>+I92/D92-1</f>
        <v>0.28402670775552141</v>
      </c>
      <c r="J93" s="151">
        <f>+J92/E92-1</f>
        <v>0.32604348906560654</v>
      </c>
      <c r="K93" s="151">
        <f>+K92/F92-1</f>
        <v>0.38523316062176183</v>
      </c>
      <c r="L93" s="151">
        <f>+L92/G92-1</f>
        <v>0.35548062738958963</v>
      </c>
      <c r="M93" s="152"/>
      <c r="N93" s="151">
        <f>+N92/I92-1</f>
        <v>7.4000000000000732E-3</v>
      </c>
      <c r="O93" s="151">
        <f>+O92/J92-1</f>
        <v>1.761638261176568E-2</v>
      </c>
      <c r="P93" s="151">
        <f>+P92/K92-1</f>
        <v>-1.028614176173559E-2</v>
      </c>
      <c r="Q93" s="151">
        <f>+Q92/L92-1</f>
        <v>-1.1660188784008763E-2</v>
      </c>
      <c r="R93" s="152"/>
      <c r="S93" s="151">
        <f>+S92/N92-1</f>
        <v>2.9184038117927358E-2</v>
      </c>
      <c r="T93" s="147">
        <f>AVERAGE(S93,Q93,P93,O93)-2%</f>
        <v>-1.3786477454012829E-2</v>
      </c>
      <c r="U93" s="147">
        <f>AVERAGE(T93,S93,Q93,P93)-4%</f>
        <v>-4.1637192470457454E-2</v>
      </c>
      <c r="V93" s="147">
        <f>AVERAGE(U93,T93,S93,Q93)-3.5%</f>
        <v>-4.4474955147637926E-2</v>
      </c>
      <c r="W93" s="152"/>
      <c r="X93" s="147">
        <f>AVERAGE(V93,U93,T93,S93)-3%</f>
        <v>-4.7678646738545216E-2</v>
      </c>
      <c r="Y93" s="147">
        <f>AVERAGE(X93,V93,U93,T93)-1%</f>
        <v>-4.6894317952663356E-2</v>
      </c>
      <c r="Z93" s="147">
        <f>AVERAGE(Y93,X93,V93,U93)</f>
        <v>-4.5171278077325988E-2</v>
      </c>
      <c r="AA93" s="147">
        <f>AVERAGE(Z93,Y93,X93,V93)</f>
        <v>-4.6054799479043118E-2</v>
      </c>
      <c r="AB93" s="152"/>
      <c r="AC93" s="147">
        <f>AVERAGE(AA93,Z93,Y93,X93)</f>
        <v>-4.644976056189442E-2</v>
      </c>
      <c r="AD93" s="147">
        <f>AVERAGE(AC93,AA93,Z93,Y93)</f>
        <v>-4.6142539017731722E-2</v>
      </c>
      <c r="AE93" s="147">
        <f>AVERAGE(AD93,AC93,AA93,Z93)</f>
        <v>-4.5954594283998812E-2</v>
      </c>
      <c r="AF93" s="147">
        <f>AVERAGE(AE93,AD93,AC93,AA93)</f>
        <v>-4.6150423335667018E-2</v>
      </c>
      <c r="AG93" s="152"/>
      <c r="AH93" s="182">
        <f>AVERAGE(AF93,AE93,AD93,AC93)-0.25%</f>
        <v>-4.8674329299822995E-2</v>
      </c>
      <c r="AI93" s="182">
        <f>AVERAGE(AH93,AF93,AE93,AD93)-0.25%</f>
        <v>-4.9230471484305136E-2</v>
      </c>
      <c r="AJ93" s="182">
        <f>AVERAGE(AI93,AH93,AF93,AE93)-0.25%</f>
        <v>-5.0002454600948494E-2</v>
      </c>
      <c r="AK93" s="182">
        <f>AVERAGE(AJ93,AI93,AH93,AF93)-0.25%</f>
        <v>-5.1014419680185913E-2</v>
      </c>
      <c r="AL93" s="152"/>
      <c r="AM93" s="182">
        <f>AVERAGE(AK93,AJ93,AI93,AH93)-0.25%</f>
        <v>-5.223041876631563E-2</v>
      </c>
      <c r="AN93" s="182">
        <f>AVERAGE(AM93,AK93,AJ93,AI93)-0.25%</f>
        <v>-5.3119441132938788E-2</v>
      </c>
      <c r="AO93" s="182">
        <f>AVERAGE(AN93,AM93,AK93,AJ93)-0.25%</f>
        <v>-5.4091683545097205E-2</v>
      </c>
      <c r="AP93" s="182">
        <f>AVERAGE(AO93,AN93,AM93,AK93)-0.25%</f>
        <v>-5.5113990781134388E-2</v>
      </c>
      <c r="AQ93" s="152"/>
    </row>
    <row r="94" spans="2:43" outlineLevel="2" x14ac:dyDescent="0.3">
      <c r="B94" s="132" t="s">
        <v>178</v>
      </c>
      <c r="C94" s="133"/>
      <c r="D94" s="135">
        <v>57.86</v>
      </c>
      <c r="E94" s="135">
        <v>56.52</v>
      </c>
      <c r="F94" s="135">
        <v>55.35</v>
      </c>
      <c r="G94" s="135">
        <v>56.124999899999999</v>
      </c>
      <c r="H94" s="141"/>
      <c r="I94" s="135">
        <v>52.78</v>
      </c>
      <c r="J94" s="135">
        <v>52.419998999999997</v>
      </c>
      <c r="K94" s="135">
        <v>50.28</v>
      </c>
      <c r="L94" s="135">
        <v>51.201999999999998</v>
      </c>
      <c r="M94" s="141"/>
      <c r="N94" s="135">
        <v>53.17</v>
      </c>
      <c r="O94" s="135">
        <v>53.75</v>
      </c>
      <c r="P94" s="135">
        <v>55.26</v>
      </c>
      <c r="Q94" s="135">
        <v>56.5</v>
      </c>
      <c r="R94" s="141"/>
      <c r="S94" s="135">
        <v>54.844000000000001</v>
      </c>
      <c r="T94" s="135">
        <f>+O94*(1+T95)</f>
        <v>55.773177629347167</v>
      </c>
      <c r="U94" s="135">
        <f>+P94*(1+U95)</f>
        <v>57.332580637949228</v>
      </c>
      <c r="V94" s="135">
        <f>+Q94*(1+V95)</f>
        <v>58.18986519499974</v>
      </c>
      <c r="W94" s="141"/>
      <c r="X94" s="135">
        <f>+S94*(1+X95)</f>
        <v>55.070773569152784</v>
      </c>
      <c r="Y94" s="135">
        <f>+T94*(1+Y95)</f>
        <v>56.737921136592711</v>
      </c>
      <c r="Z94" s="135">
        <f>+U94*(1+Z95)</f>
        <v>58.606046337281342</v>
      </c>
      <c r="AA94" s="135">
        <f>+V94*(1+AA95)</f>
        <v>59.259882692295257</v>
      </c>
      <c r="AB94" s="141"/>
      <c r="AC94" s="135">
        <f>+X94*(1+AC95)</f>
        <v>55.924822055458527</v>
      </c>
      <c r="AD94" s="135">
        <f>+Y94*(1+AD95)</f>
        <v>57.779148635402123</v>
      </c>
      <c r="AE94" s="135">
        <f>+Z94*(1+AE95)</f>
        <v>59.696998046761081</v>
      </c>
      <c r="AF94" s="135">
        <f>+AA94*(1+AF95)</f>
        <v>60.309717599787739</v>
      </c>
      <c r="AG94" s="141"/>
      <c r="AH94" s="135">
        <f>+AC94*(1+AH95)</f>
        <v>56.766357889238279</v>
      </c>
      <c r="AI94" s="135">
        <f>+AD94*(1+AI95)</f>
        <v>58.641934818742548</v>
      </c>
      <c r="AJ94" s="135">
        <f>+AE94*(1+AJ95)</f>
        <v>60.537395824538784</v>
      </c>
      <c r="AK94" s="135">
        <f>+AF94*(1+AK95)</f>
        <v>61.090330553225613</v>
      </c>
      <c r="AL94" s="141"/>
      <c r="AM94" s="135">
        <f>+AH94*(1+AM95)</f>
        <v>57.433380122974015</v>
      </c>
      <c r="AN94" s="135">
        <f>+AI94*(1+AN95)</f>
        <v>59.282655388056412</v>
      </c>
      <c r="AO94" s="135">
        <f>+AJ94*(1+AO95)</f>
        <v>61.13819032996728</v>
      </c>
      <c r="AP94" s="135">
        <f>+AK94*(1+AP95)</f>
        <v>61.633179902957636</v>
      </c>
      <c r="AQ94" s="141"/>
    </row>
    <row r="95" spans="2:43" outlineLevel="2" x14ac:dyDescent="0.3">
      <c r="B95" s="150" t="s">
        <v>204</v>
      </c>
      <c r="C95" s="133"/>
      <c r="D95" s="151">
        <f>+D94/62.19-1</f>
        <v>-6.9625341694806164E-2</v>
      </c>
      <c r="E95" s="151">
        <f>+E94/61.65-1</f>
        <v>-8.3211678832116664E-2</v>
      </c>
      <c r="F95" s="151">
        <f>+F94/58.4-1</f>
        <v>-5.2226027397260233E-2</v>
      </c>
      <c r="G95" s="151">
        <f>+G94/57.85-1</f>
        <v>-2.9818497839239511E-2</v>
      </c>
      <c r="H95" s="152"/>
      <c r="I95" s="151">
        <f>+I94/D94-1</f>
        <v>-8.7798133425509794E-2</v>
      </c>
      <c r="J95" s="151">
        <f>+J94/E94-1</f>
        <v>-7.2540711252654044E-2</v>
      </c>
      <c r="K95" s="151">
        <f>+K94/F94-1</f>
        <v>-9.1598915989159924E-2</v>
      </c>
      <c r="L95" s="151">
        <f>+L94/G94-1</f>
        <v>-8.7714920423545562E-2</v>
      </c>
      <c r="M95" s="152"/>
      <c r="N95" s="151">
        <f>+N94/I94-1</f>
        <v>7.3891625615762901E-3</v>
      </c>
      <c r="O95" s="151">
        <f>+O94/J94-1</f>
        <v>2.5372014982297131E-2</v>
      </c>
      <c r="P95" s="151">
        <f>+P94/K94-1</f>
        <v>9.9045346062052397E-2</v>
      </c>
      <c r="Q95" s="151">
        <f>+Q94/L94-1</f>
        <v>0.10347252060466383</v>
      </c>
      <c r="R95" s="152"/>
      <c r="S95" s="151">
        <f>+S94/N94-1</f>
        <v>3.1483919503479285E-2</v>
      </c>
      <c r="T95" s="147">
        <f>AVERAGE(S95,Q95,P95,O95)-2.72029362537574%</f>
        <v>3.764051403436576E-2</v>
      </c>
      <c r="U95" s="147">
        <f>AVERAGE(T95,S95,Q95,P95)-3.04045917368221%</f>
        <v>3.7505983314318217E-2</v>
      </c>
      <c r="V95" s="147">
        <f>AVERAGE(U95,T95,S95,Q95)-2.26166158686361%</f>
        <v>2.9909118495570673E-2</v>
      </c>
      <c r="W95" s="152"/>
      <c r="X95" s="147">
        <f>AVERAGE(V95,U95,T95,S95)-3%</f>
        <v>4.1348838369334867E-3</v>
      </c>
      <c r="Y95" s="147">
        <f>AVERAGE(X95,V95,U95,T95)-1%</f>
        <v>1.7297624920297038E-2</v>
      </c>
      <c r="Z95" s="147">
        <f>AVERAGE(Y95,X95,V95,U95)</f>
        <v>2.2211902641779854E-2</v>
      </c>
      <c r="AA95" s="147">
        <f>AVERAGE(Z95,Y95,X95,V95)</f>
        <v>1.8388382473645264E-2</v>
      </c>
      <c r="AB95" s="152"/>
      <c r="AC95" s="147">
        <f>AVERAGE(AA95,Z95,Y95,X95)</f>
        <v>1.5508198468163909E-2</v>
      </c>
      <c r="AD95" s="147">
        <f>AVERAGE(AC95,AA95,Z95,Y95)</f>
        <v>1.8351527125971517E-2</v>
      </c>
      <c r="AE95" s="147">
        <f>AVERAGE(AD95,AC95,AA95,Z95)</f>
        <v>1.8615002677390136E-2</v>
      </c>
      <c r="AF95" s="147">
        <f>AVERAGE(AE95,AD95,AC95,AA95)</f>
        <v>1.7715777686292705E-2</v>
      </c>
      <c r="AG95" s="152"/>
      <c r="AH95" s="182">
        <f>AVERAGE(AF95,AE95,AD95,AC95)-0.25%</f>
        <v>1.5047626489454567E-2</v>
      </c>
      <c r="AI95" s="182">
        <f>AVERAGE(AH95,AF95,AE95,AD95)-0.25%</f>
        <v>1.4932483494777231E-2</v>
      </c>
      <c r="AJ95" s="182">
        <f>AVERAGE(AI95,AH95,AF95,AE95)-0.25%</f>
        <v>1.4077722586978659E-2</v>
      </c>
      <c r="AK95" s="182">
        <f>AVERAGE(AJ95,AI95,AH95,AF95)-0.25%</f>
        <v>1.2943402564375791E-2</v>
      </c>
      <c r="AL95" s="152"/>
      <c r="AM95" s="182">
        <f>AVERAGE(AK95,AJ95,AI95,AH95)-0.25%</f>
        <v>1.1750308783896561E-2</v>
      </c>
      <c r="AN95" s="182">
        <f>AVERAGE(AM95,AK95,AJ95,AI95)-0.25%</f>
        <v>1.0925979357507059E-2</v>
      </c>
      <c r="AO95" s="182">
        <f>AVERAGE(AN95,AM95,AK95,AJ95)-0.25%</f>
        <v>9.9243533231895172E-3</v>
      </c>
      <c r="AP95" s="182">
        <f>AVERAGE(AO95,AN95,AM95,AK95)-0.25%</f>
        <v>8.8860110072422303E-3</v>
      </c>
      <c r="AQ95" s="152"/>
    </row>
    <row r="96" spans="2:43" outlineLevel="2" x14ac:dyDescent="0.3">
      <c r="B96" s="137" t="s">
        <v>179</v>
      </c>
      <c r="C96" s="136"/>
      <c r="D96" s="153">
        <f>+D92*D94*D60/1000</f>
        <v>1464.4944599999997</v>
      </c>
      <c r="E96" s="153">
        <f>+E92*E94*E60/1000</f>
        <v>1432.8498240000001</v>
      </c>
      <c r="F96" s="153">
        <f>+F92*F94*F60/1000</f>
        <v>1346.0013000000001</v>
      </c>
      <c r="G96" s="153">
        <f>+G92*G94*G60/1000</f>
        <v>1454.1572149090739</v>
      </c>
      <c r="H96" s="142"/>
      <c r="I96" s="153">
        <f>+I92*I94*I60/1000</f>
        <v>1715.35</v>
      </c>
      <c r="J96" s="153">
        <f>+J92*J94*J60/1000</f>
        <v>1762.1922921372063</v>
      </c>
      <c r="K96" s="153">
        <f>+K92*K94*K60/1000</f>
        <v>1666.8523920000002</v>
      </c>
      <c r="L96" s="153">
        <f>+L92*L94*L60/1000</f>
        <v>1798.188639</v>
      </c>
      <c r="M96" s="142"/>
      <c r="N96" s="153">
        <f>+N92*N94*N60/1000</f>
        <v>1740.8123849999999</v>
      </c>
      <c r="O96" s="153">
        <f>+O92*O94*O60/1000</f>
        <v>1838.7337500000001</v>
      </c>
      <c r="P96" s="153">
        <f>+P92*P94*P60/1000</f>
        <v>1813.1027040000001</v>
      </c>
      <c r="Q96" s="153">
        <f>+Q92*Q94*Q60/1000</f>
        <v>1961.115</v>
      </c>
      <c r="R96" s="142"/>
      <c r="S96" s="153">
        <f>+S92*S94*S60/1000</f>
        <v>1848.0234240000002</v>
      </c>
      <c r="T96" s="153">
        <f>+T92*T94*T60/1000</f>
        <v>1881.6407978487766</v>
      </c>
      <c r="U96" s="153">
        <f>+U92*U94*U60/1000</f>
        <v>1802.7809768282527</v>
      </c>
      <c r="V96" s="153">
        <f>+V92*V94*V60/1000</f>
        <v>1929.9410309345585</v>
      </c>
      <c r="W96" s="142"/>
      <c r="X96" s="153">
        <f>+X92*X94*X60/1000</f>
        <v>1767.1892003804433</v>
      </c>
      <c r="Y96" s="153">
        <f>+Y92*Y94*Y60/1000</f>
        <v>1824.4241404006211</v>
      </c>
      <c r="Z96" s="153">
        <f>+Z92*Z94*Z60/1000</f>
        <v>1759.5814492322704</v>
      </c>
      <c r="AA96" s="153">
        <f>+AA92*AA94*AA60/1000</f>
        <v>1874.9120621098152</v>
      </c>
      <c r="AB96" s="142"/>
      <c r="AC96" s="153">
        <f>+AC92*AC94*AC60/1000</f>
        <v>1711.2366075440277</v>
      </c>
      <c r="AD96" s="153">
        <f>+AD92*AD94*AD60/1000</f>
        <v>1772.1766504959999</v>
      </c>
      <c r="AE96" s="153">
        <f>+AE92*AE94*AE60/1000</f>
        <v>1709.9699860424955</v>
      </c>
      <c r="AF96" s="153">
        <f>+AF92*AF94*AF60/1000</f>
        <v>1820.0666914472877</v>
      </c>
      <c r="AG96" s="142"/>
      <c r="AH96" s="153">
        <f>+AH92*AH94*AH60/1000</f>
        <v>1652.4399963245439</v>
      </c>
      <c r="AI96" s="153">
        <f>+AI92*AI94*AI60/1000</f>
        <v>1710.0917711248192</v>
      </c>
      <c r="AJ96" s="153">
        <f>+AJ92*AJ94*AJ60/1000</f>
        <v>1647.3360892988685</v>
      </c>
      <c r="AK96" s="153">
        <f>+AK92*AK94*AK60/1000</f>
        <v>1749.5731109385822</v>
      </c>
      <c r="AL96" s="142"/>
      <c r="AM96" s="153">
        <f>+AM92*AM94*AM60/1000</f>
        <v>1584.5349021958889</v>
      </c>
      <c r="AN96" s="153">
        <f>+AN92*AN94*AN60/1000</f>
        <v>1636.9445730064981</v>
      </c>
      <c r="AO96" s="153">
        <f>+AO92*AO94*AO60/1000</f>
        <v>1573.6933210942227</v>
      </c>
      <c r="AP96" s="153">
        <f>+AP92*AP94*AP60/1000</f>
        <v>1667.8370384440379</v>
      </c>
      <c r="AQ96" s="142"/>
    </row>
    <row r="97" spans="2:43" ht="16.2" outlineLevel="1" x14ac:dyDescent="0.45">
      <c r="B97" s="643" t="s">
        <v>180</v>
      </c>
      <c r="C97" s="644"/>
      <c r="D97" s="51"/>
      <c r="E97" s="51"/>
      <c r="F97" s="51"/>
      <c r="G97" s="51"/>
      <c r="H97" s="59"/>
      <c r="I97" s="51"/>
      <c r="J97" s="51"/>
      <c r="K97" s="51"/>
      <c r="L97" s="51"/>
      <c r="M97" s="59"/>
      <c r="N97" s="51"/>
      <c r="O97" s="51"/>
      <c r="P97" s="51"/>
      <c r="Q97" s="51"/>
      <c r="R97" s="55"/>
      <c r="S97" s="52"/>
      <c r="T97" s="52"/>
      <c r="U97" s="52"/>
      <c r="V97" s="52"/>
      <c r="W97" s="55"/>
      <c r="X97" s="52"/>
      <c r="Y97" s="52"/>
      <c r="Z97" s="52"/>
      <c r="AA97" s="52"/>
      <c r="AB97" s="55"/>
      <c r="AC97" s="52"/>
      <c r="AD97" s="52"/>
      <c r="AE97" s="52"/>
      <c r="AF97" s="52"/>
      <c r="AG97" s="55"/>
      <c r="AH97" s="52"/>
      <c r="AI97" s="52"/>
      <c r="AJ97" s="52"/>
      <c r="AK97" s="52"/>
      <c r="AL97" s="55"/>
      <c r="AM97" s="52"/>
      <c r="AN97" s="52"/>
      <c r="AO97" s="52"/>
      <c r="AP97" s="52"/>
      <c r="AQ97" s="55"/>
    </row>
    <row r="98" spans="2:43" outlineLevel="2" x14ac:dyDescent="0.3">
      <c r="B98" s="128" t="s">
        <v>370</v>
      </c>
      <c r="C98" s="292"/>
      <c r="D98" s="269">
        <v>176</v>
      </c>
      <c r="E98" s="269">
        <v>185.7</v>
      </c>
      <c r="F98" s="269">
        <v>179.2</v>
      </c>
      <c r="G98" s="269">
        <v>184.4</v>
      </c>
      <c r="H98" s="59"/>
      <c r="I98" s="269">
        <v>238</v>
      </c>
      <c r="J98" s="269">
        <v>259.39999999999998</v>
      </c>
      <c r="K98" s="269">
        <v>253.4</v>
      </c>
      <c r="L98" s="269">
        <v>265.499999</v>
      </c>
      <c r="M98" s="59"/>
      <c r="N98" s="269">
        <v>252.2</v>
      </c>
      <c r="O98" s="269">
        <v>276.5</v>
      </c>
      <c r="P98" s="269">
        <v>266.39999999999998</v>
      </c>
      <c r="Q98" s="269">
        <v>277</v>
      </c>
      <c r="R98" s="55"/>
      <c r="S98" s="269">
        <v>275.8</v>
      </c>
      <c r="T98" s="129">
        <f>+O98*(1+T99)</f>
        <v>288.53567706742575</v>
      </c>
      <c r="U98" s="129">
        <f>+P98*(1+U99)</f>
        <v>271.17668450938595</v>
      </c>
      <c r="V98" s="129">
        <f>+Q98*(1+V99)</f>
        <v>281.04075122304232</v>
      </c>
      <c r="W98" s="55"/>
      <c r="X98" s="129">
        <f>+S98*(1+X99)</f>
        <v>279.22152259361832</v>
      </c>
      <c r="Y98" s="129">
        <f>+T98*(1+Y99)</f>
        <v>292.03074773688792</v>
      </c>
      <c r="Z98" s="129">
        <f>+U98*(1+Z99)</f>
        <v>275.04345992960162</v>
      </c>
      <c r="AA98" s="129">
        <f>+V98*(1+AA99)</f>
        <v>284.79023809194757</v>
      </c>
      <c r="AB98" s="55"/>
      <c r="AC98" s="129">
        <f>+X98*(1+AC99)</f>
        <v>282.85975283100055</v>
      </c>
      <c r="AD98" s="129">
        <f>+Y98*(1+AD99)</f>
        <v>295.88144474119434</v>
      </c>
      <c r="AE98" s="129">
        <f>+Z98*(1+AE99)</f>
        <v>278.7439302831595</v>
      </c>
      <c r="AF98" s="129">
        <f>+AA98*(1+AF99)</f>
        <v>288.5645204425125</v>
      </c>
      <c r="AG98" s="55"/>
      <c r="AH98" s="129">
        <f>+AC98*(1+AH99)</f>
        <v>285.89503710718958</v>
      </c>
      <c r="AI98" s="129">
        <f>+AD98*(1+AI99)</f>
        <v>298.88638812307846</v>
      </c>
      <c r="AJ98" s="129">
        <f>+AE98*(1+AJ99)</f>
        <v>281.36367634322869</v>
      </c>
      <c r="AK98" s="129">
        <f>+AF98*(1+AK99)</f>
        <v>290.98397915792356</v>
      </c>
      <c r="AL98" s="55"/>
      <c r="AM98" s="129">
        <f>+AH98*(1+AM99)</f>
        <v>287.94415174757154</v>
      </c>
      <c r="AN98" s="129">
        <f>+AI98*(1+AN99)</f>
        <v>300.76235830961809</v>
      </c>
      <c r="AO98" s="129">
        <f>+AJ98*(1+AO99)</f>
        <v>282.85678615273366</v>
      </c>
      <c r="AP98" s="129">
        <f>+AK98*(1+AP99)</f>
        <v>292.23048565177936</v>
      </c>
      <c r="AQ98" s="55"/>
    </row>
    <row r="99" spans="2:43" outlineLevel="2" x14ac:dyDescent="0.3">
      <c r="B99" s="146" t="s">
        <v>205</v>
      </c>
      <c r="C99" s="292"/>
      <c r="D99" s="171">
        <f>+D98/169.5-1</f>
        <v>3.8348082595870192E-2</v>
      </c>
      <c r="E99" s="171">
        <f>+E98/179.5-1</f>
        <v>3.4540389972144814E-2</v>
      </c>
      <c r="F99" s="171">
        <f>+F98/175.4-1</f>
        <v>2.1664766248574496E-2</v>
      </c>
      <c r="G99" s="171">
        <f>+G98/178.4-1</f>
        <v>3.3632286995515681E-2</v>
      </c>
      <c r="H99" s="89"/>
      <c r="I99" s="171">
        <f>+I98/D98-1</f>
        <v>0.35227272727272729</v>
      </c>
      <c r="J99" s="171">
        <f>+J98/E98-1</f>
        <v>0.39687668282175559</v>
      </c>
      <c r="K99" s="171">
        <f>+K98/F98-1</f>
        <v>0.41406250000000022</v>
      </c>
      <c r="L99" s="171">
        <f>+L98/G98-1</f>
        <v>0.43980476681127989</v>
      </c>
      <c r="M99" s="89"/>
      <c r="N99" s="171">
        <f>+N98/I98-1</f>
        <v>5.9663865546218497E-2</v>
      </c>
      <c r="O99" s="171">
        <f>+O98/J98-1</f>
        <v>6.5921356977640899E-2</v>
      </c>
      <c r="P99" s="171">
        <f>+P98/K98-1</f>
        <v>5.1302288871349466E-2</v>
      </c>
      <c r="Q99" s="171">
        <f>+Q98/L98-1</f>
        <v>4.3314504871241111E-2</v>
      </c>
      <c r="R99" s="62"/>
      <c r="S99" s="171">
        <f>+S98/N98-1</f>
        <v>9.35765265662174E-2</v>
      </c>
      <c r="T99" s="147">
        <f>AVERAGE(S99,Q99,P99,O99)-2%</f>
        <v>4.3528669321612215E-2</v>
      </c>
      <c r="U99" s="147">
        <f>AVERAGE(T99,S99,Q99,P99)-4%</f>
        <v>1.7930497407605044E-2</v>
      </c>
      <c r="V99" s="147">
        <f>AVERAGE(U99,T99,S99,Q99)-3.5%</f>
        <v>1.4587549541668937E-2</v>
      </c>
      <c r="W99" s="62"/>
      <c r="X99" s="147">
        <f>AVERAGE(V99,U99,T99,S99)-3%</f>
        <v>1.2405810709275898E-2</v>
      </c>
      <c r="Y99" s="147">
        <f>AVERAGE(X99,V99,U99,T99)-1%</f>
        <v>1.2113131745040523E-2</v>
      </c>
      <c r="Z99" s="147">
        <f>AVERAGE(Y99,X99,V99,U99)</f>
        <v>1.42592473508976E-2</v>
      </c>
      <c r="AA99" s="147">
        <f>AVERAGE(Z99,Y99,X99,V99)</f>
        <v>1.3341434836720741E-2</v>
      </c>
      <c r="AB99" s="62"/>
      <c r="AC99" s="147">
        <f>AVERAGE(AA99,Z99,Y99,X99)</f>
        <v>1.302990616048369E-2</v>
      </c>
      <c r="AD99" s="147">
        <f>AVERAGE(AC99,AA99,Z99,Y99)</f>
        <v>1.3185930023285638E-2</v>
      </c>
      <c r="AE99" s="147">
        <f>AVERAGE(AD99,AC99,AA99,Z99)</f>
        <v>1.3454129592846916E-2</v>
      </c>
      <c r="AF99" s="147">
        <f>AVERAGE(AE99,AD99,AC99,AA99)</f>
        <v>1.3252850153334246E-2</v>
      </c>
      <c r="AG99" s="62"/>
      <c r="AH99" s="182">
        <f>AVERAGE(AF99,AE99,AD99,AC99)-0.25%</f>
        <v>1.0730703982487622E-2</v>
      </c>
      <c r="AI99" s="182">
        <f>AVERAGE(AH99,AF99,AE99,AD99)-0.25%</f>
        <v>1.0155903437988605E-2</v>
      </c>
      <c r="AJ99" s="182">
        <f>AVERAGE(AI99,AH99,AF99,AE99)-0.25%</f>
        <v>9.3983967916643468E-3</v>
      </c>
      <c r="AK99" s="182">
        <f>AVERAGE(AJ99,AI99,AH99,AF99)-0.25%</f>
        <v>8.384463591368704E-3</v>
      </c>
      <c r="AL99" s="62"/>
      <c r="AM99" s="182">
        <f>AVERAGE(AK99,AJ99,AI99,AH99)-0.25%</f>
        <v>7.1673669508773193E-3</v>
      </c>
      <c r="AN99" s="182">
        <f>AVERAGE(AM99,AK99,AJ99,AI99)-0.25%</f>
        <v>6.2765326929747432E-3</v>
      </c>
      <c r="AO99" s="182">
        <f>AVERAGE(AN99,AM99,AK99,AJ99)-0.25%</f>
        <v>5.3066900067212774E-3</v>
      </c>
      <c r="AP99" s="182">
        <f>AVERAGE(AO99,AN99,AM99,AK99)-0.25%</f>
        <v>4.28376331048551E-3</v>
      </c>
      <c r="AQ99" s="62"/>
    </row>
    <row r="100" spans="2:43" outlineLevel="2" x14ac:dyDescent="0.3">
      <c r="B100" s="128" t="s">
        <v>181</v>
      </c>
      <c r="C100" s="292"/>
      <c r="D100" s="148">
        <v>50.18</v>
      </c>
      <c r="E100" s="148">
        <v>48.53</v>
      </c>
      <c r="F100" s="148">
        <v>48.36</v>
      </c>
      <c r="G100" s="148">
        <v>49.494</v>
      </c>
      <c r="H100" s="59"/>
      <c r="I100" s="148">
        <v>44.78</v>
      </c>
      <c r="J100" s="148">
        <v>43.8</v>
      </c>
      <c r="K100" s="148">
        <v>44.05</v>
      </c>
      <c r="L100" s="148">
        <v>44.884999899999997</v>
      </c>
      <c r="M100" s="59"/>
      <c r="N100" s="148">
        <v>46.95</v>
      </c>
      <c r="O100" s="148">
        <v>46.78</v>
      </c>
      <c r="P100" s="148">
        <v>48.01</v>
      </c>
      <c r="Q100" s="148">
        <v>48.72</v>
      </c>
      <c r="R100" s="55"/>
      <c r="S100" s="148">
        <v>47.424999999999997</v>
      </c>
      <c r="T100" s="148">
        <f>+O100*(1+T101)</f>
        <v>48.808990012487499</v>
      </c>
      <c r="U100" s="148">
        <f>+P100*(1+U101)</f>
        <v>48.836115090869818</v>
      </c>
      <c r="V100" s="148">
        <f>+Q100*(1+V101)</f>
        <v>48.916559473750603</v>
      </c>
      <c r="W100" s="55"/>
      <c r="X100" s="148">
        <f>+S100*(1+X101)</f>
        <v>46.888288749866064</v>
      </c>
      <c r="Y100" s="148">
        <f>+T100*(1+Y101)</f>
        <v>48.971250470947176</v>
      </c>
      <c r="Z100" s="148">
        <f>+U100*(1+Z101)</f>
        <v>48.99787204814789</v>
      </c>
      <c r="AA100" s="148">
        <f>+V100*(1+AA101)</f>
        <v>48.908660136197923</v>
      </c>
      <c r="AB100" s="55"/>
      <c r="AC100" s="148">
        <f>+X100*(1+AC101)</f>
        <v>46.831531627961127</v>
      </c>
      <c r="AD100" s="148">
        <f>+Y100*(1+AD101)</f>
        <v>49.035704913322377</v>
      </c>
      <c r="AE100" s="148">
        <f>+Z100*(1+AE101)</f>
        <v>49.037761804903987</v>
      </c>
      <c r="AF100" s="148">
        <f>+AA100*(1+AF101)</f>
        <v>48.917932235551902</v>
      </c>
      <c r="AG100" s="55"/>
      <c r="AH100" s="148">
        <f>+AC100*(1+AH101)</f>
        <v>46.727441354498367</v>
      </c>
      <c r="AI100" s="148">
        <f>+AD100*(1+AI101)</f>
        <v>48.914307308426743</v>
      </c>
      <c r="AJ100" s="148">
        <f>+AE100*(1+AJ101)</f>
        <v>48.869872937848058</v>
      </c>
      <c r="AK100" s="148">
        <f>+AF100*(1+AK101)</f>
        <v>48.698627802906579</v>
      </c>
      <c r="AL100" s="55"/>
      <c r="AM100" s="148">
        <f>+AH100*(1+AM101)</f>
        <v>46.463371429977954</v>
      </c>
      <c r="AN100" s="148">
        <f>+AI100*(1+AN101)</f>
        <v>48.595951549505024</v>
      </c>
      <c r="AO100" s="148">
        <f>+AJ100*(1+AO101)</f>
        <v>48.502536500898294</v>
      </c>
      <c r="AP100" s="148">
        <f>+AK100*(1+AP101)</f>
        <v>48.28274818469697</v>
      </c>
      <c r="AQ100" s="55"/>
    </row>
    <row r="101" spans="2:43" outlineLevel="2" x14ac:dyDescent="0.3">
      <c r="B101" s="146" t="s">
        <v>204</v>
      </c>
      <c r="C101" s="292"/>
      <c r="D101" s="171">
        <f>+D100/52.6-1</f>
        <v>-4.600760456273767E-2</v>
      </c>
      <c r="E101" s="171">
        <f>+E100/52.88-1</f>
        <v>-8.2261724659606683E-2</v>
      </c>
      <c r="F101" s="171">
        <f>+F100/50.6-1</f>
        <v>-4.426877470355739E-2</v>
      </c>
      <c r="G101" s="171">
        <f>+G100/50.1-1</f>
        <v>-1.2095808383233542E-2</v>
      </c>
      <c r="H101" s="89"/>
      <c r="I101" s="171">
        <f>+I100/D100-1</f>
        <v>-0.10761259465922679</v>
      </c>
      <c r="J101" s="171">
        <f>+J100/E100-1</f>
        <v>-9.7465485266845286E-2</v>
      </c>
      <c r="K101" s="171">
        <f>+K100/F100-1</f>
        <v>-8.9123242349048892E-2</v>
      </c>
      <c r="L101" s="171">
        <f>+L100/G100-1</f>
        <v>-9.3122400695033747E-2</v>
      </c>
      <c r="M101" s="89"/>
      <c r="N101" s="171">
        <f>+N100/I100-1</f>
        <v>4.845913354175968E-2</v>
      </c>
      <c r="O101" s="171">
        <f>+O100/J100-1</f>
        <v>6.8036529680365332E-2</v>
      </c>
      <c r="P101" s="171">
        <f>+P100/K100-1</f>
        <v>8.9897843359818319E-2</v>
      </c>
      <c r="Q101" s="171">
        <f>+Q100/L100-1</f>
        <v>8.5440572764711176E-2</v>
      </c>
      <c r="R101" s="62"/>
      <c r="S101" s="171">
        <f>+S100/N100-1</f>
        <v>1.0117145899893432E-2</v>
      </c>
      <c r="T101" s="147">
        <f>AVERAGE(S101,Q101,P101,O101)-2%</f>
        <v>4.3373022926197061E-2</v>
      </c>
      <c r="U101" s="147">
        <f>AVERAGE(T101,S101,Q101,P101)-4%</f>
        <v>1.7207146237654992E-2</v>
      </c>
      <c r="V101" s="147">
        <f>AVERAGE(U101,T101,S101,Q101)-3.5%</f>
        <v>4.0344719571141635E-3</v>
      </c>
      <c r="W101" s="62"/>
      <c r="X101" s="147">
        <f>AVERAGE(V101,U101,T101,S101)-3%</f>
        <v>-1.1317053244785089E-2</v>
      </c>
      <c r="Y101" s="147">
        <f>AVERAGE(X101,V101,U101,T101)-1%</f>
        <v>3.3243969690452818E-3</v>
      </c>
      <c r="Z101" s="147">
        <f>AVERAGE(Y101,X101,V101,U101)</f>
        <v>3.3122404797573373E-3</v>
      </c>
      <c r="AA101" s="147">
        <f>AVERAGE(Z101,Y101,X101,V101)</f>
        <v>-1.6148595971707648E-4</v>
      </c>
      <c r="AB101" s="62"/>
      <c r="AC101" s="147">
        <f>AVERAGE(AA101,Z101,Y101,X101)</f>
        <v>-1.2104754389248864E-3</v>
      </c>
      <c r="AD101" s="147">
        <f>AVERAGE(AC101,AA101,Z101,Y101)</f>
        <v>1.3161690125401641E-3</v>
      </c>
      <c r="AE101" s="147">
        <f>AVERAGE(AD101,AC101,AA101,Z101)</f>
        <v>8.1411202341388463E-4</v>
      </c>
      <c r="AF101" s="147">
        <f>AVERAGE(AE101,AD101,AC101,AA101)</f>
        <v>1.8957990932802146E-4</v>
      </c>
      <c r="AG101" s="62"/>
      <c r="AH101" s="182">
        <f>AVERAGE(AF101,AE101,AD101,AC101)-0.25%</f>
        <v>-2.2226536234107039E-3</v>
      </c>
      <c r="AI101" s="182">
        <f>AVERAGE(AH101,AF101,AE101,AD101)-0.25%</f>
        <v>-2.4756981695321584E-3</v>
      </c>
      <c r="AJ101" s="182">
        <f>AVERAGE(AI101,AH101,AF101,AE101)-0.25%</f>
        <v>-3.4236649650502392E-3</v>
      </c>
      <c r="AK101" s="182">
        <f>AVERAGE(AJ101,AI101,AH101,AF101)-0.25%</f>
        <v>-4.4831092121662697E-3</v>
      </c>
      <c r="AL101" s="62"/>
      <c r="AM101" s="182">
        <f>AVERAGE(AK101,AJ101,AI101,AH101)-0.25%</f>
        <v>-5.6512814925398433E-3</v>
      </c>
      <c r="AN101" s="182">
        <f>AVERAGE(AM101,AK101,AJ101,AI101)-0.25%</f>
        <v>-6.5084384598221284E-3</v>
      </c>
      <c r="AO101" s="182">
        <f>AVERAGE(AN101,AM101,AK101,AJ101)-0.25%</f>
        <v>-7.5166235323946215E-3</v>
      </c>
      <c r="AP101" s="182">
        <f>AVERAGE(AO101,AN101,AM101,AK101)-0.25%</f>
        <v>-8.5398631742307166E-3</v>
      </c>
      <c r="AQ101" s="62"/>
    </row>
    <row r="102" spans="2:43" outlineLevel="2" x14ac:dyDescent="0.3">
      <c r="B102" s="124" t="s">
        <v>182</v>
      </c>
      <c r="C102" s="125"/>
      <c r="D102" s="149">
        <f>+D98*D100*D60/1000</f>
        <v>574.05920000000003</v>
      </c>
      <c r="E102" s="149">
        <f>+E98*E100*E60/1000</f>
        <v>567.75732299999993</v>
      </c>
      <c r="F102" s="149">
        <f>+F98*F100*F60/1000</f>
        <v>545.965056</v>
      </c>
      <c r="G102" s="149">
        <f>+G98*G100*G60/1000</f>
        <v>593.23508400000003</v>
      </c>
      <c r="H102" s="61"/>
      <c r="I102" s="149">
        <f>+I98*I100*I60/1000</f>
        <v>692.74659999999994</v>
      </c>
      <c r="J102" s="149">
        <f>+J98*J100*J60/1000</f>
        <v>715.7883599999999</v>
      </c>
      <c r="K102" s="149">
        <f>+K98*K100*K60/1000</f>
        <v>692.06074000000001</v>
      </c>
      <c r="L102" s="149">
        <f>+L98*L100*L60/1000</f>
        <v>774.60288285672505</v>
      </c>
      <c r="M102" s="61"/>
      <c r="N102" s="149">
        <f>+N98*N100*N60/1000</f>
        <v>769.65135000000009</v>
      </c>
      <c r="O102" s="149">
        <f>+O98*O100*O60/1000</f>
        <v>814.88420999999994</v>
      </c>
      <c r="P102" s="149">
        <f>+P98*P100*P60/1000</f>
        <v>792.97156799999982</v>
      </c>
      <c r="Q102" s="149">
        <f>+Q98*Q100*Q60/1000</f>
        <v>877.20359999999994</v>
      </c>
      <c r="R102" s="61"/>
      <c r="S102" s="149">
        <f>+S98*S100*S60/1000</f>
        <v>850.18797499999994</v>
      </c>
      <c r="T102" s="149">
        <f>+T98*T100*T60/1000</f>
        <v>887.23750375450891</v>
      </c>
      <c r="U102" s="149">
        <f>+U98*U100*U60/1000</f>
        <v>821.07937802897368</v>
      </c>
      <c r="V102" s="149">
        <f>+V98*V100*V60/1000</f>
        <v>893.59053041371737</v>
      </c>
      <c r="W102" s="56"/>
      <c r="X102" s="149">
        <f>+X98*X100*X60/1000</f>
        <v>850.9942594755438</v>
      </c>
      <c r="Y102" s="149">
        <f>+Y98*Y100*Y60/1000</f>
        <v>900.96998623639115</v>
      </c>
      <c r="Z102" s="149">
        <f>+Z98*Z100*Z60/1000</f>
        <v>835.54574395325176</v>
      </c>
      <c r="AA102" s="149">
        <f>+AA98*AA100*AA60/1000</f>
        <v>905.36608272148692</v>
      </c>
      <c r="AB102" s="56"/>
      <c r="AC102" s="149">
        <f>+AC98*AC100*AC60/1000</f>
        <v>861.03910496384742</v>
      </c>
      <c r="AD102" s="149">
        <f>+AD98*AD100*AD60/1000</f>
        <v>914.05157846037253</v>
      </c>
      <c r="AE102" s="149">
        <f>+AE98*AE100*AE60/1000</f>
        <v>847.47666438287695</v>
      </c>
      <c r="AF102" s="149">
        <f>+AF98*AF100*AF60/1000</f>
        <v>917.53867767843826</v>
      </c>
      <c r="AG102" s="56"/>
      <c r="AH102" s="149">
        <f>+AH98*AH100*AH60/1000</f>
        <v>868.34433269794181</v>
      </c>
      <c r="AI102" s="149">
        <f>+AI98*AI100*AI60/1000</f>
        <v>921.04870025435196</v>
      </c>
      <c r="AJ102" s="149">
        <f>+AJ98*AJ100*AJ60/1000</f>
        <v>852.51284095760229</v>
      </c>
      <c r="AK102" s="149">
        <f>+AK98*AK100*AK60/1000</f>
        <v>921.08383234532891</v>
      </c>
      <c r="AL102" s="56"/>
      <c r="AM102" s="149">
        <f>+AM98*AM100*AM60/1000</f>
        <v>869.62564479292791</v>
      </c>
      <c r="AN102" s="149">
        <f>+AN98*AN100*AN60/1000</f>
        <v>920.79747851673153</v>
      </c>
      <c r="AO102" s="149">
        <f>+AO98*AO100*AO60/1000</f>
        <v>850.5948388837844</v>
      </c>
      <c r="AP102" s="149">
        <f>+AP98*AP100*AP60/1000</f>
        <v>917.12991179007679</v>
      </c>
      <c r="AQ102" s="56"/>
    </row>
    <row r="103" spans="2:43" ht="16.2" outlineLevel="1" x14ac:dyDescent="0.45">
      <c r="B103" s="674" t="s">
        <v>183</v>
      </c>
      <c r="C103" s="675"/>
      <c r="D103" s="131"/>
      <c r="E103" s="131"/>
      <c r="F103" s="131"/>
      <c r="G103" s="131"/>
      <c r="H103" s="141"/>
      <c r="I103" s="131"/>
      <c r="J103" s="131"/>
      <c r="K103" s="131"/>
      <c r="L103" s="131"/>
      <c r="M103" s="141"/>
      <c r="N103" s="131"/>
      <c r="O103" s="131"/>
      <c r="P103" s="131"/>
      <c r="Q103" s="131"/>
      <c r="R103" s="141"/>
      <c r="S103" s="131"/>
      <c r="T103" s="131"/>
      <c r="U103" s="131"/>
      <c r="V103" s="131"/>
      <c r="W103" s="141"/>
      <c r="X103" s="131"/>
      <c r="Y103" s="131"/>
      <c r="Z103" s="131"/>
      <c r="AA103" s="131"/>
      <c r="AB103" s="141"/>
      <c r="AC103" s="131"/>
      <c r="AD103" s="131"/>
      <c r="AE103" s="131"/>
      <c r="AF103" s="131"/>
      <c r="AG103" s="141"/>
      <c r="AH103" s="131"/>
      <c r="AI103" s="131"/>
      <c r="AJ103" s="131"/>
      <c r="AK103" s="131"/>
      <c r="AL103" s="141"/>
      <c r="AM103" s="131"/>
      <c r="AN103" s="131"/>
      <c r="AO103" s="131"/>
      <c r="AP103" s="131"/>
      <c r="AQ103" s="141"/>
    </row>
    <row r="104" spans="2:43" outlineLevel="2" x14ac:dyDescent="0.3">
      <c r="B104" s="132" t="s">
        <v>371</v>
      </c>
      <c r="C104" s="133"/>
      <c r="D104" s="134">
        <v>855</v>
      </c>
      <c r="E104" s="134">
        <v>954</v>
      </c>
      <c r="F104" s="134">
        <v>878</v>
      </c>
      <c r="G104" s="134">
        <v>868.5</v>
      </c>
      <c r="H104" s="141"/>
      <c r="I104" s="134">
        <v>2172</v>
      </c>
      <c r="J104" s="134">
        <v>2536</v>
      </c>
      <c r="K104" s="134">
        <v>2471</v>
      </c>
      <c r="L104" s="134">
        <v>2404.5990000000002</v>
      </c>
      <c r="M104" s="141"/>
      <c r="N104" s="134">
        <v>2238.1999999999998</v>
      </c>
      <c r="O104" s="134">
        <v>2662.5</v>
      </c>
      <c r="P104" s="134">
        <v>2445</v>
      </c>
      <c r="Q104" s="134">
        <v>2377</v>
      </c>
      <c r="R104" s="141"/>
      <c r="S104" s="134">
        <v>2395</v>
      </c>
      <c r="T104" s="134">
        <f>+O104*(1+T105)</f>
        <v>2674.440216519683</v>
      </c>
      <c r="U104" s="134">
        <f>+P104*(1+U105)</f>
        <v>2379.3158319420299</v>
      </c>
      <c r="V104" s="134">
        <f>+Q104*(1+V105)</f>
        <v>2315.3160203001548</v>
      </c>
      <c r="W104" s="141"/>
      <c r="X104" s="134">
        <f>+S104*(1+X105)</f>
        <v>2336.158349176324</v>
      </c>
      <c r="Y104" s="134">
        <f>+T104*(1+Y105)</f>
        <v>2598.9548166594618</v>
      </c>
      <c r="Z104" s="134">
        <f>+U104*(1+Z105)</f>
        <v>2316.4969414634711</v>
      </c>
      <c r="AA104" s="134">
        <f>+V104*(1+AA105)</f>
        <v>2254.454629527595</v>
      </c>
      <c r="AB104" s="141"/>
      <c r="AC104" s="134">
        <f>+X104*(1+AC105)</f>
        <v>2274.5528038574744</v>
      </c>
      <c r="AD104" s="134">
        <f>+Y104*(1+AD105)</f>
        <v>2529.2484395273154</v>
      </c>
      <c r="AE104" s="134">
        <f>+Z104*(1+AE105)</f>
        <v>2255.1793328981171</v>
      </c>
      <c r="AF104" s="134">
        <f>+AA104*(1+AF105)</f>
        <v>2194.7410153345263</v>
      </c>
      <c r="AG104" s="141"/>
      <c r="AH104" s="134">
        <f>+AC104*(1+AH105)</f>
        <v>2208.5064479183789</v>
      </c>
      <c r="AI104" s="134">
        <f>+AD104*(1+AI105)</f>
        <v>2454.1203293174412</v>
      </c>
      <c r="AJ104" s="134">
        <f>+AE104*(1+AJ105)</f>
        <v>2186.5667882262128</v>
      </c>
      <c r="AK104" s="134">
        <f>+AF104*(1+AK105)</f>
        <v>2125.7975193215589</v>
      </c>
      <c r="AL104" s="141"/>
      <c r="AM104" s="134">
        <f>+AH104*(1+AM105)</f>
        <v>2136.4107070449822</v>
      </c>
      <c r="AN104" s="134">
        <f>+AI104*(1+AN105)</f>
        <v>2371.7933219611164</v>
      </c>
      <c r="AO104" s="134">
        <f>+AJ104*(1+AO105)</f>
        <v>2111.1146628247275</v>
      </c>
      <c r="AP104" s="134">
        <f>+AK104*(1+AP105)</f>
        <v>2050.2726224376406</v>
      </c>
      <c r="AQ104" s="141"/>
    </row>
    <row r="105" spans="2:43" outlineLevel="2" x14ac:dyDescent="0.3">
      <c r="B105" s="150" t="s">
        <v>205</v>
      </c>
      <c r="C105" s="133"/>
      <c r="D105" s="151">
        <f>+D104/816-1</f>
        <v>4.7794117647058876E-2</v>
      </c>
      <c r="E105" s="151">
        <f>+E104/917-1</f>
        <v>4.0348964013086075E-2</v>
      </c>
      <c r="F105" s="151">
        <f>+F104/830.5-1</f>
        <v>5.7194461167971111E-2</v>
      </c>
      <c r="G105" s="151">
        <f>+G104/850-1</f>
        <v>2.1764705882352908E-2</v>
      </c>
      <c r="H105" s="152"/>
      <c r="I105" s="151">
        <f>+I104/D104-1</f>
        <v>1.5403508771929824</v>
      </c>
      <c r="J105" s="151">
        <f>+J104/E104-1</f>
        <v>1.658280922431866</v>
      </c>
      <c r="K105" s="151">
        <f>+K104/F104-1</f>
        <v>1.8143507972665147</v>
      </c>
      <c r="L105" s="151">
        <f>+L104/G104-1</f>
        <v>1.768680483592401</v>
      </c>
      <c r="M105" s="152"/>
      <c r="N105" s="151">
        <f>+N104/I104-1</f>
        <v>3.0478821362799113E-2</v>
      </c>
      <c r="O105" s="151">
        <f>+O104/J104-1</f>
        <v>4.9881703470031624E-2</v>
      </c>
      <c r="P105" s="151">
        <f>+P104/K104-1</f>
        <v>-1.0522055847834832E-2</v>
      </c>
      <c r="Q105" s="151">
        <f>+Q104/L104-1</f>
        <v>-1.1477589402640542E-2</v>
      </c>
      <c r="R105" s="152"/>
      <c r="S105" s="151">
        <f>+S104/N104-1</f>
        <v>7.0056295237244326E-2</v>
      </c>
      <c r="T105" s="147">
        <f>AVERAGE(S105,Q105,P105,O105)-2%</f>
        <v>4.4845883642001434E-3</v>
      </c>
      <c r="U105" s="147">
        <f>AVERAGE(T105,S105,Q105,P105)-4%</f>
        <v>-2.6864690412257728E-2</v>
      </c>
      <c r="V105" s="147">
        <f>AVERAGE(U105,T105,S105,Q105)-3.5%</f>
        <v>-2.5950349053363454E-2</v>
      </c>
      <c r="W105" s="152"/>
      <c r="X105" s="147">
        <f>AVERAGE(V105,U105,T105,S105)-3%</f>
        <v>-2.4568538966044176E-2</v>
      </c>
      <c r="Y105" s="147">
        <f>AVERAGE(X105,V105,U105,T105)-1%</f>
        <v>-2.8224747516866301E-2</v>
      </c>
      <c r="Z105" s="147">
        <f>AVERAGE(Y105,X105,V105,U105)</f>
        <v>-2.6402081487132915E-2</v>
      </c>
      <c r="AA105" s="147">
        <f>AVERAGE(Z105,Y105,X105,V105)</f>
        <v>-2.6286429255851711E-2</v>
      </c>
      <c r="AB105" s="152"/>
      <c r="AC105" s="147">
        <f>AVERAGE(AA105,Z105,Y105,X105)</f>
        <v>-2.6370449306473778E-2</v>
      </c>
      <c r="AD105" s="147">
        <f>AVERAGE(AC105,AA105,Z105,Y105)</f>
        <v>-2.6820926891581179E-2</v>
      </c>
      <c r="AE105" s="147">
        <f>AVERAGE(AD105,AC105,AA105,Z105)</f>
        <v>-2.6469971735259896E-2</v>
      </c>
      <c r="AF105" s="147">
        <f>AVERAGE(AE105,AD105,AC105,AA105)</f>
        <v>-2.6486944297291641E-2</v>
      </c>
      <c r="AG105" s="152"/>
      <c r="AH105" s="182">
        <f>AVERAGE(AF105,AE105,AD105,AC105)-0.25%</f>
        <v>-2.9037073057651623E-2</v>
      </c>
      <c r="AI105" s="182">
        <f>AVERAGE(AH105,AF105,AE105,AD105)-0.25%</f>
        <v>-2.9703728995446085E-2</v>
      </c>
      <c r="AJ105" s="182">
        <f>AVERAGE(AI105,AH105,AF105,AE105)-0.25%</f>
        <v>-3.0424429521412309E-2</v>
      </c>
      <c r="AK105" s="182">
        <f>AVERAGE(AJ105,AI105,AH105,AF105)-0.25%</f>
        <v>-3.1413043967950416E-2</v>
      </c>
      <c r="AL105" s="152"/>
      <c r="AM105" s="182">
        <f>AVERAGE(AK105,AJ105,AI105,AH105)-0.25%</f>
        <v>-3.2644568885615108E-2</v>
      </c>
      <c r="AN105" s="182">
        <f>AVERAGE(AM105,AK105,AJ105,AI105)-0.25%</f>
        <v>-3.3546442842605981E-2</v>
      </c>
      <c r="AO105" s="182">
        <f>AVERAGE(AN105,AM105,AK105,AJ105)-0.25%</f>
        <v>-3.4507121304395955E-2</v>
      </c>
      <c r="AP105" s="182">
        <f>AVERAGE(AO105,AN105,AM105,AK105)-0.25%</f>
        <v>-3.5527794250141867E-2</v>
      </c>
      <c r="AQ105" s="152"/>
    </row>
    <row r="106" spans="2:43" outlineLevel="2" x14ac:dyDescent="0.3">
      <c r="B106" s="132" t="s">
        <v>184</v>
      </c>
      <c r="C106" s="133"/>
      <c r="D106" s="135">
        <v>5.88</v>
      </c>
      <c r="E106" s="135">
        <v>5.59</v>
      </c>
      <c r="F106" s="135">
        <v>5.47</v>
      </c>
      <c r="G106" s="135">
        <v>5.6550000000000002</v>
      </c>
      <c r="H106" s="141"/>
      <c r="I106" s="135">
        <v>7.19</v>
      </c>
      <c r="J106" s="135">
        <v>6.81</v>
      </c>
      <c r="K106" s="135">
        <v>6.74</v>
      </c>
      <c r="L106" s="135">
        <v>6.9759900000000004</v>
      </c>
      <c r="M106" s="141"/>
      <c r="N106" s="135">
        <v>7.18</v>
      </c>
      <c r="O106" s="135">
        <v>7.24</v>
      </c>
      <c r="P106" s="135">
        <v>7.44</v>
      </c>
      <c r="Q106" s="135">
        <v>7.77</v>
      </c>
      <c r="R106" s="141"/>
      <c r="S106" s="135">
        <v>7.24</v>
      </c>
      <c r="T106" s="135">
        <f>+O106*(1+T107)</f>
        <v>7.6186102872902923</v>
      </c>
      <c r="U106" s="135">
        <f>+P106*(1+U107)</f>
        <v>7.6600914848361628</v>
      </c>
      <c r="V106" s="135">
        <f>+Q106*(1+V107)</f>
        <v>7.8944236854921686</v>
      </c>
      <c r="W106" s="141"/>
      <c r="X106" s="135">
        <f>+S106*(1+X107)</f>
        <v>7.2151058350284236</v>
      </c>
      <c r="Y106" s="135">
        <f>+T106*(1+Y107)</f>
        <v>7.7223211933127311</v>
      </c>
      <c r="Z106" s="135">
        <f>+U106*(1+Z107)</f>
        <v>7.7668922153239404</v>
      </c>
      <c r="AA106" s="135">
        <f>+V106*(1+AA107)</f>
        <v>7.9736249828258172</v>
      </c>
      <c r="AB106" s="141"/>
      <c r="AC106" s="135">
        <f>+X106*(1+AC107)</f>
        <v>7.2767038398477739</v>
      </c>
      <c r="AD106" s="135">
        <f>+Y106*(1+AD107)</f>
        <v>7.8113697007918574</v>
      </c>
      <c r="AE106" s="135">
        <f>+Z106*(1+AE107)</f>
        <v>7.8524129417498028</v>
      </c>
      <c r="AF106" s="135">
        <f>+AA106*(1+AF107)</f>
        <v>8.0555782497123136</v>
      </c>
      <c r="AG106" s="141"/>
      <c r="AH106" s="135">
        <f>+AC106*(1+AH107)</f>
        <v>7.3337489351811866</v>
      </c>
      <c r="AI106" s="135">
        <f>+AD106*(1+AI107)</f>
        <v>7.8712432718459358</v>
      </c>
      <c r="AJ106" s="135">
        <f>+AE106*(1+AJ107)</f>
        <v>7.9050109882684412</v>
      </c>
      <c r="AK106" s="135">
        <f>+AF106*(1+AK107)</f>
        <v>8.1008520357710037</v>
      </c>
      <c r="AL106" s="141"/>
      <c r="AM106" s="135">
        <f>+AH106*(1+AM107)</f>
        <v>7.3664260077346713</v>
      </c>
      <c r="AN106" s="135">
        <f>+AI106*(1+AN107)</f>
        <v>7.8996567783935552</v>
      </c>
      <c r="AO106" s="135">
        <f>+AJ106*(1+AO107)</f>
        <v>7.9255324081060801</v>
      </c>
      <c r="AP106" s="135">
        <f>+AK106*(1+AP107)</f>
        <v>8.1135737717813754</v>
      </c>
      <c r="AQ106" s="141"/>
    </row>
    <row r="107" spans="2:43" outlineLevel="2" x14ac:dyDescent="0.3">
      <c r="B107" s="150" t="s">
        <v>204</v>
      </c>
      <c r="C107" s="133"/>
      <c r="D107" s="151">
        <f>+D106/7.1-1</f>
        <v>-0.17183098591549295</v>
      </c>
      <c r="E107" s="151">
        <f>+E106/6.63-1</f>
        <v>-0.15686274509803921</v>
      </c>
      <c r="F107" s="151">
        <f>+F106/6.28-1</f>
        <v>-0.12898089171974525</v>
      </c>
      <c r="G107" s="151">
        <f>+G106/5.96-1</f>
        <v>-5.1174496644295298E-2</v>
      </c>
      <c r="H107" s="152"/>
      <c r="I107" s="151">
        <f>+I106/D106-1</f>
        <v>0.2227891156462587</v>
      </c>
      <c r="J107" s="151">
        <f>+J106/E106-1</f>
        <v>0.21824686940965998</v>
      </c>
      <c r="K107" s="151">
        <f>+K106/F106-1</f>
        <v>0.23217550274223053</v>
      </c>
      <c r="L107" s="151">
        <f>+L106/G106-1</f>
        <v>0.23359681697612733</v>
      </c>
      <c r="M107" s="152"/>
      <c r="N107" s="151">
        <f>+N106/I106-1</f>
        <v>-1.3908205841447474E-3</v>
      </c>
      <c r="O107" s="151">
        <f>+O106/J106-1</f>
        <v>6.3142437591776845E-2</v>
      </c>
      <c r="P107" s="151">
        <f>+P106/K106-1</f>
        <v>0.10385756676557856</v>
      </c>
      <c r="Q107" s="151">
        <f>+Q106/L106-1</f>
        <v>0.11382040398567073</v>
      </c>
      <c r="R107" s="152"/>
      <c r="S107" s="151">
        <f>+S106/N106-1</f>
        <v>8.3565459610028814E-3</v>
      </c>
      <c r="T107" s="147">
        <f>AVERAGE(S107,Q107,P107,O107)-2%</f>
        <v>5.2294238576007249E-2</v>
      </c>
      <c r="U107" s="147">
        <f>AVERAGE(T107,S107,Q107,P107)-4%</f>
        <v>2.9582188822064849E-2</v>
      </c>
      <c r="V107" s="147">
        <f>AVERAGE(U107,T107,S107,Q107)-3.5%</f>
        <v>1.6013344336186425E-2</v>
      </c>
      <c r="W107" s="152"/>
      <c r="X107" s="147">
        <f>AVERAGE(V107,U107,T107,S107)-3%</f>
        <v>-3.4384205761846462E-3</v>
      </c>
      <c r="Y107" s="147">
        <f>AVERAGE(X107,V107,U107,T107)-1%</f>
        <v>1.3612837789518469E-2</v>
      </c>
      <c r="Z107" s="147">
        <f>AVERAGE(Y107,X107,V107,U107)</f>
        <v>1.3942487592896274E-2</v>
      </c>
      <c r="AA107" s="147">
        <f>AVERAGE(Z107,Y107,X107,V107)</f>
        <v>1.0032562285604131E-2</v>
      </c>
      <c r="AB107" s="152"/>
      <c r="AC107" s="147">
        <f>AVERAGE(AA107,Z107,Y107,X107)</f>
        <v>8.5373667729585559E-3</v>
      </c>
      <c r="AD107" s="147">
        <f>AVERAGE(AC107,AA107,Z107,Y107)</f>
        <v>1.1531313610244356E-2</v>
      </c>
      <c r="AE107" s="147">
        <f>AVERAGE(AD107,AC107,AA107,Z107)</f>
        <v>1.1010932565425829E-2</v>
      </c>
      <c r="AF107" s="147">
        <f>AVERAGE(AE107,AD107,AC107,AA107)</f>
        <v>1.0278043808558218E-2</v>
      </c>
      <c r="AG107" s="152"/>
      <c r="AH107" s="182">
        <f>AVERAGE(AF107,AE107,AD107,AC107)-0.25%</f>
        <v>7.8394141892967392E-3</v>
      </c>
      <c r="AI107" s="182">
        <f>AVERAGE(AH107,AF107,AE107,AD107)-0.25%</f>
        <v>7.6649260433812854E-3</v>
      </c>
      <c r="AJ107" s="182">
        <f>AVERAGE(AI107,AH107,AF107,AE107)-0.25%</f>
        <v>6.6983291516655181E-3</v>
      </c>
      <c r="AK107" s="182">
        <f>AVERAGE(AJ107,AI107,AH107,AF107)-0.25%</f>
        <v>5.6201782982254391E-3</v>
      </c>
      <c r="AL107" s="152"/>
      <c r="AM107" s="182">
        <f>AVERAGE(AK107,AJ107,AI107,AH107)-0.25%</f>
        <v>4.4557119206422458E-3</v>
      </c>
      <c r="AN107" s="182">
        <f>AVERAGE(AM107,AK107,AJ107,AI107)-0.25%</f>
        <v>3.6097863534786221E-3</v>
      </c>
      <c r="AO107" s="182">
        <f>AVERAGE(AN107,AM107,AK107,AJ107)-0.25%</f>
        <v>2.5960014310029565E-3</v>
      </c>
      <c r="AP107" s="182">
        <f>AVERAGE(AO107,AN107,AM107,AK107)-0.25%</f>
        <v>1.5704195008373165E-3</v>
      </c>
      <c r="AQ107" s="152"/>
    </row>
    <row r="108" spans="2:43" ht="15" outlineLevel="2" thickBot="1" x14ac:dyDescent="0.35">
      <c r="B108" s="140" t="s">
        <v>185</v>
      </c>
      <c r="C108" s="139"/>
      <c r="D108" s="154">
        <f>+D104*D106*D60/1000</f>
        <v>326.78100000000001</v>
      </c>
      <c r="E108" s="154">
        <f>+E104*E106*E60/1000</f>
        <v>335.97017999999997</v>
      </c>
      <c r="F108" s="154">
        <f>+F104*F106*F60/1000</f>
        <v>302.56758000000002</v>
      </c>
      <c r="G108" s="154">
        <f>+G104*G106*G60/1000</f>
        <v>319.23888750000003</v>
      </c>
      <c r="H108" s="143"/>
      <c r="I108" s="154">
        <f>+I104*I106*I60/1000</f>
        <v>1015.0842000000001</v>
      </c>
      <c r="J108" s="154">
        <f>+J104*J106*J60/1000</f>
        <v>1088.02008</v>
      </c>
      <c r="K108" s="154">
        <f>+K104*K106*K60/1000</f>
        <v>1032.5814800000001</v>
      </c>
      <c r="L108" s="154">
        <f>+L104*L106*L60/1000</f>
        <v>1090.3398075706502</v>
      </c>
      <c r="M108" s="143"/>
      <c r="N108" s="154">
        <f>+N104*N106*N60/1000</f>
        <v>1044.5679399999999</v>
      </c>
      <c r="O108" s="154">
        <f>+O104*O106*O60/1000</f>
        <v>1214.4195</v>
      </c>
      <c r="P108" s="154">
        <f>+P104*P106*P60/1000</f>
        <v>1127.8295999999998</v>
      </c>
      <c r="Q108" s="154">
        <f>+Q104*Q106*Q60/1000</f>
        <v>1200.5038499999998</v>
      </c>
      <c r="R108" s="143"/>
      <c r="S108" s="154">
        <f>+S104*S106*S60/1000</f>
        <v>1127.087</v>
      </c>
      <c r="T108" s="154">
        <f>+T104*T106*T60/1000</f>
        <v>1283.657618018143</v>
      </c>
      <c r="U108" s="154">
        <f>+U104*U106*U60/1000</f>
        <v>1129.9981705276907</v>
      </c>
      <c r="V108" s="154">
        <f>+V104*V106*V60/1000</f>
        <v>1188.0755659537056</v>
      </c>
      <c r="W108" s="143"/>
      <c r="X108" s="154">
        <f>+X104*X106*X60/1000</f>
        <v>1095.6159328850104</v>
      </c>
      <c r="Y108" s="154">
        <f>+Y104*Y106*Y60/1000</f>
        <v>1264.4077232525485</v>
      </c>
      <c r="Z108" s="154">
        <f>+Z104*Z106*Z60/1000</f>
        <v>1115.5028878114097</v>
      </c>
      <c r="AA108" s="154">
        <f>+AA104*AA106*AA60/1000</f>
        <v>1168.4514241821562</v>
      </c>
      <c r="AB108" s="143"/>
      <c r="AC108" s="154">
        <f>+AC104*AC106*AC60/1000</f>
        <v>1075.8310629148034</v>
      </c>
      <c r="AD108" s="154">
        <f>+AD104*AD106*AD60/1000</f>
        <v>1244.684361456822</v>
      </c>
      <c r="AE108" s="154">
        <f>+AE104*AE106*AE60/1000</f>
        <v>1097.9331615361834</v>
      </c>
      <c r="AF108" s="154">
        <f>+AF104*AF106*AF60/1000</f>
        <v>1149.1940191472215</v>
      </c>
      <c r="AG108" s="143"/>
      <c r="AH108" s="154">
        <f>+AH104*AH106*AH60/1000</f>
        <v>1052.7810676995427</v>
      </c>
      <c r="AI108" s="154">
        <f>+AI104*AI106*AI60/1000</f>
        <v>1216.9696222177354</v>
      </c>
      <c r="AJ108" s="154">
        <f>+AJ104*AJ106*AJ60/1000</f>
        <v>1071.6597382256848</v>
      </c>
      <c r="AK108" s="154">
        <f>+AK104*AK106*AK60/1000</f>
        <v>1119.3501255321451</v>
      </c>
      <c r="AL108" s="143"/>
      <c r="AM108" s="154">
        <f>+AM104*AM106*AM60/1000</f>
        <v>1022.9512407126333</v>
      </c>
      <c r="AN108" s="154">
        <f>+AN104*AN106*AN60/1000</f>
        <v>1180.3902511450581</v>
      </c>
      <c r="AO108" s="154">
        <f>+AO104*AO106*AO60/1000</f>
        <v>1037.3658760016096</v>
      </c>
      <c r="AP108" s="154">
        <f>+AP104*AP106*AP60/1000</f>
        <v>1081.277481336745</v>
      </c>
      <c r="AQ108" s="143"/>
    </row>
    <row r="109" spans="2:43" ht="16.2" outlineLevel="1" x14ac:dyDescent="0.45">
      <c r="B109" s="698" t="s">
        <v>186</v>
      </c>
      <c r="C109" s="699"/>
      <c r="D109" s="273"/>
      <c r="E109" s="273"/>
      <c r="F109" s="273"/>
      <c r="G109" s="273"/>
      <c r="H109" s="59"/>
      <c r="I109" s="273"/>
      <c r="J109" s="273"/>
      <c r="K109" s="273"/>
      <c r="L109" s="273"/>
      <c r="M109" s="59"/>
      <c r="N109" s="273"/>
      <c r="O109" s="273"/>
      <c r="P109" s="273"/>
      <c r="Q109" s="273"/>
      <c r="R109" s="55"/>
      <c r="S109" s="138"/>
      <c r="T109" s="138"/>
      <c r="U109" s="138"/>
      <c r="V109" s="138"/>
      <c r="W109" s="55"/>
      <c r="X109" s="138"/>
      <c r="Y109" s="138"/>
      <c r="Z109" s="138"/>
      <c r="AA109" s="138"/>
      <c r="AB109" s="55"/>
      <c r="AC109" s="138"/>
      <c r="AD109" s="138"/>
      <c r="AE109" s="138"/>
      <c r="AF109" s="138"/>
      <c r="AG109" s="55"/>
      <c r="AH109" s="138"/>
      <c r="AI109" s="138"/>
      <c r="AJ109" s="138"/>
      <c r="AK109" s="138"/>
      <c r="AL109" s="55"/>
      <c r="AM109" s="138"/>
      <c r="AN109" s="138"/>
      <c r="AO109" s="138"/>
      <c r="AP109" s="138"/>
      <c r="AQ109" s="55"/>
    </row>
    <row r="110" spans="2:43" outlineLevel="2" x14ac:dyDescent="0.3">
      <c r="B110" s="128" t="s">
        <v>372</v>
      </c>
      <c r="C110" s="292"/>
      <c r="D110" s="269">
        <v>7277.5</v>
      </c>
      <c r="E110" s="269">
        <v>8212.5</v>
      </c>
      <c r="F110" s="269">
        <v>8340.4</v>
      </c>
      <c r="G110" s="269">
        <v>8885.4</v>
      </c>
      <c r="H110" s="59"/>
      <c r="I110" s="269">
        <v>8066.5</v>
      </c>
      <c r="J110" s="269">
        <v>8177.4</v>
      </c>
      <c r="K110" s="269">
        <v>8458.4</v>
      </c>
      <c r="L110" s="269">
        <v>8045.4</v>
      </c>
      <c r="M110" s="59"/>
      <c r="N110" s="269">
        <v>7727</v>
      </c>
      <c r="O110" s="269">
        <v>8474.5</v>
      </c>
      <c r="P110" s="269">
        <v>8757.4</v>
      </c>
      <c r="Q110" s="269">
        <v>8512</v>
      </c>
      <c r="R110" s="55"/>
      <c r="S110" s="269">
        <v>8309</v>
      </c>
      <c r="T110" s="129">
        <f>+O110*(1+T111)</f>
        <v>8908.8128185551996</v>
      </c>
      <c r="U110" s="129">
        <f>+P110*(1+U111)</f>
        <v>9238.8709660105978</v>
      </c>
      <c r="V110" s="129">
        <f>+Q110*(1+V111)</f>
        <v>9021.7502908564093</v>
      </c>
      <c r="W110" s="55"/>
      <c r="X110" s="129">
        <f>+S110*(1+X111)</f>
        <v>8810.5198433711685</v>
      </c>
      <c r="Y110" s="129">
        <f>+T110*(1+Y111)</f>
        <v>9279.5816536598795</v>
      </c>
      <c r="Z110" s="129">
        <f>+U110*(1+Z111)</f>
        <v>9601.1309581694131</v>
      </c>
      <c r="AA110" s="129">
        <f>+V110*(1+AA111)</f>
        <v>9339.9323864266771</v>
      </c>
      <c r="AB110" s="55"/>
      <c r="AC110" s="129">
        <f>+X110*(1+AC111)</f>
        <v>9199.1862098962083</v>
      </c>
      <c r="AD110" s="129">
        <f>+Y110*(1+AD111)</f>
        <v>9651.2540872233894</v>
      </c>
      <c r="AE110" s="129">
        <f>+Z110*(1+AE111)</f>
        <v>9981.924684132302</v>
      </c>
      <c r="AF110" s="129">
        <f>+AA110*(1+AF111)</f>
        <v>9711.4195237789918</v>
      </c>
      <c r="AG110" s="55"/>
      <c r="AH110" s="129">
        <f>+AC110*(1+AH111)</f>
        <v>9552.439614300989</v>
      </c>
      <c r="AI110" s="129">
        <f>+AD110*(1+AI111)</f>
        <v>10008.081779092434</v>
      </c>
      <c r="AJ110" s="129">
        <f>+AE110*(1+AJ111)</f>
        <v>10343.290511358548</v>
      </c>
      <c r="AK110" s="129">
        <f>+AF110*(1+AK111)</f>
        <v>10054.593787028674</v>
      </c>
      <c r="AL110" s="55"/>
      <c r="AM110" s="129">
        <f>+AH110*(1+AM111)</f>
        <v>9879.4002108075401</v>
      </c>
      <c r="AN110" s="129">
        <f>+AI110*(1+AN111)</f>
        <v>10340.198305592643</v>
      </c>
      <c r="AO110" s="129">
        <f>+AJ110*(1+AO111)</f>
        <v>10676.737533915853</v>
      </c>
      <c r="AP110" s="129">
        <f>+AK110*(1+AP111)</f>
        <v>10368.769659304564</v>
      </c>
      <c r="AQ110" s="55"/>
    </row>
    <row r="111" spans="2:43" outlineLevel="2" x14ac:dyDescent="0.3">
      <c r="B111" s="146" t="s">
        <v>205</v>
      </c>
      <c r="C111" s="292"/>
      <c r="D111" s="171">
        <f>+D110/7318-1</f>
        <v>-5.5342989887947613E-3</v>
      </c>
      <c r="E111" s="171">
        <f>+E110/8039-1</f>
        <v>2.1582286354024038E-2</v>
      </c>
      <c r="F111" s="171">
        <f>+F110/8145-1</f>
        <v>2.3990178023327147E-2</v>
      </c>
      <c r="G111" s="171">
        <f>+G110/7836-1</f>
        <v>0.13392036753445624</v>
      </c>
      <c r="H111" s="89"/>
      <c r="I111" s="171">
        <f>+I110/D110-1</f>
        <v>0.10841635176915143</v>
      </c>
      <c r="J111" s="171">
        <f>+J110/E110-1</f>
        <v>-4.2739726027397618E-3</v>
      </c>
      <c r="K111" s="171">
        <f>+K110/F110-1</f>
        <v>1.4148002493885148E-2</v>
      </c>
      <c r="L111" s="171">
        <f>+L110/G110-1</f>
        <v>-9.4537105814031963E-2</v>
      </c>
      <c r="M111" s="89"/>
      <c r="N111" s="171">
        <f>+N110/I110-1</f>
        <v>-4.2087646438976001E-2</v>
      </c>
      <c r="O111" s="171">
        <f>+O110/J110-1</f>
        <v>3.6331841416587185E-2</v>
      </c>
      <c r="P111" s="171">
        <f>+P110/K110-1</f>
        <v>3.5349475078028991E-2</v>
      </c>
      <c r="Q111" s="171">
        <f>+Q110/L110-1</f>
        <v>5.7995873418350996E-2</v>
      </c>
      <c r="R111" s="62"/>
      <c r="S111" s="171">
        <f>+S110/N110-1</f>
        <v>7.532030542254442E-2</v>
      </c>
      <c r="T111" s="147">
        <f>AVERAGE(S111,Q111,P111,O111)</f>
        <v>5.1249373833877898E-2</v>
      </c>
      <c r="U111" s="147">
        <f>AVERAGE(T111,S111,Q111,P111)</f>
        <v>5.4978756938200576E-2</v>
      </c>
      <c r="V111" s="147">
        <f>AVERAGE(U111,T111,S111,Q111)</f>
        <v>5.9886077403243476E-2</v>
      </c>
      <c r="W111" s="62"/>
      <c r="X111" s="147">
        <f>AVERAGE(V111,U111,T111,S111)</f>
        <v>6.0358628399466596E-2</v>
      </c>
      <c r="Y111" s="147">
        <f>AVERAGE(X111,V111,U111,T111)-1.5%</f>
        <v>4.1618209143697141E-2</v>
      </c>
      <c r="Z111" s="147">
        <f>AVERAGE(Y111,X111,V111,U111)-1.5%</f>
        <v>3.9210417971151948E-2</v>
      </c>
      <c r="AA111" s="147">
        <f>AVERAGE(Z111,Y111,X111,V111)-1.5%</f>
        <v>3.5268333229389791E-2</v>
      </c>
      <c r="AB111" s="62"/>
      <c r="AC111" s="147">
        <f>AVERAGE(AA111,Z111,Y111,X111)</f>
        <v>4.4113897185926371E-2</v>
      </c>
      <c r="AD111" s="147">
        <f>AVERAGE(AC111,AA111,Z111,Y111)</f>
        <v>4.0052714382541314E-2</v>
      </c>
      <c r="AE111" s="147">
        <f>AVERAGE(AD111,AC111,AA111,Z111)</f>
        <v>3.9661340692252356E-2</v>
      </c>
      <c r="AF111" s="147">
        <f>AVERAGE(AE111,AD111,AC111,AA111)</f>
        <v>3.9774071372527461E-2</v>
      </c>
      <c r="AG111" s="62"/>
      <c r="AH111" s="182">
        <f>AVERAGE(AF111,AE111,AD111,AC111)-0.25%</f>
        <v>3.8400505908311872E-2</v>
      </c>
      <c r="AI111" s="182">
        <f>AVERAGE(AH111,AF111,AE111,AD111)-0.25%</f>
        <v>3.6972158088908247E-2</v>
      </c>
      <c r="AJ111" s="182">
        <f>AVERAGE(AI111,AH111,AF111,AE111)-0.25%</f>
        <v>3.6202019015499978E-2</v>
      </c>
      <c r="AK111" s="182">
        <f>AVERAGE(AJ111,AI111,AH111,AF111)-0.25%</f>
        <v>3.5337188596311887E-2</v>
      </c>
      <c r="AL111" s="62"/>
      <c r="AM111" s="182">
        <f>AVERAGE(AK111,AJ111,AI111,AH111)-0.25%</f>
        <v>3.4227967902257996E-2</v>
      </c>
      <c r="AN111" s="182">
        <f>AVERAGE(AM111,AK111,AJ111,AI111)-0.25%</f>
        <v>3.3184833400744525E-2</v>
      </c>
      <c r="AO111" s="182">
        <f>AVERAGE(AN111,AM111,AK111,AJ111)-0.25%</f>
        <v>3.2238002228703599E-2</v>
      </c>
      <c r="AP111" s="182">
        <f>AVERAGE(AO111,AN111,AM111,AK111)-0.25%</f>
        <v>3.1246998032004498E-2</v>
      </c>
      <c r="AQ111" s="62"/>
    </row>
    <row r="112" spans="2:43" outlineLevel="2" x14ac:dyDescent="0.3">
      <c r="B112" s="128" t="s">
        <v>187</v>
      </c>
      <c r="C112" s="292"/>
      <c r="D112" s="148">
        <v>1.212</v>
      </c>
      <c r="E112" s="148">
        <v>1.1180000000000001</v>
      </c>
      <c r="F112" s="148">
        <v>1.232</v>
      </c>
      <c r="G112" s="148">
        <v>1.1830000000000001</v>
      </c>
      <c r="H112" s="59"/>
      <c r="I112" s="148">
        <v>1.175</v>
      </c>
      <c r="J112" s="148">
        <v>1.19</v>
      </c>
      <c r="K112" s="148">
        <v>1.272</v>
      </c>
      <c r="L112" s="148">
        <v>1.21</v>
      </c>
      <c r="M112" s="59"/>
      <c r="N112" s="148">
        <v>1.22</v>
      </c>
      <c r="O112" s="148">
        <v>1.2889999999999999</v>
      </c>
      <c r="P112" s="148">
        <v>1.361</v>
      </c>
      <c r="Q112" s="148">
        <v>1.367</v>
      </c>
      <c r="R112" s="55"/>
      <c r="S112" s="148">
        <v>1.35</v>
      </c>
      <c r="T112" s="148">
        <f>+O112*(1+T113)</f>
        <v>1.4205974458827797</v>
      </c>
      <c r="U112" s="148">
        <f>+P112*(1+U113)</f>
        <v>1.4999481178017557</v>
      </c>
      <c r="V112" s="148">
        <f>+Q112*(1+V113)</f>
        <v>1.5175390890991005</v>
      </c>
      <c r="W112" s="55"/>
      <c r="X112" s="148">
        <f>+S112*(1+X113)</f>
        <v>1.4920424105716361</v>
      </c>
      <c r="Y112" s="148">
        <f>+T112*(1+Y113)</f>
        <v>1.5482827420580287</v>
      </c>
      <c r="Z112" s="148">
        <f>+U112*(1+Z113)</f>
        <v>1.6301865001161813</v>
      </c>
      <c r="AA112" s="148">
        <f>+V112*(1+AA113)</f>
        <v>1.6435139133997556</v>
      </c>
      <c r="AB112" s="55"/>
      <c r="AC112" s="148">
        <f>+X112*(1+AC113)</f>
        <v>1.6281685906982331</v>
      </c>
      <c r="AD112" s="148">
        <f>+Y112*(1+AD113)</f>
        <v>1.6841280492981858</v>
      </c>
      <c r="AE112" s="148">
        <f>+Z112*(1+AE113)</f>
        <v>1.7723449975710175</v>
      </c>
      <c r="AF112" s="148">
        <f>+AA112*(1+AF113)</f>
        <v>1.7869887874479466</v>
      </c>
      <c r="AG112" s="55"/>
      <c r="AH112" s="148">
        <f>+AC112*(1+AH113)</f>
        <v>1.7679776328820391</v>
      </c>
      <c r="AI112" s="148">
        <f>+AD112*(1+AI113)</f>
        <v>1.8264830549193145</v>
      </c>
      <c r="AJ112" s="148">
        <f>+AE112*(1+AJ113)</f>
        <v>1.9207335983688558</v>
      </c>
      <c r="AK112" s="148">
        <f>+AF112*(1+AK113)</f>
        <v>1.935049028265502</v>
      </c>
      <c r="AL112" s="55"/>
      <c r="AM112" s="148">
        <f>+AH112*(1+AM113)</f>
        <v>1.9124989163691657</v>
      </c>
      <c r="AN112" s="148">
        <f>+AI112*(1+AN113)</f>
        <v>1.9739032100572509</v>
      </c>
      <c r="AO112" s="148">
        <f>+AJ112*(1+AO113)</f>
        <v>2.0739291318634909</v>
      </c>
      <c r="AP112" s="148">
        <f>+AK112*(1+AP113)</f>
        <v>2.0874679468446029</v>
      </c>
      <c r="AQ112" s="55"/>
    </row>
    <row r="113" spans="2:43" outlineLevel="2" x14ac:dyDescent="0.3">
      <c r="B113" s="146" t="s">
        <v>204</v>
      </c>
      <c r="C113" s="292"/>
      <c r="D113" s="171">
        <f>+D112/1.24-1</f>
        <v>-2.2580645161290325E-2</v>
      </c>
      <c r="E113" s="171">
        <f>+E112/1.16-1</f>
        <v>-3.6206896551723933E-2</v>
      </c>
      <c r="F113" s="171">
        <f>+F112/1.13-1</f>
        <v>9.0265486725663813E-2</v>
      </c>
      <c r="G113" s="171">
        <f>+G112/1.11-1</f>
        <v>6.576576576576576E-2</v>
      </c>
      <c r="H113" s="89"/>
      <c r="I113" s="171">
        <f>+I112/D112-1</f>
        <v>-3.0528052805280481E-2</v>
      </c>
      <c r="J113" s="171">
        <f>+J112/E112-1</f>
        <v>6.4400715563506017E-2</v>
      </c>
      <c r="K113" s="171">
        <f>+K112/F112-1</f>
        <v>3.2467532467532534E-2</v>
      </c>
      <c r="L113" s="171">
        <f>+L112/G112-1</f>
        <v>2.2823330515638229E-2</v>
      </c>
      <c r="M113" s="89"/>
      <c r="N113" s="171">
        <f>+N112/I112-1</f>
        <v>3.8297872340425476E-2</v>
      </c>
      <c r="O113" s="171">
        <f>+O112/J112-1</f>
        <v>8.3193277310924296E-2</v>
      </c>
      <c r="P113" s="171">
        <f>+P112/K112-1</f>
        <v>6.9968553459119454E-2</v>
      </c>
      <c r="Q113" s="171">
        <f>+Q112/L112-1</f>
        <v>0.12975206611570256</v>
      </c>
      <c r="R113" s="62"/>
      <c r="S113" s="171">
        <f>+S112/N112-1</f>
        <v>0.10655737704918034</v>
      </c>
      <c r="T113" s="147">
        <f>AVERAGE(S113,Q113,P113)</f>
        <v>0.10209266554133412</v>
      </c>
      <c r="U113" s="147">
        <f>AVERAGE(T113,S113,Q113,P113)</f>
        <v>0.10209266554133412</v>
      </c>
      <c r="V113" s="147">
        <f>AVERAGE(U113,T113,S113,Q113)</f>
        <v>0.11012369356188778</v>
      </c>
      <c r="W113" s="62"/>
      <c r="X113" s="147">
        <f>AVERAGE(V113,U113,T113,S113)</f>
        <v>0.10521660042343409</v>
      </c>
      <c r="Y113" s="147">
        <f>AVERAGE(X113,V113,U113,T113)-1.5%</f>
        <v>8.9881406266997518E-2</v>
      </c>
      <c r="Z113" s="147">
        <f>AVERAGE(Y113,X113,V113,U113)-1.5%</f>
        <v>8.6828591448413373E-2</v>
      </c>
      <c r="AA113" s="147">
        <f>AVERAGE(Z113,Y113,X113,V113)-1.5%</f>
        <v>8.3012572925183201E-2</v>
      </c>
      <c r="AB113" s="62"/>
      <c r="AC113" s="147">
        <f>AVERAGE(AA113,Z113,Y113,X113)</f>
        <v>9.1234792766007045E-2</v>
      </c>
      <c r="AD113" s="147">
        <f>AVERAGE(AC113,AA113,Z113,Y113)</f>
        <v>8.7739340851650291E-2</v>
      </c>
      <c r="AE113" s="147">
        <f>AVERAGE(AD113,AC113,AA113,Z113)</f>
        <v>8.7203824497813484E-2</v>
      </c>
      <c r="AF113" s="147">
        <f>AVERAGE(AE113,AD113,AC113,AA113)</f>
        <v>8.7297632760163515E-2</v>
      </c>
      <c r="AG113" s="62"/>
      <c r="AH113" s="182">
        <f>AVERAGE(AF113,AE113,AD113,AC113)-0.25%</f>
        <v>8.5868897718908585E-2</v>
      </c>
      <c r="AI113" s="182">
        <f>AVERAGE(AH113,AF113,AE113,AD113)-0.25%</f>
        <v>8.4527423957133974E-2</v>
      </c>
      <c r="AJ113" s="182">
        <f>AVERAGE(AI113,AH113,AF113,AE113)-0.25%</f>
        <v>8.3724444733504891E-2</v>
      </c>
      <c r="AK113" s="182">
        <f>AVERAGE(AJ113,AI113,AH113,AF113)-0.25%</f>
        <v>8.2854599792427736E-2</v>
      </c>
      <c r="AL113" s="62"/>
      <c r="AM113" s="182">
        <f>AVERAGE(AK113,AJ113,AI113,AH113)-0.25%</f>
        <v>8.1743841550493801E-2</v>
      </c>
      <c r="AN113" s="182">
        <f>AVERAGE(AM113,AK113,AJ113,AI113)-0.25%</f>
        <v>8.0712577508390101E-2</v>
      </c>
      <c r="AO113" s="182">
        <f>AVERAGE(AN113,AM113,AK113,AJ113)-0.25%</f>
        <v>7.9758865896204137E-2</v>
      </c>
      <c r="AP113" s="182">
        <f>AVERAGE(AO113,AN113,AM113,AK113)-0.25%</f>
        <v>7.8767471186878935E-2</v>
      </c>
      <c r="AQ113" s="62"/>
    </row>
    <row r="114" spans="2:43" outlineLevel="2" x14ac:dyDescent="0.3">
      <c r="B114" s="124" t="s">
        <v>188</v>
      </c>
      <c r="C114" s="125"/>
      <c r="D114" s="149">
        <f>+D110*D112*D60/1000</f>
        <v>573.32144999999991</v>
      </c>
      <c r="E114" s="149">
        <f>+E110*E112*E60/1000</f>
        <v>578.43922500000008</v>
      </c>
      <c r="F114" s="149">
        <f>+F110*F112*F60/1000</f>
        <v>647.34848639999996</v>
      </c>
      <c r="G114" s="149">
        <f>+G110*G112*G60/1000</f>
        <v>683.24283300000002</v>
      </c>
      <c r="H114" s="61"/>
      <c r="I114" s="149">
        <f>+I110*I112*I60/1000</f>
        <v>616.07893750000005</v>
      </c>
      <c r="J114" s="149">
        <f>+J110*J112*J60/1000</f>
        <v>613.05967799999996</v>
      </c>
      <c r="K114" s="149">
        <f>+K110*K112*K60/1000</f>
        <v>667.06325760000004</v>
      </c>
      <c r="L114" s="149">
        <f>+L110*L112*L60/1000</f>
        <v>632.77071000000001</v>
      </c>
      <c r="M114" s="61"/>
      <c r="N114" s="149">
        <f>+N110*N112*N60/1000</f>
        <v>612.75109999999995</v>
      </c>
      <c r="O114" s="149">
        <f>+O110*O112*O60/1000</f>
        <v>688.18872149999993</v>
      </c>
      <c r="P114" s="149">
        <f>+P110*P112*P60/1000</f>
        <v>738.9669267999999</v>
      </c>
      <c r="Q114" s="149">
        <f>+Q110*Q112*Q60/1000</f>
        <v>756.33375999999998</v>
      </c>
      <c r="R114" s="56"/>
      <c r="S114" s="149">
        <f>+S110*S112*S60/1000</f>
        <v>729.11475000000007</v>
      </c>
      <c r="T114" s="149">
        <f>+T110*T112*T60/1000</f>
        <v>797.31771436089878</v>
      </c>
      <c r="U114" s="149">
        <f>+U110*U112*U60/1000</f>
        <v>859.18528119701489</v>
      </c>
      <c r="V114" s="149">
        <f>+V110*V112*V60/1000</f>
        <v>889.90581670027575</v>
      </c>
      <c r="W114" s="56"/>
      <c r="X114" s="149">
        <f>+X110*X112*X60/1000</f>
        <v>854.46850225702883</v>
      </c>
      <c r="Y114" s="149">
        <f>+Y110*Y112*Y60/1000</f>
        <v>905.14721605643342</v>
      </c>
      <c r="Z114" s="149">
        <f>+Z110*Z112*Z60/1000</f>
        <v>970.40131257902942</v>
      </c>
      <c r="AA114" s="149">
        <f>+AA110*AA112*AA60/1000</f>
        <v>997.77007377483972</v>
      </c>
      <c r="AB114" s="56"/>
      <c r="AC114" s="149">
        <f>+AC110*AC112*AC60/1000</f>
        <v>973.55869305092642</v>
      </c>
      <c r="AD114" s="149">
        <f>+AD110*AD112*AD60/1000</f>
        <v>1023.9987063093903</v>
      </c>
      <c r="AE114" s="149">
        <f>+AE110*AE112*AE60/1000</f>
        <v>1096.8676853632578</v>
      </c>
      <c r="AF114" s="149">
        <f>+AF110*AF112*AF60/1000</f>
        <v>1128.022856947749</v>
      </c>
      <c r="AG114" s="56"/>
      <c r="AH114" s="149">
        <f>+AH110*AH112*AH60/1000</f>
        <v>1097.7524725401313</v>
      </c>
      <c r="AI114" s="149">
        <f>+AI110*AI112*AI60/1000</f>
        <v>1151.6142822508218</v>
      </c>
      <c r="AJ114" s="149">
        <f>+AJ110*AJ112*AJ60/1000</f>
        <v>1231.735747377081</v>
      </c>
      <c r="AK114" s="149">
        <f>+AK110*AK112*AK60/1000</f>
        <v>1264.6485759176223</v>
      </c>
      <c r="AL114" s="56"/>
      <c r="AM114" s="149">
        <f>+AM110*AM112*AM60/1000</f>
        <v>1228.1322428405374</v>
      </c>
      <c r="AN114" s="149">
        <f>+AN110*AN112*AN60/1000</f>
        <v>1285.8646895663856</v>
      </c>
      <c r="AO114" s="149">
        <f>+AO110*AO112*AO60/1000</f>
        <v>1372.8534143006043</v>
      </c>
      <c r="AP114" s="149">
        <f>+AP110*AP112*AP60/1000</f>
        <v>1406.890830280852</v>
      </c>
      <c r="AQ114" s="56"/>
    </row>
    <row r="115" spans="2:43" ht="16.2" outlineLevel="1" x14ac:dyDescent="0.45">
      <c r="B115" s="674" t="s">
        <v>189</v>
      </c>
      <c r="C115" s="675"/>
      <c r="D115" s="131"/>
      <c r="E115" s="131"/>
      <c r="F115" s="131"/>
      <c r="G115" s="131"/>
      <c r="H115" s="141"/>
      <c r="I115" s="131"/>
      <c r="J115" s="131"/>
      <c r="K115" s="131"/>
      <c r="L115" s="131"/>
      <c r="M115" s="141"/>
      <c r="N115" s="131"/>
      <c r="O115" s="131"/>
      <c r="P115" s="131"/>
      <c r="Q115" s="131"/>
      <c r="R115" s="141"/>
      <c r="S115" s="131"/>
      <c r="T115" s="131"/>
      <c r="U115" s="131"/>
      <c r="V115" s="131"/>
      <c r="W115" s="141"/>
      <c r="X115" s="131"/>
      <c r="Y115" s="131"/>
      <c r="Z115" s="131"/>
      <c r="AA115" s="131"/>
      <c r="AB115" s="141"/>
      <c r="AC115" s="131"/>
      <c r="AD115" s="131"/>
      <c r="AE115" s="131"/>
      <c r="AF115" s="131"/>
      <c r="AG115" s="141"/>
      <c r="AH115" s="131"/>
      <c r="AI115" s="131"/>
      <c r="AJ115" s="131"/>
      <c r="AK115" s="131"/>
      <c r="AL115" s="141"/>
      <c r="AM115" s="131"/>
      <c r="AN115" s="131"/>
      <c r="AO115" s="131"/>
      <c r="AP115" s="131"/>
      <c r="AQ115" s="141"/>
    </row>
    <row r="116" spans="2:43" outlineLevel="2" x14ac:dyDescent="0.3">
      <c r="B116" s="132" t="s">
        <v>373</v>
      </c>
      <c r="C116" s="133"/>
      <c r="D116" s="134">
        <v>1701.4</v>
      </c>
      <c r="E116" s="134">
        <v>1762.5</v>
      </c>
      <c r="F116" s="134">
        <v>1621</v>
      </c>
      <c r="G116" s="134">
        <v>1722</v>
      </c>
      <c r="H116" s="141"/>
      <c r="I116" s="134">
        <v>4793</v>
      </c>
      <c r="J116" s="134">
        <v>5417.4</v>
      </c>
      <c r="K116" s="134">
        <v>5238</v>
      </c>
      <c r="L116" s="134">
        <v>5409.4</v>
      </c>
      <c r="M116" s="141"/>
      <c r="N116" s="134">
        <v>4905.5</v>
      </c>
      <c r="O116" s="134">
        <v>5706</v>
      </c>
      <c r="P116" s="134">
        <v>5430</v>
      </c>
      <c r="Q116" s="134">
        <v>5515</v>
      </c>
      <c r="R116" s="141"/>
      <c r="S116" s="134">
        <v>5315</v>
      </c>
      <c r="T116" s="134">
        <f>+O116*(1+T117)</f>
        <v>5867.0907966365421</v>
      </c>
      <c r="U116" s="134">
        <f>+P116*(1+U117)</f>
        <v>5440.7057066968064</v>
      </c>
      <c r="V116" s="134">
        <f>+Q116*(1+V117)</f>
        <v>5505.6282408551588</v>
      </c>
      <c r="W116" s="141"/>
      <c r="X116" s="134">
        <f>+S116*(1+X117)</f>
        <v>5304.3458406285072</v>
      </c>
      <c r="Y116" s="134">
        <f>+T116*(1+Y117)</f>
        <v>5847.2886954455907</v>
      </c>
      <c r="Z116" s="134">
        <f>+U116*(1+Z117)</f>
        <v>5433.7587466086734</v>
      </c>
      <c r="AA116" s="134">
        <f>+V116*(1+AA117)</f>
        <v>5494.1272168462747</v>
      </c>
      <c r="AB116" s="141"/>
      <c r="AC116" s="134">
        <f>+X116*(1+AC117)</f>
        <v>5292.7485961098691</v>
      </c>
      <c r="AD116" s="134">
        <f>+Y116*(1+AD117)</f>
        <v>5834.2385887220344</v>
      </c>
      <c r="AE116" s="134">
        <f>+Z116*(1+AE117)</f>
        <v>5423.1846586918073</v>
      </c>
      <c r="AF116" s="134">
        <f>+AA116*(1+AF117)</f>
        <v>5482.516553561637</v>
      </c>
      <c r="AG116" s="141"/>
      <c r="AH116" s="134">
        <f>+AC116*(1+AH117)</f>
        <v>5268.2994407053657</v>
      </c>
      <c r="AI116" s="134">
        <f>+AD116*(1+AI117)</f>
        <v>5803.7394133718226</v>
      </c>
      <c r="AJ116" s="134">
        <f>+AE116*(1+AJ117)</f>
        <v>5390.7726265873762</v>
      </c>
      <c r="AK116" s="134">
        <f>+AF116*(1+AK117)</f>
        <v>5444.2255046853161</v>
      </c>
      <c r="AL116" s="141"/>
      <c r="AM116" s="134">
        <f>+AH116*(1+AM117)</f>
        <v>5225.0891574716925</v>
      </c>
      <c r="AN116" s="134">
        <f>+AI116*(1+AN117)</f>
        <v>5750.9394027926983</v>
      </c>
      <c r="AO116" s="134">
        <f>+AJ116*(1+AO117)</f>
        <v>5336.5140898241216</v>
      </c>
      <c r="AP116" s="134">
        <f>+AK116*(1+AP117)</f>
        <v>5383.8642706615219</v>
      </c>
      <c r="AQ116" s="141"/>
    </row>
    <row r="117" spans="2:43" outlineLevel="2" x14ac:dyDescent="0.3">
      <c r="B117" s="150" t="s">
        <v>205</v>
      </c>
      <c r="C117" s="133"/>
      <c r="D117" s="151">
        <f>+D116/1733-1</f>
        <v>-1.8234275822273438E-2</v>
      </c>
      <c r="E117" s="151">
        <f>+E116/1922-1</f>
        <v>-8.29864724245577E-2</v>
      </c>
      <c r="F117" s="151">
        <f>+F116/1875-1</f>
        <v>-0.13546666666666662</v>
      </c>
      <c r="G117" s="151">
        <f>+G116/1989-1</f>
        <v>-0.13423831070889891</v>
      </c>
      <c r="H117" s="152"/>
      <c r="I117" s="151">
        <f>+I116/D116-1</f>
        <v>1.8170918067473845</v>
      </c>
      <c r="J117" s="151">
        <f>+J116/E116-1</f>
        <v>2.0737021276595744</v>
      </c>
      <c r="K117" s="151">
        <f>+K116/F116-1</f>
        <v>2.231338679827267</v>
      </c>
      <c r="L117" s="151">
        <f>+L116/G116-1</f>
        <v>2.141347270615563</v>
      </c>
      <c r="M117" s="152"/>
      <c r="N117" s="151">
        <f>+N116/I116-1</f>
        <v>2.3471729605675007E-2</v>
      </c>
      <c r="O117" s="151">
        <f>+O116/J116-1</f>
        <v>5.3272787684129019E-2</v>
      </c>
      <c r="P117" s="151">
        <f>+P116/K116-1</f>
        <v>3.6655211912943964E-2</v>
      </c>
      <c r="Q117" s="151">
        <f>+Q116/L116-1</f>
        <v>1.9521573557141236E-2</v>
      </c>
      <c r="R117" s="152"/>
      <c r="S117" s="151">
        <f>+S116/N116-1</f>
        <v>8.347772907960449E-2</v>
      </c>
      <c r="T117" s="147">
        <f>AVERAGE(S117,Q117,P117,O117)-2%</f>
        <v>2.8231825558454677E-2</v>
      </c>
      <c r="U117" s="147">
        <f>AVERAGE(T117,S117,Q117,P117)-4%</f>
        <v>1.9715850270360866E-3</v>
      </c>
      <c r="V117" s="147">
        <f>AVERAGE(U117,T117,S117,Q117)-3.5%</f>
        <v>-1.6993216944408834E-3</v>
      </c>
      <c r="W117" s="152"/>
      <c r="X117" s="147">
        <f>AVERAGE(V117,U117,T117,S117)-3%</f>
        <v>-2.0045455073364055E-3</v>
      </c>
      <c r="Y117" s="147">
        <f>AVERAGE(X117,V117,U117,T117)-1%</f>
        <v>-3.3751141540716316E-3</v>
      </c>
      <c r="Z117" s="147">
        <f>AVERAGE(Y117,X117,V117,U117)</f>
        <v>-1.2768490822032085E-3</v>
      </c>
      <c r="AA117" s="147">
        <f>AVERAGE(Z117,Y117,X117,V117)</f>
        <v>-2.0889576095130323E-3</v>
      </c>
      <c r="AB117" s="152"/>
      <c r="AC117" s="147">
        <f>AVERAGE(AA117,Z117,Y117,X117)</f>
        <v>-2.1863665882810692E-3</v>
      </c>
      <c r="AD117" s="147">
        <f>AVERAGE(AC117,AA117,Z117,Y117)</f>
        <v>-2.2318218585172353E-3</v>
      </c>
      <c r="AE117" s="147">
        <f>AVERAGE(AD117,AC117,AA117,Z117)</f>
        <v>-1.9459987846286366E-3</v>
      </c>
      <c r="AF117" s="147">
        <f>AVERAGE(AE117,AD117,AC117,AA117)</f>
        <v>-2.1132862102349933E-3</v>
      </c>
      <c r="AG117" s="152"/>
      <c r="AH117" s="182">
        <f>AVERAGE(AF117,AE117,AD117,AC117)-0.25%</f>
        <v>-4.6193683604154843E-3</v>
      </c>
      <c r="AI117" s="182">
        <f>AVERAGE(AH117,AF117,AE117,AD117)-0.25%</f>
        <v>-5.2276188034490875E-3</v>
      </c>
      <c r="AJ117" s="182">
        <f>AVERAGE(AI117,AH117,AF117,AE117)-0.25%</f>
        <v>-5.9765680396820509E-3</v>
      </c>
      <c r="AK117" s="182">
        <f>AVERAGE(AJ117,AI117,AH117,AF117)-0.25%</f>
        <v>-6.9842103534454043E-3</v>
      </c>
      <c r="AL117" s="152"/>
      <c r="AM117" s="182">
        <f>AVERAGE(AK117,AJ117,AI117,AH117)-0.25%</f>
        <v>-8.2019413892480061E-3</v>
      </c>
      <c r="AN117" s="182">
        <f>AVERAGE(AM117,AK117,AJ117,AI117)-0.25%</f>
        <v>-9.0975846464561375E-3</v>
      </c>
      <c r="AO117" s="182">
        <f>AVERAGE(AN117,AM117,AK117,AJ117)-0.25%</f>
        <v>-1.00650761072079E-2</v>
      </c>
      <c r="AP117" s="182">
        <f>AVERAGE(AO117,AN117,AM117,AK117)-0.25%</f>
        <v>-1.1087203124089362E-2</v>
      </c>
      <c r="AQ117" s="152"/>
    </row>
    <row r="118" spans="2:43" outlineLevel="2" x14ac:dyDescent="0.3">
      <c r="B118" s="132" t="s">
        <v>190</v>
      </c>
      <c r="C118" s="133"/>
      <c r="D118" s="135">
        <v>2.2839999999999998</v>
      </c>
      <c r="E118" s="135">
        <v>2.31</v>
      </c>
      <c r="F118" s="135">
        <v>2.29</v>
      </c>
      <c r="G118" s="135">
        <v>2.29</v>
      </c>
      <c r="H118" s="141"/>
      <c r="I118" s="135">
        <v>1.44</v>
      </c>
      <c r="J118" s="135">
        <v>1.39</v>
      </c>
      <c r="K118" s="135">
        <v>1.45</v>
      </c>
      <c r="L118" s="135">
        <v>1.46</v>
      </c>
      <c r="M118" s="141"/>
      <c r="N118" s="135">
        <v>1.4750000000000001</v>
      </c>
      <c r="O118" s="135">
        <v>1.5589999999999999</v>
      </c>
      <c r="P118" s="135">
        <v>1.637</v>
      </c>
      <c r="Q118" s="135">
        <v>1.67</v>
      </c>
      <c r="R118" s="141"/>
      <c r="S118" s="135">
        <v>1.595</v>
      </c>
      <c r="T118" s="135">
        <f>+O118*(1+T119)</f>
        <v>1.7132395869315449</v>
      </c>
      <c r="U118" s="135">
        <f>+P118*(1+U119)</f>
        <v>1.7569479074690735</v>
      </c>
      <c r="V118" s="135">
        <f>+Q118*(1+V119)</f>
        <v>1.7774642923010773</v>
      </c>
      <c r="W118" s="141"/>
      <c r="X118" s="135">
        <f>+S118*(1+X119)</f>
        <v>1.6898681124812969</v>
      </c>
      <c r="Y118" s="135">
        <f>+T118*(1+Y119)</f>
        <v>1.8229024552661379</v>
      </c>
      <c r="Z118" s="135">
        <f>+U118*(1+Z119)</f>
        <v>1.8716372446994383</v>
      </c>
      <c r="AA118" s="135">
        <f>+V118*(1+AA119)</f>
        <v>1.8899400021834896</v>
      </c>
      <c r="AB118" s="141"/>
      <c r="AC118" s="135">
        <f>+X118*(1+AC119)</f>
        <v>1.7963483286987239</v>
      </c>
      <c r="AD118" s="135">
        <f>+Y118*(1+AD119)</f>
        <v>1.9393751542412141</v>
      </c>
      <c r="AE118" s="135">
        <f>+Z118*(1+AE119)</f>
        <v>1.9911700112027548</v>
      </c>
      <c r="AF118" s="135">
        <f>+AA118*(1+AF119)</f>
        <v>2.0099744149196899</v>
      </c>
      <c r="AG118" s="141"/>
      <c r="AH118" s="135">
        <f>+AC118*(1+AH119)</f>
        <v>1.9060525302052203</v>
      </c>
      <c r="AI118" s="135">
        <f>+AD118*(1+AI119)</f>
        <v>2.0568733629879463</v>
      </c>
      <c r="AJ118" s="135">
        <f>+AE118*(1+AJ119)</f>
        <v>2.1101592998303706</v>
      </c>
      <c r="AK118" s="135">
        <f>+AF118*(1+AK119)</f>
        <v>2.1280237493263043</v>
      </c>
      <c r="AL118" s="141"/>
      <c r="AM118" s="135">
        <f>+AH118*(1+AM119)</f>
        <v>2.0157203651964384</v>
      </c>
      <c r="AN118" s="135">
        <f>+AI118*(1+AN119)</f>
        <v>2.1734016492010122</v>
      </c>
      <c r="AO118" s="135">
        <f>+AJ118*(1+AO119)</f>
        <v>2.2276318583795955</v>
      </c>
      <c r="AP118" s="135">
        <f>+AK118*(1+AP119)</f>
        <v>2.2443157248698578</v>
      </c>
      <c r="AQ118" s="141"/>
    </row>
    <row r="119" spans="2:43" outlineLevel="2" x14ac:dyDescent="0.3">
      <c r="B119" s="150" t="s">
        <v>204</v>
      </c>
      <c r="C119" s="133"/>
      <c r="D119" s="151">
        <f>+D118/2.47-1</f>
        <v>-7.5303643724696556E-2</v>
      </c>
      <c r="E119" s="151">
        <f>+E118/2.43-1</f>
        <v>-4.9382716049382713E-2</v>
      </c>
      <c r="F119" s="151">
        <f>+F118/2.31-1</f>
        <v>-8.6580086580086979E-3</v>
      </c>
      <c r="G119" s="151">
        <f>+G118/2.34-1</f>
        <v>-2.1367521367521292E-2</v>
      </c>
      <c r="H119" s="152"/>
      <c r="I119" s="151">
        <f>+I118/D118-1</f>
        <v>-0.3695271453590192</v>
      </c>
      <c r="J119" s="151">
        <f>+J118/E118-1</f>
        <v>-0.39826839826839833</v>
      </c>
      <c r="K119" s="151">
        <f>+K118/F118-1</f>
        <v>-0.36681222707423589</v>
      </c>
      <c r="L119" s="151">
        <f>+L118/G118-1</f>
        <v>-0.36244541484716164</v>
      </c>
      <c r="M119" s="152"/>
      <c r="N119" s="151">
        <f>+N118/I118-1</f>
        <v>2.430555555555558E-2</v>
      </c>
      <c r="O119" s="151">
        <f>+O118/J118-1</f>
        <v>0.12158273381294959</v>
      </c>
      <c r="P119" s="151">
        <f>+P118/K118-1</f>
        <v>0.12896551724137928</v>
      </c>
      <c r="Q119" s="151">
        <f>+Q118/L118-1</f>
        <v>0.14383561643835607</v>
      </c>
      <c r="R119" s="152"/>
      <c r="S119" s="151">
        <f>+S118/N118-1</f>
        <v>8.1355932203389658E-2</v>
      </c>
      <c r="T119" s="147">
        <f>AVERAGE(S119,Q119,P119,O119)-2%</f>
        <v>9.8934949924018648E-2</v>
      </c>
      <c r="U119" s="147">
        <f>AVERAGE(T119,S119,Q119,P119)-4%</f>
        <v>7.3273003951785903E-2</v>
      </c>
      <c r="V119" s="147">
        <f>AVERAGE(U119,T119,S119,Q119)-3.5%</f>
        <v>6.4349875629387571E-2</v>
      </c>
      <c r="W119" s="152"/>
      <c r="X119" s="147">
        <f>AVERAGE(V119,U119,T119,S119)-2%</f>
        <v>5.9478440427145438E-2</v>
      </c>
      <c r="Y119" s="147">
        <f>AVERAGE(X119,V119,U119,T119)-1%</f>
        <v>6.4009067483084395E-2</v>
      </c>
      <c r="Z119" s="147">
        <f>AVERAGE(Y119,X119,V119,U119)</f>
        <v>6.5277596872850827E-2</v>
      </c>
      <c r="AA119" s="147">
        <f>AVERAGE(Z119,Y119,X119,V119)</f>
        <v>6.3278745103117068E-2</v>
      </c>
      <c r="AB119" s="152"/>
      <c r="AC119" s="147">
        <f>AVERAGE(AA119,Z119,Y119,X119)</f>
        <v>6.3010962471549428E-2</v>
      </c>
      <c r="AD119" s="147">
        <f>AVERAGE(AC119,AA119,Z119,Y119)</f>
        <v>6.3894092982650433E-2</v>
      </c>
      <c r="AE119" s="147">
        <f>AVERAGE(AD119,AC119,AA119,Z119)</f>
        <v>6.3865349357541942E-2</v>
      </c>
      <c r="AF119" s="147">
        <f>AVERAGE(AE119,AD119,AC119,AA119)</f>
        <v>6.3512287478714707E-2</v>
      </c>
      <c r="AG119" s="152"/>
      <c r="AH119" s="182">
        <f>AVERAGE(AF119,AE119,AD119,AC119)-0.25%</f>
        <v>6.1070673072614115E-2</v>
      </c>
      <c r="AI119" s="182">
        <f>AVERAGE(AH119,AF119,AE119,AD119)-0.25%</f>
        <v>6.0585600722880301E-2</v>
      </c>
      <c r="AJ119" s="182">
        <f>AVERAGE(AI119,AH119,AF119,AE119)-0.25%</f>
        <v>5.9758477657937764E-2</v>
      </c>
      <c r="AK119" s="182">
        <f>AVERAGE(AJ119,AI119,AH119,AF119)-0.25%</f>
        <v>5.8731759733036716E-2</v>
      </c>
      <c r="AL119" s="152"/>
      <c r="AM119" s="182">
        <f>AVERAGE(AK119,AJ119,AI119,AH119)-0.25%</f>
        <v>5.7536627796617223E-2</v>
      </c>
      <c r="AN119" s="182">
        <f>AVERAGE(AM119,AK119,AJ119,AI119)-0.25%</f>
        <v>5.6653116477617997E-2</v>
      </c>
      <c r="AO119" s="182">
        <f>AVERAGE(AN119,AM119,AK119,AJ119)-0.25%</f>
        <v>5.5669995416302423E-2</v>
      </c>
      <c r="AP119" s="182">
        <f>AVERAGE(AO119,AN119,AM119,AK119)-0.25%</f>
        <v>5.4647874855893584E-2</v>
      </c>
      <c r="AQ119" s="152"/>
    </row>
    <row r="120" spans="2:43" outlineLevel="2" x14ac:dyDescent="0.3">
      <c r="B120" s="137" t="s">
        <v>191</v>
      </c>
      <c r="C120" s="136"/>
      <c r="D120" s="153">
        <f>+D116*D118*D60/1000</f>
        <v>252.58984399999997</v>
      </c>
      <c r="E120" s="153">
        <f>+E116*E118*E60/1000</f>
        <v>256.49662499999999</v>
      </c>
      <c r="F120" s="153">
        <f>+F116*F118*F60/1000</f>
        <v>233.86167</v>
      </c>
      <c r="G120" s="153">
        <f>+G116*G118*G60/1000</f>
        <v>256.31970000000001</v>
      </c>
      <c r="H120" s="142"/>
      <c r="I120" s="153">
        <f>+I116*I118*I60/1000</f>
        <v>448.62479999999999</v>
      </c>
      <c r="J120" s="153">
        <f>+J116*J118*J60/1000</f>
        <v>474.40171799999996</v>
      </c>
      <c r="K120" s="153">
        <f>+K116*K118*K60/1000</f>
        <v>470.89619999999996</v>
      </c>
      <c r="L120" s="153">
        <f>+L116*L118*L60/1000</f>
        <v>513.35205999999994</v>
      </c>
      <c r="M120" s="142"/>
      <c r="N120" s="153">
        <f>+N116*N118*N60/1000</f>
        <v>470.31481250000002</v>
      </c>
      <c r="O120" s="153">
        <f>+O116*O118*O60/1000</f>
        <v>560.4262020000001</v>
      </c>
      <c r="P120" s="153">
        <f>+P116*P118*P60/1000</f>
        <v>551.11242000000004</v>
      </c>
      <c r="Q120" s="153">
        <f>+Q116*Q118*Q60/1000</f>
        <v>598.65324999999996</v>
      </c>
      <c r="R120" s="142"/>
      <c r="S120" s="153">
        <f>+S116*S118*S60/1000</f>
        <v>551.03262500000005</v>
      </c>
      <c r="T120" s="153">
        <f>+T116*T118*T60/1000</f>
        <v>633.25912941392585</v>
      </c>
      <c r="U120" s="153">
        <f>+U116*U118*U60/1000</f>
        <v>592.66026340523194</v>
      </c>
      <c r="V120" s="153">
        <f>+V116*V118*V60/1000</f>
        <v>636.09374431228855</v>
      </c>
      <c r="W120" s="142"/>
      <c r="X120" s="153">
        <f>+X116*X118*X60/1000</f>
        <v>582.63691808730937</v>
      </c>
      <c r="Y120" s="153">
        <f>+Y116*Y118*Y60/1000</f>
        <v>671.51932593339507</v>
      </c>
      <c r="Z120" s="153">
        <f>+Z116*Z118*Z60/1000</f>
        <v>630.54156542957605</v>
      </c>
      <c r="AA120" s="153">
        <f>+AA116*AA118*AA60/1000</f>
        <v>674.9321022731832</v>
      </c>
      <c r="AB120" s="142"/>
      <c r="AC120" s="153">
        <f>+AC116*AC118*AC60/1000</f>
        <v>617.99530616489119</v>
      </c>
      <c r="AD120" s="153">
        <f>+AD116*AD118*AD60/1000</f>
        <v>712.83097386161876</v>
      </c>
      <c r="AE120" s="153">
        <f>+AE116*AE118*AE60/1000</f>
        <v>669.50592477132227</v>
      </c>
      <c r="AF120" s="153">
        <f>+AF116*AF118*AF60/1000</f>
        <v>716.2816701321168</v>
      </c>
      <c r="AG120" s="142"/>
      <c r="AH120" s="153">
        <f>+AH116*AH118*AH60/1000</f>
        <v>652.70760612428865</v>
      </c>
      <c r="AI120" s="153">
        <f>+AI116*AI118*AI60/1000</f>
        <v>752.06609132053086</v>
      </c>
      <c r="AJ120" s="153">
        <f>+AJ116*AJ118*AJ60/1000</f>
        <v>705.27411745838947</v>
      </c>
      <c r="AK120" s="153">
        <f>+AK116*AK118*AK60/1000</f>
        <v>753.05367609279199</v>
      </c>
      <c r="AL120" s="142"/>
      <c r="AM120" s="153">
        <f>+AM116*AM118*AM60/1000</f>
        <v>684.60071060438145</v>
      </c>
      <c r="AN120" s="153">
        <f>+AN116*AN118*AN60/1000</f>
        <v>787.44337449653824</v>
      </c>
      <c r="AO120" s="153">
        <f>+AO116*AO118*AO60/1000</f>
        <v>737.04290554939587</v>
      </c>
      <c r="AP120" s="153">
        <f>+AP116*AP118*AP60/1000</f>
        <v>785.40093080869167</v>
      </c>
      <c r="AQ120" s="142"/>
    </row>
    <row r="121" spans="2:43" ht="16.2" outlineLevel="1" x14ac:dyDescent="0.45">
      <c r="B121" s="643" t="s">
        <v>192</v>
      </c>
      <c r="C121" s="644"/>
      <c r="D121" s="51"/>
      <c r="E121" s="51"/>
      <c r="F121" s="51"/>
      <c r="G121" s="51"/>
      <c r="H121" s="59"/>
      <c r="I121" s="51"/>
      <c r="J121" s="51"/>
      <c r="K121" s="51"/>
      <c r="L121" s="51"/>
      <c r="M121" s="59"/>
      <c r="N121" s="51"/>
      <c r="O121" s="51"/>
      <c r="P121" s="51"/>
      <c r="Q121" s="51"/>
      <c r="R121" s="55"/>
      <c r="S121" s="51"/>
      <c r="T121" s="52"/>
      <c r="U121" s="52"/>
      <c r="V121" s="52"/>
      <c r="W121" s="55"/>
      <c r="X121" s="52"/>
      <c r="Y121" s="52"/>
      <c r="Z121" s="52"/>
      <c r="AA121" s="52"/>
      <c r="AB121" s="55"/>
      <c r="AC121" s="52"/>
      <c r="AD121" s="52"/>
      <c r="AE121" s="52"/>
      <c r="AF121" s="52"/>
      <c r="AG121" s="55"/>
      <c r="AH121" s="52"/>
      <c r="AI121" s="52"/>
      <c r="AJ121" s="52"/>
      <c r="AK121" s="52"/>
      <c r="AL121" s="55"/>
      <c r="AM121" s="52"/>
      <c r="AN121" s="52"/>
      <c r="AO121" s="52"/>
      <c r="AP121" s="52"/>
      <c r="AQ121" s="55"/>
    </row>
    <row r="122" spans="2:43" outlineLevel="2" x14ac:dyDescent="0.3">
      <c r="B122" s="128" t="s">
        <v>374</v>
      </c>
      <c r="C122" s="292"/>
      <c r="D122" s="269">
        <v>790</v>
      </c>
      <c r="E122" s="269">
        <v>842</v>
      </c>
      <c r="F122" s="269">
        <v>793</v>
      </c>
      <c r="G122" s="269">
        <v>808.49</v>
      </c>
      <c r="H122" s="59"/>
      <c r="I122" s="269">
        <v>11153.5</v>
      </c>
      <c r="J122" s="269">
        <v>12592.5</v>
      </c>
      <c r="K122" s="269">
        <v>12578</v>
      </c>
      <c r="L122" s="269">
        <v>12794.5</v>
      </c>
      <c r="M122" s="59"/>
      <c r="N122" s="269">
        <v>10281</v>
      </c>
      <c r="O122" s="269">
        <v>13230.5</v>
      </c>
      <c r="P122" s="269">
        <v>13209.4</v>
      </c>
      <c r="Q122" s="269">
        <v>13738</v>
      </c>
      <c r="R122" s="55"/>
      <c r="S122" s="269">
        <v>13459</v>
      </c>
      <c r="T122" s="129">
        <f>+O122*(1+T123)</f>
        <v>14565.855560272161</v>
      </c>
      <c r="U122" s="129">
        <f>+P122*(1+U123)</f>
        <v>14444.43059748815</v>
      </c>
      <c r="V122" s="129">
        <f>+Q122*(1+V123)</f>
        <v>15239.848315386347</v>
      </c>
      <c r="W122" s="55"/>
      <c r="X122" s="129">
        <f>+S122*(1+X123)</f>
        <v>15117.354293054355</v>
      </c>
      <c r="Y122" s="129">
        <f>+T122*(1+Y123)</f>
        <v>15974.965315844622</v>
      </c>
      <c r="Z122" s="129">
        <f>+U122*(1+Z123)</f>
        <v>15971.109270394505</v>
      </c>
      <c r="AA122" s="129">
        <f>+V122*(1+AA123)</f>
        <v>16897.066978859773</v>
      </c>
      <c r="AB122" s="55"/>
      <c r="AC122" s="129">
        <f>+X122*(1+AC123)</f>
        <v>16759.067158475154</v>
      </c>
      <c r="AD122" s="129">
        <f>+Y122*(1+AD123)</f>
        <v>17651.434929691528</v>
      </c>
      <c r="AE122" s="129">
        <f>+Z122*(1+AE123)</f>
        <v>17679.926739559171</v>
      </c>
      <c r="AF122" s="129">
        <f>+AA122*(1+AF123)</f>
        <v>18710.452608009244</v>
      </c>
      <c r="AG122" s="55"/>
      <c r="AH122" s="129">
        <f>+AC122*(1+AH123)</f>
        <v>18509.78336256574</v>
      </c>
      <c r="AI122" s="129">
        <f>+AD122*(1+AI123)</f>
        <v>19477.128196972542</v>
      </c>
      <c r="AJ122" s="129">
        <f>+AE122*(1+AJ123)</f>
        <v>19501.878388628826</v>
      </c>
      <c r="AK122" s="129">
        <f>+AF122*(1+AK123)</f>
        <v>20620.161457368209</v>
      </c>
      <c r="AL122" s="55"/>
      <c r="AM122" s="129">
        <f>+AH122*(1+AM123)</f>
        <v>20374.702029233875</v>
      </c>
      <c r="AN122" s="129">
        <f>+AI122*(1+AN123)</f>
        <v>21421.441496898216</v>
      </c>
      <c r="AO122" s="129">
        <f>+AJ122*(1+AO123)</f>
        <v>21431.087088810022</v>
      </c>
      <c r="AP122" s="129">
        <f>+AK122*(1+AP123)</f>
        <v>22638.716802828185</v>
      </c>
      <c r="AQ122" s="55"/>
    </row>
    <row r="123" spans="2:43" outlineLevel="2" x14ac:dyDescent="0.3">
      <c r="B123" s="146" t="s">
        <v>205</v>
      </c>
      <c r="C123" s="292"/>
      <c r="D123" s="171">
        <f>+D122/1059-1</f>
        <v>-0.25401322001888571</v>
      </c>
      <c r="E123" s="171">
        <f>+E122/1061-1</f>
        <v>-0.20640904806786053</v>
      </c>
      <c r="F123" s="171">
        <f>+F122/948-1</f>
        <v>-0.1635021097046413</v>
      </c>
      <c r="G123" s="171">
        <f>+G122/964-1</f>
        <v>-0.16131742738589205</v>
      </c>
      <c r="H123" s="89"/>
      <c r="I123" s="171">
        <f>+I122/D122-1</f>
        <v>13.118354430379746</v>
      </c>
      <c r="J123" s="171">
        <f>+J122/E122-1</f>
        <v>13.955463182897862</v>
      </c>
      <c r="K123" s="171">
        <f>+K122/F122-1</f>
        <v>14.861286254728878</v>
      </c>
      <c r="L123" s="171">
        <f>+L122/G122-1</f>
        <v>14.825180274338582</v>
      </c>
      <c r="M123" s="89"/>
      <c r="N123" s="171">
        <f>+N122/I122-1</f>
        <v>-7.822656565203745E-2</v>
      </c>
      <c r="O123" s="171">
        <f>+O122/J122-1</f>
        <v>5.0665078419694254E-2</v>
      </c>
      <c r="P123" s="171">
        <f>+P122/K122-1</f>
        <v>5.0198759739227272E-2</v>
      </c>
      <c r="Q123" s="171">
        <f>+Q122/L122-1</f>
        <v>7.3742623783657146E-2</v>
      </c>
      <c r="R123" s="62"/>
      <c r="S123" s="171">
        <f>+S122/N122-1</f>
        <v>0.30911389942612577</v>
      </c>
      <c r="T123" s="147">
        <f>AVERAGE(S123,Q123,P123,O123)-2%</f>
        <v>0.10093009034217611</v>
      </c>
      <c r="U123" s="147">
        <f>AVERAGE(T123,S123,Q123,P123)-4%</f>
        <v>9.3496343322796577E-2</v>
      </c>
      <c r="V123" s="147">
        <f>AVERAGE(U123,T123,S123,Q123)-3.5%</f>
        <v>0.1093207392186889</v>
      </c>
      <c r="W123" s="62"/>
      <c r="X123" s="147">
        <f>AVERAGE(V123,U123,T123,S123)-3%</f>
        <v>0.12321526807744684</v>
      </c>
      <c r="Y123" s="147">
        <f>AVERAGE(X123,V123,U123,T123)-1%</f>
        <v>9.6740610240277108E-2</v>
      </c>
      <c r="Z123" s="147">
        <f>AVERAGE(Y123,X123,V123,U123)</f>
        <v>0.10569324021480236</v>
      </c>
      <c r="AA123" s="147">
        <f>AVERAGE(Z123,Y123,X123,V123)</f>
        <v>0.1087424644378038</v>
      </c>
      <c r="AB123" s="62"/>
      <c r="AC123" s="147">
        <f>AVERAGE(AA123,Z123,Y123,X123)</f>
        <v>0.10859789574258252</v>
      </c>
      <c r="AD123" s="147">
        <f>AVERAGE(AC123,AA123,Z123,Y123)</f>
        <v>0.10494355265886646</v>
      </c>
      <c r="AE123" s="147">
        <f>AVERAGE(AD123,AC123,AA123,Z123)</f>
        <v>0.10699428826351379</v>
      </c>
      <c r="AF123" s="147">
        <f>AVERAGE(AE123,AD123,AC123,AA123)</f>
        <v>0.10731955027569165</v>
      </c>
      <c r="AG123" s="62"/>
      <c r="AH123" s="182">
        <f>AVERAGE(AF123,AE123,AD123,AC123)-0.25%</f>
        <v>0.10446382173516361</v>
      </c>
      <c r="AI123" s="182">
        <f>AVERAGE(AH123,AF123,AE123,AD123)-0.25%</f>
        <v>0.10343030323330887</v>
      </c>
      <c r="AJ123" s="182">
        <f>AVERAGE(AI123,AH123,AF123,AE123)-0.25%</f>
        <v>0.10305199087691946</v>
      </c>
      <c r="AK123" s="182">
        <f>AVERAGE(AJ123,AI123,AH123,AF123)-0.25%</f>
        <v>0.1020664165302709</v>
      </c>
      <c r="AL123" s="62"/>
      <c r="AM123" s="182">
        <f>AVERAGE(AK123,AJ123,AI123,AH123)-0.25%</f>
        <v>0.10075313309391572</v>
      </c>
      <c r="AN123" s="182">
        <f>AVERAGE(AM123,AK123,AJ123,AI123)-0.25%</f>
        <v>9.9825460933603741E-2</v>
      </c>
      <c r="AO123" s="182">
        <f>AVERAGE(AN123,AM123,AK123,AJ123)-0.25%</f>
        <v>9.8924250358677454E-2</v>
      </c>
      <c r="AP123" s="182">
        <f>AVERAGE(AO123,AN123,AM123,AK123)-0.25%</f>
        <v>9.7892315229116955E-2</v>
      </c>
      <c r="AQ123" s="62"/>
    </row>
    <row r="124" spans="2:43" outlineLevel="2" x14ac:dyDescent="0.3">
      <c r="B124" s="128" t="s">
        <v>193</v>
      </c>
      <c r="C124" s="292"/>
      <c r="D124" s="148">
        <v>1.89</v>
      </c>
      <c r="E124" s="148">
        <v>1.84</v>
      </c>
      <c r="F124" s="148">
        <v>1.83</v>
      </c>
      <c r="G124" s="148">
        <v>1.8744000000000001</v>
      </c>
      <c r="H124" s="59"/>
      <c r="I124" s="148">
        <v>0.56499999999999995</v>
      </c>
      <c r="J124" s="148">
        <v>0.52800000000000002</v>
      </c>
      <c r="K124" s="148">
        <v>0.56000000000000005</v>
      </c>
      <c r="L124" s="148">
        <v>0.56899999999999995</v>
      </c>
      <c r="M124" s="59"/>
      <c r="N124" s="148">
        <v>0.56999999999999995</v>
      </c>
      <c r="O124" s="148">
        <v>0.57699999999999996</v>
      </c>
      <c r="P124" s="148">
        <v>0.60099999999999998</v>
      </c>
      <c r="Q124" s="148">
        <v>0.63</v>
      </c>
      <c r="R124" s="55"/>
      <c r="S124" s="148">
        <v>0.59299999999999997</v>
      </c>
      <c r="T124" s="148">
        <f>+O124*(1+T125)</f>
        <v>0.61069302311838869</v>
      </c>
      <c r="U124" s="148">
        <f>+P124*(1+U125)</f>
        <v>0.61890442722329475</v>
      </c>
      <c r="V124" s="148">
        <f>+Q124*(1+V125)</f>
        <v>0.64507920996396761</v>
      </c>
      <c r="W124" s="55"/>
      <c r="X124" s="148">
        <f>+S124*(1+X125)</f>
        <v>0.59781377321816354</v>
      </c>
      <c r="Y124" s="148">
        <f>+T124*(1+Y125)</f>
        <v>0.62294313277266444</v>
      </c>
      <c r="Z124" s="148">
        <f>+U124*(1+Z125)</f>
        <v>0.63157701108282194</v>
      </c>
      <c r="AA124" s="148">
        <f>+V124*(1+AA125)</f>
        <v>0.65678547949133226</v>
      </c>
      <c r="AB124" s="55"/>
      <c r="AC124" s="148">
        <f>+X124*(1+AC125)</f>
        <v>0.6077972450966681</v>
      </c>
      <c r="AD124" s="148">
        <f>+Y124*(1+AD125)</f>
        <v>0.63468283669072723</v>
      </c>
      <c r="AE124" s="148">
        <f>+Z124*(1+AE125)</f>
        <v>0.64328777141827598</v>
      </c>
      <c r="AF124" s="148">
        <f>+AA124*(1+AF125)</f>
        <v>0.66864614465813721</v>
      </c>
      <c r="AG124" s="55"/>
      <c r="AH124" s="148">
        <f>+AC124*(1+AH125)</f>
        <v>0.61724032797230954</v>
      </c>
      <c r="AI124" s="148">
        <f>+AD124*(1+AI125)</f>
        <v>0.64435903151326113</v>
      </c>
      <c r="AJ124" s="148">
        <f>+AE124*(1+AJ125)</f>
        <v>0.6525162230054008</v>
      </c>
      <c r="AK124" s="148">
        <f>+AF124*(1+AK125)</f>
        <v>0.6775369156192278</v>
      </c>
      <c r="AL124" s="55"/>
      <c r="AM124" s="148">
        <f>+AH124*(1+AM125)</f>
        <v>0.62471275039228413</v>
      </c>
      <c r="AN124" s="148">
        <f>+AI124*(1+AN125)</f>
        <v>0.65160715753230702</v>
      </c>
      <c r="AO124" s="148">
        <f>+AJ124*(1+AO125)</f>
        <v>0.65920405719046171</v>
      </c>
      <c r="AP124" s="148">
        <f>+AK124*(1+AP125)</f>
        <v>0.68378731867301124</v>
      </c>
      <c r="AQ124" s="55"/>
    </row>
    <row r="125" spans="2:43" outlineLevel="2" x14ac:dyDescent="0.3">
      <c r="B125" s="146" t="s">
        <v>204</v>
      </c>
      <c r="C125" s="292"/>
      <c r="D125" s="171">
        <f>+D124/1.78-1</f>
        <v>6.1797752808988804E-2</v>
      </c>
      <c r="E125" s="171">
        <f>+E124/1.76-1</f>
        <v>4.5454545454545414E-2</v>
      </c>
      <c r="F125" s="171">
        <f>+F124/1.72-1</f>
        <v>6.3953488372093137E-2</v>
      </c>
      <c r="G125" s="171">
        <f>+G124/1.75-1</f>
        <v>7.1085714285714419E-2</v>
      </c>
      <c r="H125" s="89"/>
      <c r="I125" s="171">
        <f>+I124/D124-1</f>
        <v>-0.70105820105820105</v>
      </c>
      <c r="J125" s="171">
        <f>+J124/E124-1</f>
        <v>-0.71304347826086956</v>
      </c>
      <c r="K125" s="171">
        <f>+K124/F124-1</f>
        <v>-0.69398907103825136</v>
      </c>
      <c r="L125" s="171">
        <f>+L124/G124-1</f>
        <v>-0.6964361929150662</v>
      </c>
      <c r="M125" s="89"/>
      <c r="N125" s="171">
        <f>+N124/I124-1</f>
        <v>8.8495575221239076E-3</v>
      </c>
      <c r="O125" s="171">
        <f>+O124/J124-1</f>
        <v>9.2803030303030276E-2</v>
      </c>
      <c r="P125" s="171">
        <f>+P124/K124-1</f>
        <v>7.3214285714285676E-2</v>
      </c>
      <c r="Q125" s="171">
        <f>+Q124/L124-1</f>
        <v>0.10720562390158173</v>
      </c>
      <c r="R125" s="62"/>
      <c r="S125" s="171">
        <f>+S124/N124-1</f>
        <v>4.0350877192982582E-2</v>
      </c>
      <c r="T125" s="147">
        <f>AVERAGE(S125,Q125,P125,O125)-2%</f>
        <v>5.8393454277970061E-2</v>
      </c>
      <c r="U125" s="147">
        <f>AVERAGE(T125,S125,Q125,P125)-4%</f>
        <v>2.9791060271705007E-2</v>
      </c>
      <c r="V125" s="147">
        <f>AVERAGE(U125,T125,S125,Q125)-3.5%</f>
        <v>2.3935253911059842E-2</v>
      </c>
      <c r="W125" s="62"/>
      <c r="X125" s="147">
        <f>AVERAGE(V125,U125,T125,S125)-3%</f>
        <v>8.1176614134293723E-3</v>
      </c>
      <c r="Y125" s="147">
        <f>AVERAGE(X125,V125,U125,T125)-1%</f>
        <v>2.0059357468541067E-2</v>
      </c>
      <c r="Z125" s="147">
        <f>AVERAGE(Y125,X125,V125,U125)</f>
        <v>2.0475833266183824E-2</v>
      </c>
      <c r="AA125" s="147">
        <f>AVERAGE(Z125,Y125,X125,V125)</f>
        <v>1.8147026514803526E-2</v>
      </c>
      <c r="AB125" s="62"/>
      <c r="AC125" s="147">
        <f>AVERAGE(AA125,Z125,Y125,X125)</f>
        <v>1.6699969665739448E-2</v>
      </c>
      <c r="AD125" s="147">
        <f>AVERAGE(AC125,AA125,Z125,Y125)</f>
        <v>1.8845546728816966E-2</v>
      </c>
      <c r="AE125" s="147">
        <f>AVERAGE(AD125,AC125,AA125,Z125)</f>
        <v>1.8542094043885942E-2</v>
      </c>
      <c r="AF125" s="147">
        <f>AVERAGE(AE125,AD125,AC125,AA125)</f>
        <v>1.8058659238311472E-2</v>
      </c>
      <c r="AG125" s="62"/>
      <c r="AH125" s="182">
        <f>AVERAGE(AF125,AE125,AD125,AC125)-0.25%</f>
        <v>1.5536567419188458E-2</v>
      </c>
      <c r="AI125" s="182">
        <f>AVERAGE(AH125,AF125,AE125,AD125)-0.25%</f>
        <v>1.5245716857550709E-2</v>
      </c>
      <c r="AJ125" s="182">
        <f>AVERAGE(AI125,AH125,AF125,AE125)-0.25%</f>
        <v>1.4345759389734146E-2</v>
      </c>
      <c r="AK125" s="182">
        <f>AVERAGE(AJ125,AI125,AH125,AF125)-0.25%</f>
        <v>1.3296675726196196E-2</v>
      </c>
      <c r="AL125" s="62"/>
      <c r="AM125" s="182">
        <f>AVERAGE(AK125,AJ125,AI125,AH125)-0.25%</f>
        <v>1.2106179848167377E-2</v>
      </c>
      <c r="AN125" s="182">
        <f>AVERAGE(AM125,AK125,AJ125,AI125)-0.25%</f>
        <v>1.1248582955412107E-2</v>
      </c>
      <c r="AO125" s="182">
        <f>AVERAGE(AN125,AM125,AK125,AJ125)-0.25%</f>
        <v>1.0249299479877455E-2</v>
      </c>
      <c r="AP125" s="182">
        <f>AVERAGE(AO125,AN125,AM125,AK125)-0.25%</f>
        <v>9.2251845024132837E-3</v>
      </c>
      <c r="AQ125" s="62"/>
    </row>
    <row r="126" spans="2:43" outlineLevel="2" x14ac:dyDescent="0.3">
      <c r="B126" s="124" t="s">
        <v>194</v>
      </c>
      <c r="C126" s="125"/>
      <c r="D126" s="149">
        <f>+D122*D124*D60/1000</f>
        <v>97.051500000000004</v>
      </c>
      <c r="E126" s="149">
        <f>+E122*E124*E60/1000</f>
        <v>97.604640000000003</v>
      </c>
      <c r="F126" s="149">
        <f>+F122*F124*F60/1000</f>
        <v>91.424970000000002</v>
      </c>
      <c r="G126" s="149">
        <f>+G122*G124*G60/1000</f>
        <v>98.503187640000007</v>
      </c>
      <c r="H126" s="61"/>
      <c r="I126" s="149">
        <f>+I122*I124*I60/1000</f>
        <v>409.61228749999992</v>
      </c>
      <c r="J126" s="149">
        <f>+J122*J124*J60/1000</f>
        <v>418.87691999999998</v>
      </c>
      <c r="K126" s="149">
        <f>+K122*K124*K60/1000</f>
        <v>436.70816000000002</v>
      </c>
      <c r="L126" s="149">
        <f>+L122*L124*L60/1000</f>
        <v>473.20458249999996</v>
      </c>
      <c r="M126" s="61"/>
      <c r="N126" s="149">
        <f>+N122*N124*N60/1000</f>
        <v>380.91104999999993</v>
      </c>
      <c r="O126" s="149">
        <f>+O122*O124*O60/1000</f>
        <v>480.94190550000002</v>
      </c>
      <c r="P126" s="149">
        <f>+P122*P124*P60/1000</f>
        <v>492.20866279999996</v>
      </c>
      <c r="Q126" s="149">
        <f>+Q122*Q124*Q60/1000</f>
        <v>562.5711</v>
      </c>
      <c r="R126" s="56"/>
      <c r="S126" s="149">
        <f>+S122*S124*S60/1000</f>
        <v>518.77715499999999</v>
      </c>
      <c r="T126" s="149">
        <f>+T122*T124*T60/1000</f>
        <v>560.40178108372902</v>
      </c>
      <c r="U126" s="149">
        <f>+U122*U124*U60/1000</f>
        <v>554.26276682131243</v>
      </c>
      <c r="V126" s="149">
        <f>+V122*V124*V60/1000</f>
        <v>639.00910523190828</v>
      </c>
      <c r="W126" s="56"/>
      <c r="X126" s="149">
        <f>+X122*X124*X60/1000</f>
        <v>587.42856971543074</v>
      </c>
      <c r="Y126" s="149">
        <f>+Y122*Y124*Y60/1000</f>
        <v>626.94418120657508</v>
      </c>
      <c r="Z126" s="149">
        <f>+Z122*Z124*Z60/1000</f>
        <v>625.39309831372043</v>
      </c>
      <c r="AA126" s="149">
        <f>+AA122*AA124*AA60/1000</f>
        <v>721.35363545099221</v>
      </c>
      <c r="AB126" s="56"/>
      <c r="AC126" s="149">
        <f>+AC122*AC124*AC60/1000</f>
        <v>662.09746520523095</v>
      </c>
      <c r="AD126" s="149">
        <f>+AD122*AD124*AD60/1000</f>
        <v>705.79295594881955</v>
      </c>
      <c r="AE126" s="149">
        <f>+AE122*AE124*AE60/1000</f>
        <v>705.14340161002315</v>
      </c>
      <c r="AF126" s="149">
        <f>+AF122*AF124*AF60/1000</f>
        <v>813.19368007502101</v>
      </c>
      <c r="AG126" s="56"/>
      <c r="AH126" s="149">
        <f>+AH122*AH124*AH60/1000</f>
        <v>742.62400897142095</v>
      </c>
      <c r="AI126" s="149">
        <f>+AI122*AI124*AI60/1000</f>
        <v>790.66659808463407</v>
      </c>
      <c r="AJ126" s="149">
        <f>+AJ122*AJ124*AJ60/1000</f>
        <v>788.9681057148415</v>
      </c>
      <c r="AK126" s="149">
        <f>+AK122*AK124*AK60/1000</f>
        <v>908.10983857072301</v>
      </c>
      <c r="AL126" s="56"/>
      <c r="AM126" s="149">
        <f>+AM122*AM124*AM60/1000</f>
        <v>827.34184930188667</v>
      </c>
      <c r="AN126" s="149">
        <f>+AN122*AN124*AN60/1000</f>
        <v>879.37697005442271</v>
      </c>
      <c r="AO126" s="149">
        <f>+AO122*AO124*AO60/1000</f>
        <v>875.90249265463262</v>
      </c>
      <c r="AP126" s="149">
        <f>+AP122*AP124*AP60/1000</f>
        <v>1006.2043849522295</v>
      </c>
      <c r="AQ126" s="56"/>
    </row>
    <row r="127" spans="2:43" ht="16.2" outlineLevel="1" x14ac:dyDescent="0.45">
      <c r="B127" s="674" t="s">
        <v>195</v>
      </c>
      <c r="C127" s="675"/>
      <c r="D127" s="131"/>
      <c r="E127" s="131"/>
      <c r="F127" s="131"/>
      <c r="G127" s="131"/>
      <c r="H127" s="141"/>
      <c r="I127" s="131"/>
      <c r="J127" s="131"/>
      <c r="K127" s="131"/>
      <c r="L127" s="131"/>
      <c r="M127" s="141"/>
      <c r="N127" s="131"/>
      <c r="O127" s="131"/>
      <c r="P127" s="131"/>
      <c r="Q127" s="131"/>
      <c r="R127" s="141"/>
      <c r="S127" s="131"/>
      <c r="T127" s="131"/>
      <c r="U127" s="131"/>
      <c r="V127" s="131"/>
      <c r="W127" s="141"/>
      <c r="X127" s="131"/>
      <c r="Y127" s="131"/>
      <c r="Z127" s="131"/>
      <c r="AA127" s="131"/>
      <c r="AB127" s="141"/>
      <c r="AC127" s="131"/>
      <c r="AD127" s="131"/>
      <c r="AE127" s="131"/>
      <c r="AF127" s="131"/>
      <c r="AG127" s="141"/>
      <c r="AH127" s="131"/>
      <c r="AI127" s="131"/>
      <c r="AJ127" s="131"/>
      <c r="AK127" s="131"/>
      <c r="AL127" s="141"/>
      <c r="AM127" s="131"/>
      <c r="AN127" s="131"/>
      <c r="AO127" s="131"/>
      <c r="AP127" s="131"/>
      <c r="AQ127" s="141"/>
    </row>
    <row r="128" spans="2:43" outlineLevel="2" x14ac:dyDescent="0.3">
      <c r="B128" s="132" t="s">
        <v>375</v>
      </c>
      <c r="C128" s="133"/>
      <c r="D128" s="134">
        <v>609</v>
      </c>
      <c r="E128" s="134">
        <v>678</v>
      </c>
      <c r="F128" s="134">
        <v>622</v>
      </c>
      <c r="G128" s="134">
        <v>586</v>
      </c>
      <c r="H128" s="141"/>
      <c r="I128" s="134">
        <v>1869.4</v>
      </c>
      <c r="J128" s="134">
        <v>1958.5</v>
      </c>
      <c r="K128" s="134">
        <v>1995</v>
      </c>
      <c r="L128" s="134">
        <v>1787</v>
      </c>
      <c r="M128" s="141"/>
      <c r="N128" s="134">
        <v>1853</v>
      </c>
      <c r="O128" s="134">
        <v>2145</v>
      </c>
      <c r="P128" s="134">
        <v>1951</v>
      </c>
      <c r="Q128" s="134">
        <v>1811</v>
      </c>
      <c r="R128" s="141"/>
      <c r="S128" s="134">
        <v>1717</v>
      </c>
      <c r="T128" s="134">
        <f>+O128*(1+T129)</f>
        <v>2109.1820580846293</v>
      </c>
      <c r="U128" s="134">
        <f>+P128*(1+U129)</f>
        <v>1824.8104689856225</v>
      </c>
      <c r="V128" s="134">
        <f>+Q128*(1+V129)</f>
        <v>1683.6224468299336</v>
      </c>
      <c r="W128" s="141"/>
      <c r="X128" s="134">
        <f>+S128*(1+X129)</f>
        <v>1568.8625081432428</v>
      </c>
      <c r="Y128" s="134">
        <f>+T128*(1+Y129)</f>
        <v>1962.5990918114405</v>
      </c>
      <c r="Z128" s="134">
        <f>+U128*(1+Z129)</f>
        <v>1692.1516004696755</v>
      </c>
      <c r="AA128" s="134">
        <f>+V128*(1+AA129)</f>
        <v>1557.8527804701482</v>
      </c>
      <c r="AB128" s="141"/>
      <c r="AC128" s="134">
        <f>+X128*(1+AC129)</f>
        <v>1449.9530701570607</v>
      </c>
      <c r="AD128" s="134">
        <f>+Y128*(1+AD129)</f>
        <v>1818.9907538338114</v>
      </c>
      <c r="AE128" s="134">
        <f>+Z128*(1+AE129)</f>
        <v>1566.7779302080394</v>
      </c>
      <c r="AF128" s="134">
        <f>+AA128*(1+AF129)</f>
        <v>1441.886594832735</v>
      </c>
      <c r="AG128" s="141"/>
      <c r="AH128" s="134">
        <f>+AC128*(1+AH129)</f>
        <v>1338.4890254575935</v>
      </c>
      <c r="AI128" s="134">
        <f>+AD128*(1+AI129)</f>
        <v>1678.6657098442593</v>
      </c>
      <c r="AJ128" s="134">
        <f>+AE128*(1+AJ129)</f>
        <v>1444.3539258336268</v>
      </c>
      <c r="AK128" s="134">
        <f>+AF128*(1+AK129)</f>
        <v>1327.7627538865747</v>
      </c>
      <c r="AL128" s="141"/>
      <c r="AM128" s="134">
        <f>+AH128*(1+AM129)</f>
        <v>1230.9731885012163</v>
      </c>
      <c r="AN128" s="134">
        <f>+AI128*(1+AN129)</f>
        <v>1542.3760453987713</v>
      </c>
      <c r="AO128" s="134">
        <f>+AJ128*(1+AO129)</f>
        <v>1325.6273251371117</v>
      </c>
      <c r="AP128" s="134">
        <f>+AK128*(1+AP129)</f>
        <v>1217.2713104286665</v>
      </c>
      <c r="AQ128" s="141"/>
    </row>
    <row r="129" spans="2:43" outlineLevel="2" x14ac:dyDescent="0.3">
      <c r="B129" s="150" t="s">
        <v>205</v>
      </c>
      <c r="C129" s="133"/>
      <c r="D129" s="151">
        <f>+D128/670-1</f>
        <v>-9.1044776119402981E-2</v>
      </c>
      <c r="E129" s="151">
        <f>+E128/630-1</f>
        <v>7.6190476190476142E-2</v>
      </c>
      <c r="F129" s="151">
        <f>+F128/718-1</f>
        <v>-0.13370473537604455</v>
      </c>
      <c r="G129" s="151">
        <f>+G128/716.4-1</f>
        <v>-0.18202121719709652</v>
      </c>
      <c r="H129" s="152"/>
      <c r="I129" s="151">
        <f>+I128/D128-1</f>
        <v>2.0696223316912974</v>
      </c>
      <c r="J129" s="151">
        <f>+J128/E128-1</f>
        <v>1.8886430678466075</v>
      </c>
      <c r="K129" s="151">
        <f>+K128/F128-1</f>
        <v>2.207395498392283</v>
      </c>
      <c r="L129" s="151">
        <f>+L128/G128-1</f>
        <v>2.0494880546075085</v>
      </c>
      <c r="M129" s="152"/>
      <c r="N129" s="151">
        <f>+N128/I128-1</f>
        <v>-8.7728682999893559E-3</v>
      </c>
      <c r="O129" s="151">
        <f>+O128/J128-1</f>
        <v>9.5225938218024053E-2</v>
      </c>
      <c r="P129" s="151">
        <f>+P128/K128-1</f>
        <v>-2.205513784461155E-2</v>
      </c>
      <c r="Q129" s="151">
        <f>+Q128/L128-1</f>
        <v>1.3430330162283122E-2</v>
      </c>
      <c r="R129" s="152"/>
      <c r="S129" s="151">
        <f>+S128/N128-1</f>
        <v>-7.3394495412844041E-2</v>
      </c>
      <c r="T129" s="147">
        <f>AVERAGE(S129,Q129,P129,O129)-2%</f>
        <v>-1.6698341219287104E-2</v>
      </c>
      <c r="U129" s="147">
        <f>AVERAGE(T129,S129,Q129,P129)-4%</f>
        <v>-6.4679411078614898E-2</v>
      </c>
      <c r="V129" s="147">
        <f>AVERAGE(U129,T129,S129,Q129)-3.5%</f>
        <v>-7.0335479387115735E-2</v>
      </c>
      <c r="W129" s="152"/>
      <c r="X129" s="147">
        <f>AVERAGE(V129,U129,T129,S129)-3%</f>
        <v>-8.6276931774465437E-2</v>
      </c>
      <c r="Y129" s="147">
        <f>AVERAGE(X129,V129,U129,T129)-1%</f>
        <v>-6.9497540864870783E-2</v>
      </c>
      <c r="Z129" s="147">
        <f>AVERAGE(Y129,X129,V129,U129)</f>
        <v>-7.2697340776266717E-2</v>
      </c>
      <c r="AA129" s="147">
        <f>AVERAGE(Z129,Y129,X129,V129)</f>
        <v>-7.4701823200679668E-2</v>
      </c>
      <c r="AB129" s="152"/>
      <c r="AC129" s="147">
        <f>AVERAGE(AA129,Z129,Y129,X129)</f>
        <v>-7.5793409154070651E-2</v>
      </c>
      <c r="AD129" s="147">
        <f>AVERAGE(AC129,AA129,Z129,Y129)</f>
        <v>-7.3172528498971962E-2</v>
      </c>
      <c r="AE129" s="147">
        <f>AVERAGE(AD129,AC129,AA129,Z129)</f>
        <v>-7.4091275407497242E-2</v>
      </c>
      <c r="AF129" s="147">
        <f>AVERAGE(AE129,AD129,AC129,AA129)</f>
        <v>-7.4439759065304881E-2</v>
      </c>
      <c r="AG129" s="152"/>
      <c r="AH129" s="182">
        <f>AVERAGE(AF129,AE129,AD129,AC129)-0.25%</f>
        <v>-7.687424303146119E-2</v>
      </c>
      <c r="AI129" s="182">
        <f>AVERAGE(AH129,AF129,AE129,AD129)-0.25%</f>
        <v>-7.7144451500808814E-2</v>
      </c>
      <c r="AJ129" s="182">
        <f>AVERAGE(AI129,AH129,AF129,AE129)-0.25%</f>
        <v>-7.8137432251268041E-2</v>
      </c>
      <c r="AK129" s="182">
        <f>AVERAGE(AJ129,AI129,AH129,AF129)-0.25%</f>
        <v>-7.9148971462210727E-2</v>
      </c>
      <c r="AL129" s="152"/>
      <c r="AM129" s="182">
        <f>AVERAGE(AK129,AJ129,AI129,AH129)-0.25%</f>
        <v>-8.0326274561437191E-2</v>
      </c>
      <c r="AN129" s="182">
        <f>AVERAGE(AM129,AK129,AJ129,AI129)-0.25%</f>
        <v>-8.1189282443931199E-2</v>
      </c>
      <c r="AO129" s="182">
        <f>AVERAGE(AN129,AM129,AK129,AJ129)-0.25%</f>
        <v>-8.2200490179711788E-2</v>
      </c>
      <c r="AP129" s="182">
        <f>AVERAGE(AO129,AN129,AM129,AK129)-0.25%</f>
        <v>-8.3216254661822725E-2</v>
      </c>
      <c r="AQ129" s="152"/>
    </row>
    <row r="130" spans="2:43" outlineLevel="2" x14ac:dyDescent="0.3">
      <c r="B130" s="132" t="s">
        <v>196</v>
      </c>
      <c r="C130" s="133"/>
      <c r="D130" s="135">
        <v>0.92</v>
      </c>
      <c r="E130" s="135">
        <v>0.75</v>
      </c>
      <c r="F130" s="135">
        <v>0.76</v>
      </c>
      <c r="G130" s="135">
        <v>0.73</v>
      </c>
      <c r="H130" s="141"/>
      <c r="I130" s="135">
        <v>0.76400000000000001</v>
      </c>
      <c r="J130" s="135">
        <v>0.755</v>
      </c>
      <c r="K130" s="135">
        <v>0.68</v>
      </c>
      <c r="L130" s="135">
        <v>0.73</v>
      </c>
      <c r="M130" s="141"/>
      <c r="N130" s="135">
        <v>0.69</v>
      </c>
      <c r="O130" s="135">
        <v>0.67</v>
      </c>
      <c r="P130" s="135">
        <v>0.71</v>
      </c>
      <c r="Q130" s="135">
        <v>0.78</v>
      </c>
      <c r="R130" s="141"/>
      <c r="S130" s="135">
        <v>0.76</v>
      </c>
      <c r="T130" s="135">
        <f>+O130*(1+T131)</f>
        <v>0.67359744635122765</v>
      </c>
      <c r="U130" s="135">
        <f>+P130*(1+U131)</f>
        <v>0.7205487177932578</v>
      </c>
      <c r="V130" s="135">
        <f>+Q130*(1+V131)</f>
        <v>0.78978297410300324</v>
      </c>
      <c r="W130" s="141"/>
      <c r="X130" s="135">
        <f>+S130*(1+X131)</f>
        <v>0.76270146213634127</v>
      </c>
      <c r="Y130" s="135">
        <f>+T130*(1+Y131)</f>
        <v>0.67297832640996513</v>
      </c>
      <c r="Z130" s="135">
        <f>+U130*(1+Z131)</f>
        <v>0.72595914777759207</v>
      </c>
      <c r="AA130" s="135">
        <f>+V130*(1+AA131)</f>
        <v>0.79426232084197013</v>
      </c>
      <c r="AB130" s="141"/>
      <c r="AC130" s="135">
        <f>+X130*(1+AC131)</f>
        <v>0.76571714782384159</v>
      </c>
      <c r="AD130" s="135">
        <f>+Y130*(1+AD131)</f>
        <v>0.67570644750591624</v>
      </c>
      <c r="AE130" s="135">
        <f>+Z130*(1+AE131)</f>
        <v>0.72980457808422816</v>
      </c>
      <c r="AF130" s="135">
        <f>+AA130*(1+AF131)</f>
        <v>0.79803038201401233</v>
      </c>
      <c r="AG130" s="141"/>
      <c r="AH130" s="135">
        <f>+AC130*(1+AH131)</f>
        <v>0.76725794127109881</v>
      </c>
      <c r="AI130" s="135">
        <f>+AD130*(1+AI131)</f>
        <v>0.67673810947048929</v>
      </c>
      <c r="AJ130" s="135">
        <f>+AE130*(1+AJ131)</f>
        <v>0.73045778028609243</v>
      </c>
      <c r="AK130" s="135">
        <f>+AF130*(1+AK131)</f>
        <v>0.79786641703016303</v>
      </c>
      <c r="AL130" s="141"/>
      <c r="AM130" s="135">
        <f>+AH130*(1+AM131)</f>
        <v>0.76615090084075277</v>
      </c>
      <c r="AN130" s="135">
        <f>+AI130*(1+AN131)</f>
        <v>0.67517713049631378</v>
      </c>
      <c r="AO130" s="135">
        <f>+AJ130*(1+AO131)</f>
        <v>0.72807285391354171</v>
      </c>
      <c r="AP130" s="135">
        <f>+AK130*(1+AP131)</f>
        <v>0.7944316196555592</v>
      </c>
      <c r="AQ130" s="141"/>
    </row>
    <row r="131" spans="2:43" outlineLevel="2" x14ac:dyDescent="0.3">
      <c r="B131" s="150" t="s">
        <v>204</v>
      </c>
      <c r="C131" s="133"/>
      <c r="D131" s="151">
        <f>+D130/1.07-1</f>
        <v>-0.14018691588785048</v>
      </c>
      <c r="E131" s="151">
        <f>+E130/1.07-1</f>
        <v>-0.2990654205607477</v>
      </c>
      <c r="F131" s="151">
        <f>+F130/1-1</f>
        <v>-0.24</v>
      </c>
      <c r="G131" s="151">
        <f>+G130/1.01-1</f>
        <v>-0.27722772277227725</v>
      </c>
      <c r="H131" s="152"/>
      <c r="I131" s="151">
        <f>+I130/D130-1</f>
        <v>-0.16956521739130437</v>
      </c>
      <c r="J131" s="151">
        <f>+J130/E130-1</f>
        <v>6.6666666666665986E-3</v>
      </c>
      <c r="K131" s="151">
        <f>+K130/F130-1</f>
        <v>-0.10526315789473684</v>
      </c>
      <c r="L131" s="151">
        <f>+L130/G130-1</f>
        <v>0</v>
      </c>
      <c r="M131" s="152"/>
      <c r="N131" s="151">
        <f>+N130/I130-1</f>
        <v>-9.6858638743455572E-2</v>
      </c>
      <c r="O131" s="151">
        <f>+O130/J130-1</f>
        <v>-0.11258278145695355</v>
      </c>
      <c r="P131" s="151">
        <f>+P130/K130-1</f>
        <v>4.4117647058823373E-2</v>
      </c>
      <c r="Q131" s="151">
        <f>+Q130/L130-1</f>
        <v>6.8493150684931559E-2</v>
      </c>
      <c r="R131" s="152"/>
      <c r="S131" s="151">
        <f>+S130/N130-1</f>
        <v>0.10144927536231885</v>
      </c>
      <c r="T131" s="147">
        <f>AVERAGE(S131,Q131,P131,O131)-2%</f>
        <v>5.3693229122800563E-3</v>
      </c>
      <c r="U131" s="147">
        <f>AVERAGE(T131,S131,Q131,P131)-4%</f>
        <v>1.4857349004588453E-2</v>
      </c>
      <c r="V131" s="147">
        <f>AVERAGE(U131,T131,S131,Q131)-3.5%</f>
        <v>1.2542274491029723E-2</v>
      </c>
      <c r="W131" s="152"/>
      <c r="X131" s="147">
        <f>AVERAGE(V131,U131,T131,S131)-3%</f>
        <v>3.5545554425542719E-3</v>
      </c>
      <c r="Y131" s="147">
        <f>AVERAGE(X131,V131,U131,T131)-1%</f>
        <v>-9.1912453738687318E-4</v>
      </c>
      <c r="Z131" s="147">
        <f>AVERAGE(Y131,X131,V131,U131)</f>
        <v>7.5087636001963942E-3</v>
      </c>
      <c r="AA131" s="147">
        <f>AVERAGE(Z131,Y131,X131,V131)</f>
        <v>5.6716172490983794E-3</v>
      </c>
      <c r="AB131" s="152"/>
      <c r="AC131" s="147">
        <f>AVERAGE(AA131,Z131,Y131,X131)</f>
        <v>3.9539529386155431E-3</v>
      </c>
      <c r="AD131" s="147">
        <f>AVERAGE(AC131,AA131,Z131,Y131)</f>
        <v>4.0538023126308609E-3</v>
      </c>
      <c r="AE131" s="147">
        <f>AVERAGE(AD131,AC131,AA131,Z131)</f>
        <v>5.297034025135294E-3</v>
      </c>
      <c r="AF131" s="147">
        <f>AVERAGE(AE131,AD131,AC131,AA131)</f>
        <v>4.7441016313700193E-3</v>
      </c>
      <c r="AG131" s="152"/>
      <c r="AH131" s="182">
        <f>AVERAGE(AF131,AE131,AD131,AC131)-0.25%</f>
        <v>2.0122227269379297E-3</v>
      </c>
      <c r="AI131" s="182">
        <f>AVERAGE(AH131,AF131,AE131,AD131)-0.25%</f>
        <v>1.5267901740185258E-3</v>
      </c>
      <c r="AJ131" s="182">
        <f>AVERAGE(AI131,AH131,AF131,AE131)-0.25%</f>
        <v>8.9503713936544237E-4</v>
      </c>
      <c r="AK131" s="182">
        <f>AVERAGE(AJ131,AI131,AH131,AF131)-0.25%</f>
        <v>-2.0546208207702097E-4</v>
      </c>
      <c r="AL131" s="152"/>
      <c r="AM131" s="182">
        <f>AVERAGE(AK131,AJ131,AI131,AH131)-0.25%</f>
        <v>-1.4428530104387809E-3</v>
      </c>
      <c r="AN131" s="182">
        <f>AVERAGE(AM131,AK131,AJ131,AI131)-0.25%</f>
        <v>-2.3066219447829585E-3</v>
      </c>
      <c r="AO131" s="182">
        <f>AVERAGE(AN131,AM131,AK131,AJ131)-0.25%</f>
        <v>-3.2649749744833294E-3</v>
      </c>
      <c r="AP131" s="182">
        <f>AVERAGE(AO131,AN131,AM131,AK131)-0.25%</f>
        <v>-4.3049780029455224E-3</v>
      </c>
      <c r="AQ131" s="152"/>
    </row>
    <row r="132" spans="2:43" outlineLevel="2" x14ac:dyDescent="0.3">
      <c r="B132" s="702" t="s">
        <v>337</v>
      </c>
      <c r="C132" s="703"/>
      <c r="D132" s="151"/>
      <c r="E132" s="151"/>
      <c r="F132" s="151"/>
      <c r="G132" s="151"/>
      <c r="H132" s="152"/>
      <c r="I132" s="151"/>
      <c r="J132" s="151"/>
      <c r="K132" s="151"/>
      <c r="L132" s="151"/>
      <c r="M132" s="152"/>
      <c r="N132" s="151"/>
      <c r="O132" s="173">
        <v>9</v>
      </c>
      <c r="P132" s="173">
        <v>7</v>
      </c>
      <c r="Q132" s="151"/>
      <c r="R132" s="152"/>
      <c r="S132" s="173">
        <v>0</v>
      </c>
      <c r="T132" s="147"/>
      <c r="U132" s="147"/>
      <c r="V132" s="147"/>
      <c r="W132" s="152"/>
      <c r="X132" s="147"/>
      <c r="Y132" s="147"/>
      <c r="Z132" s="147"/>
      <c r="AA132" s="147"/>
      <c r="AB132" s="152"/>
      <c r="AC132" s="147"/>
      <c r="AD132" s="147"/>
      <c r="AE132" s="147"/>
      <c r="AF132" s="147"/>
      <c r="AG132" s="152"/>
      <c r="AH132" s="147"/>
      <c r="AI132" s="147"/>
      <c r="AJ132" s="147"/>
      <c r="AK132" s="147"/>
      <c r="AL132" s="152"/>
      <c r="AM132" s="147"/>
      <c r="AN132" s="147"/>
      <c r="AO132" s="147"/>
      <c r="AP132" s="147"/>
      <c r="AQ132" s="152"/>
    </row>
    <row r="133" spans="2:43" outlineLevel="2" x14ac:dyDescent="0.3">
      <c r="B133" s="137" t="s">
        <v>197</v>
      </c>
      <c r="C133" s="136"/>
      <c r="D133" s="153">
        <f>+D128*D130*D60/1000</f>
        <v>36.418199999999999</v>
      </c>
      <c r="E133" s="153">
        <f>+E128*E130*E60/1000</f>
        <v>32.035499999999999</v>
      </c>
      <c r="F133" s="153">
        <f>+F128*F130*F60/1000</f>
        <v>29.781359999999999</v>
      </c>
      <c r="G133" s="153">
        <f>+G128*G130*G60/1000</f>
        <v>27.805699999999998</v>
      </c>
      <c r="H133" s="142"/>
      <c r="I133" s="153">
        <f>+I128*I130*I60/1000</f>
        <v>92.834404000000006</v>
      </c>
      <c r="J133" s="153">
        <f>+J128*J130*J60/1000</f>
        <v>93.156052500000001</v>
      </c>
      <c r="K133" s="153">
        <f>+K128*K130*K60/1000</f>
        <v>84.109200000000016</v>
      </c>
      <c r="L133" s="153">
        <f>+L128*L130*L60/1000</f>
        <v>84.793149999999997</v>
      </c>
      <c r="M133" s="142"/>
      <c r="N133" s="153">
        <f>+N128*N130*N60/1000</f>
        <v>83.107050000000001</v>
      </c>
      <c r="O133" s="153">
        <f>+O128*O130*O60/1000+O132</f>
        <v>99.540450000000007</v>
      </c>
      <c r="P133" s="153">
        <f>+P128*P130*P60/1000+P132</f>
        <v>92.883020000000002</v>
      </c>
      <c r="Q133" s="153">
        <f>+Q128*Q130*Q60/1000</f>
        <v>91.817700000000016</v>
      </c>
      <c r="R133" s="142"/>
      <c r="S133" s="153">
        <f>+S128*S130*S60/1000</f>
        <v>84.819800000000001</v>
      </c>
      <c r="T133" s="153">
        <f>+T128*T130*T60/1000</f>
        <v>89.506597837584877</v>
      </c>
      <c r="U133" s="153">
        <f>+U128*U130*U60/1000</f>
        <v>81.521620305884824</v>
      </c>
      <c r="V133" s="153">
        <f>+V128*V130*V60/1000</f>
        <v>86.430262316054822</v>
      </c>
      <c r="W133" s="142"/>
      <c r="X133" s="153">
        <f>+X128*X130*X60/1000</f>
        <v>77.777292375363032</v>
      </c>
      <c r="Y133" s="153">
        <f>+Y128*Y130*Y60/1000</f>
        <v>83.209559089921797</v>
      </c>
      <c r="Z133" s="153">
        <f>+Z128*Z130*Z60/1000</f>
        <v>76.162841894822151</v>
      </c>
      <c r="AA133" s="153">
        <f>+AA128*AA130*AA60/1000</f>
        <v>80.42734472151183</v>
      </c>
      <c r="AB133" s="142"/>
      <c r="AC133" s="153">
        <f>+AC128*AC130*AC60/1000</f>
        <v>72.16650540834064</v>
      </c>
      <c r="AD133" s="153">
        <f>+AD128*AD130*AD60/1000</f>
        <v>77.43353816010665</v>
      </c>
      <c r="AE133" s="153">
        <f>+AE128*AE130*AE60/1000</f>
        <v>70.893385791043826</v>
      </c>
      <c r="AF133" s="153">
        <f>+AF128*AF130*AF60/1000</f>
        <v>74.793505156191316</v>
      </c>
      <c r="AG133" s="142"/>
      <c r="AH133" s="153">
        <f>+AH128*AH130*AH60/1000</f>
        <v>66.75281171562591</v>
      </c>
      <c r="AI133" s="153">
        <f>+AI128*AI130*AI60/1000</f>
        <v>71.56907471151527</v>
      </c>
      <c r="AJ133" s="153">
        <f>+AJ128*AJ130*AJ60/1000</f>
        <v>65.412452881939927</v>
      </c>
      <c r="AK133" s="153">
        <f>+AK128*AK130*AK60/1000</f>
        <v>68.859525222122926</v>
      </c>
      <c r="AL133" s="142"/>
      <c r="AM133" s="153">
        <f>+AM128*AM130*AM60/1000</f>
        <v>61.302229123266343</v>
      </c>
      <c r="AN133" s="153">
        <f>+AN128*AN130*AN60/1000</f>
        <v>65.606753046151454</v>
      </c>
      <c r="AO133" s="153">
        <f>+AO128*AO130*AO60/1000</f>
        <v>59.839502729977788</v>
      </c>
      <c r="AP133" s="153">
        <f>+AP128*AP130*AP60/1000</f>
        <v>62.85752321576588</v>
      </c>
      <c r="AQ133" s="142"/>
    </row>
    <row r="134" spans="2:43" ht="15.6" x14ac:dyDescent="0.3">
      <c r="B134" s="630" t="s">
        <v>207</v>
      </c>
      <c r="C134" s="638"/>
      <c r="D134" s="95" t="s">
        <v>71</v>
      </c>
      <c r="E134" s="95" t="s">
        <v>74</v>
      </c>
      <c r="F134" s="95" t="s">
        <v>75</v>
      </c>
      <c r="G134" s="95" t="s">
        <v>79</v>
      </c>
      <c r="H134" s="408"/>
      <c r="I134" s="95" t="s">
        <v>81</v>
      </c>
      <c r="J134" s="95" t="s">
        <v>92</v>
      </c>
      <c r="K134" s="95" t="s">
        <v>110</v>
      </c>
      <c r="L134" s="95" t="s">
        <v>114</v>
      </c>
      <c r="M134" s="408"/>
      <c r="N134" s="95" t="s">
        <v>116</v>
      </c>
      <c r="O134" s="95" t="s">
        <v>117</v>
      </c>
      <c r="P134" s="95" t="s">
        <v>118</v>
      </c>
      <c r="Q134" s="95" t="s">
        <v>119</v>
      </c>
      <c r="R134" s="408"/>
      <c r="S134" s="95" t="s">
        <v>518</v>
      </c>
      <c r="T134" s="97" t="s">
        <v>378</v>
      </c>
      <c r="U134" s="97" t="s">
        <v>379</v>
      </c>
      <c r="V134" s="97" t="s">
        <v>380</v>
      </c>
      <c r="W134" s="412"/>
      <c r="X134" s="97" t="s">
        <v>382</v>
      </c>
      <c r="Y134" s="97" t="s">
        <v>383</v>
      </c>
      <c r="Z134" s="97" t="s">
        <v>384</v>
      </c>
      <c r="AA134" s="97" t="s">
        <v>385</v>
      </c>
      <c r="AB134" s="412"/>
      <c r="AC134" s="97" t="s">
        <v>387</v>
      </c>
      <c r="AD134" s="97" t="s">
        <v>388</v>
      </c>
      <c r="AE134" s="97" t="s">
        <v>389</v>
      </c>
      <c r="AF134" s="97" t="s">
        <v>390</v>
      </c>
      <c r="AG134" s="412"/>
      <c r="AH134" s="97" t="s">
        <v>392</v>
      </c>
      <c r="AI134" s="97" t="s">
        <v>393</v>
      </c>
      <c r="AJ134" s="97" t="s">
        <v>394</v>
      </c>
      <c r="AK134" s="97" t="s">
        <v>395</v>
      </c>
      <c r="AL134" s="412"/>
      <c r="AM134" s="97" t="s">
        <v>397</v>
      </c>
      <c r="AN134" s="97" t="s">
        <v>398</v>
      </c>
      <c r="AO134" s="97" t="s">
        <v>399</v>
      </c>
      <c r="AP134" s="97" t="s">
        <v>400</v>
      </c>
      <c r="AQ134" s="412"/>
    </row>
    <row r="135" spans="2:43" ht="15.6" x14ac:dyDescent="0.3">
      <c r="B135" s="300" t="s">
        <v>209</v>
      </c>
      <c r="C135" s="155"/>
      <c r="D135" s="162">
        <f>ROUND((3460-D143),0)</f>
        <v>0</v>
      </c>
      <c r="E135" s="162">
        <f>ROUND((3677-E143),0)</f>
        <v>0</v>
      </c>
      <c r="F135" s="162">
        <f>ROUND((4025-F143),0)</f>
        <v>0</v>
      </c>
      <c r="G135" s="162">
        <f>ROUND((3889-G143),0)</f>
        <v>0</v>
      </c>
      <c r="H135" s="193"/>
      <c r="I135" s="162">
        <f>ROUND((3893-I143),0)</f>
        <v>0</v>
      </c>
      <c r="J135" s="162">
        <f>ROUND((4017-J143),0)</f>
        <v>0</v>
      </c>
      <c r="K135" s="162">
        <f>ROUND((4297-K143),0)</f>
        <v>0</v>
      </c>
      <c r="L135" s="162">
        <f>ROUND((4296-L143),0)</f>
        <v>0</v>
      </c>
      <c r="M135" s="59"/>
      <c r="N135" s="162">
        <f>ROUND((4245-N143),0)</f>
        <v>0</v>
      </c>
      <c r="O135" s="162">
        <f>ROUND((4525-O143),0)</f>
        <v>0</v>
      </c>
      <c r="P135" s="162">
        <f>ROUND((4828-P143),0)</f>
        <v>0</v>
      </c>
      <c r="Q135" s="162">
        <f>ROUND((4797-Q143),0)</f>
        <v>0</v>
      </c>
      <c r="R135" s="59"/>
      <c r="S135" s="54"/>
      <c r="T135" s="54"/>
      <c r="U135" s="54"/>
      <c r="V135" s="54"/>
      <c r="W135" s="59"/>
      <c r="X135" s="54"/>
      <c r="Y135" s="54"/>
      <c r="Z135" s="54"/>
      <c r="AA135" s="54"/>
      <c r="AB135" s="59"/>
      <c r="AC135" s="54"/>
      <c r="AD135" s="54"/>
      <c r="AE135" s="54"/>
      <c r="AF135" s="54"/>
      <c r="AG135" s="59"/>
      <c r="AH135" s="54"/>
      <c r="AI135" s="54"/>
      <c r="AJ135" s="54"/>
      <c r="AK135" s="54"/>
      <c r="AL135" s="59"/>
      <c r="AM135" s="54"/>
      <c r="AN135" s="54"/>
      <c r="AO135" s="54"/>
      <c r="AP135" s="54"/>
      <c r="AQ135" s="59"/>
    </row>
    <row r="136" spans="2:43" outlineLevel="1" x14ac:dyDescent="0.3">
      <c r="B136" s="628" t="s">
        <v>376</v>
      </c>
      <c r="C136" s="629"/>
      <c r="D136" s="269">
        <v>6717.4</v>
      </c>
      <c r="E136" s="269">
        <v>7623.4</v>
      </c>
      <c r="F136" s="269">
        <v>8339.4</v>
      </c>
      <c r="G136" s="269">
        <v>7453.4</v>
      </c>
      <c r="H136" s="59"/>
      <c r="I136" s="269">
        <v>7389.4</v>
      </c>
      <c r="J136" s="269">
        <v>8005.4</v>
      </c>
      <c r="K136" s="269">
        <v>8522.4</v>
      </c>
      <c r="L136" s="269">
        <v>7700.4</v>
      </c>
      <c r="M136" s="59"/>
      <c r="N136" s="269">
        <v>7688.4</v>
      </c>
      <c r="O136" s="269">
        <v>8576.4</v>
      </c>
      <c r="P136" s="269">
        <v>8993.4</v>
      </c>
      <c r="Q136" s="269">
        <v>8125.4</v>
      </c>
      <c r="R136" s="59"/>
      <c r="S136" s="269">
        <v>8221</v>
      </c>
      <c r="T136" s="129">
        <f>+O136*(1+T137)</f>
        <v>9200.4576839048786</v>
      </c>
      <c r="U136" s="129">
        <f>+P136*(1+U137)</f>
        <v>9651.032881217925</v>
      </c>
      <c r="V136" s="129">
        <f>+Q136*(1+V137)</f>
        <v>8755.8367845207613</v>
      </c>
      <c r="W136" s="55"/>
      <c r="X136" s="129">
        <f>+S136*(1+X137)</f>
        <v>8658.2545636973482</v>
      </c>
      <c r="Y136" s="129">
        <f>+T136*(1+Y137)</f>
        <v>9652.8082741717935</v>
      </c>
      <c r="Z136" s="129">
        <f>+U136*(1+Z137)</f>
        <v>10165.109518268957</v>
      </c>
      <c r="AA136" s="129">
        <f>+V136*(1+AA137)</f>
        <v>9266.3206768876607</v>
      </c>
      <c r="AB136" s="55"/>
      <c r="AC136" s="129">
        <f>+X136*(1+AC137)</f>
        <v>9121.3028362134155</v>
      </c>
      <c r="AD136" s="129">
        <f>+Y136*(1+AD137)</f>
        <v>10169.753000152565</v>
      </c>
      <c r="AE136" s="129">
        <f>+Z136*(1+AE137)</f>
        <v>10720.640345605545</v>
      </c>
      <c r="AF136" s="129">
        <f>+AA136*(1+AF137)</f>
        <v>9775.9387670568849</v>
      </c>
      <c r="AG136" s="55"/>
      <c r="AH136" s="129">
        <f>+AC136*(1+AH137)</f>
        <v>9592.6049583356216</v>
      </c>
      <c r="AI136" s="129">
        <f>+AD136*(1+AI137)</f>
        <v>10690.627048107453</v>
      </c>
      <c r="AJ136" s="129">
        <f>+AE136*(1+AJ137)</f>
        <v>11263.469263887018</v>
      </c>
      <c r="AK136" s="129">
        <f>+AF136*(1+AK137)</f>
        <v>10261.116799814445</v>
      </c>
      <c r="AL136" s="55"/>
      <c r="AM136" s="129">
        <f>+AH136*(1+AM137)</f>
        <v>10055.813299202437</v>
      </c>
      <c r="AN136" s="129">
        <f>+AI136*(1+AN137)</f>
        <v>11197.816712558744</v>
      </c>
      <c r="AO136" s="129">
        <f>+AJ136*(1+AO137)</f>
        <v>11787.204658389395</v>
      </c>
      <c r="AP136" s="129">
        <f>+AK136*(1+AP137)</f>
        <v>10727.635726990349</v>
      </c>
      <c r="AQ136" s="55"/>
    </row>
    <row r="137" spans="2:43" outlineLevel="1" x14ac:dyDescent="0.3">
      <c r="B137" s="146" t="s">
        <v>205</v>
      </c>
      <c r="C137" s="292"/>
      <c r="D137" s="171">
        <f>+D136/6456-1</f>
        <v>4.0489467162329484E-2</v>
      </c>
      <c r="E137" s="171">
        <f>+E136/6967-1</f>
        <v>9.4215587770920095E-2</v>
      </c>
      <c r="F137" s="171">
        <f>+F136/7496-1</f>
        <v>0.11251334044823902</v>
      </c>
      <c r="G137" s="171">
        <f>+G136/6746-1</f>
        <v>0.10486214052772014</v>
      </c>
      <c r="H137" s="89"/>
      <c r="I137" s="171">
        <f>+I136/D136-1</f>
        <v>0.10003870545151394</v>
      </c>
      <c r="J137" s="171">
        <f>+J136/E136-1</f>
        <v>5.0108875304982092E-2</v>
      </c>
      <c r="K137" s="171">
        <f>+K136/F136-1</f>
        <v>2.1944024749982027E-2</v>
      </c>
      <c r="L137" s="171">
        <f>+L136/G136-1</f>
        <v>3.3139238468349985E-2</v>
      </c>
      <c r="M137" s="89"/>
      <c r="N137" s="171">
        <f>+N136/I136-1</f>
        <v>4.0463366443824977E-2</v>
      </c>
      <c r="O137" s="171">
        <f>+O136/J136-1</f>
        <v>7.132685437329811E-2</v>
      </c>
      <c r="P137" s="171">
        <f>+P136/K136-1</f>
        <v>5.5266122219093106E-2</v>
      </c>
      <c r="Q137" s="171">
        <f>+Q136/L136-1</f>
        <v>5.5191938081138536E-2</v>
      </c>
      <c r="R137" s="89"/>
      <c r="S137" s="171">
        <f>+S136/N136-1</f>
        <v>6.927319078091676E-2</v>
      </c>
      <c r="T137" s="182">
        <f>AVERAGE(S137,Q137,P137,O137)+1%</f>
        <v>7.2764526363611623E-2</v>
      </c>
      <c r="U137" s="182">
        <f>AVERAGE(T137,S137,Q137,P137)+1%</f>
        <v>7.3123944361190005E-2</v>
      </c>
      <c r="V137" s="182">
        <f>AVERAGE(U137,T137,S137,Q137)+1%</f>
        <v>7.7588399896714219E-2</v>
      </c>
      <c r="W137" s="81"/>
      <c r="X137" s="182">
        <f>AVERAGE(V137,U137,T137,S137)-2%</f>
        <v>5.3187515350608144E-2</v>
      </c>
      <c r="Y137" s="182">
        <f>AVERAGE(X137,V137,U137,T137)-2%</f>
        <v>4.9166096493030997E-2</v>
      </c>
      <c r="Z137" s="182">
        <f>AVERAGE(Y137,X137,V137,U137)-1%</f>
        <v>5.3266489025385839E-2</v>
      </c>
      <c r="AA137" s="182">
        <f>AVERAGE(Z137,Y137,X137,V137)</f>
        <v>5.8302125191434795E-2</v>
      </c>
      <c r="AB137" s="62"/>
      <c r="AC137" s="147">
        <f>AVERAGE(AA137,Z137,Y137,X137)</f>
        <v>5.3480556515114942E-2</v>
      </c>
      <c r="AD137" s="147">
        <f>AVERAGE(AC137,AA137,Z137,Y137)</f>
        <v>5.355381680624164E-2</v>
      </c>
      <c r="AE137" s="147">
        <f>AVERAGE(AD137,AC137,AA137,Z137)</f>
        <v>5.4650746884544299E-2</v>
      </c>
      <c r="AF137" s="147">
        <f>AVERAGE(AE137,AD137,AC137,AA137)</f>
        <v>5.4996811349333916E-2</v>
      </c>
      <c r="AG137" s="62"/>
      <c r="AH137" s="182">
        <f>AVERAGE(AF137,AE137,AD137,AC137)-0.25%</f>
        <v>5.1670482888808697E-2</v>
      </c>
      <c r="AI137" s="182">
        <f>AVERAGE(AH137,AF137,AE137,AD137)-0.25%</f>
        <v>5.1217964482232134E-2</v>
      </c>
      <c r="AJ137" s="182">
        <f>AVERAGE(AI137,AH137,AF137,AE137)-0.25%</f>
        <v>5.0634001401229756E-2</v>
      </c>
      <c r="AK137" s="182">
        <f>AVERAGE(AJ137,AI137,AH137,AF137)-0.25%</f>
        <v>4.962981503040112E-2</v>
      </c>
      <c r="AL137" s="62"/>
      <c r="AM137" s="182">
        <f>AVERAGE(AK137,AJ137,AI137,AH137)-0.25%</f>
        <v>4.8288065950667924E-2</v>
      </c>
      <c r="AN137" s="182">
        <f>AVERAGE(AM137,AK137,AJ137,AI137)-0.25%</f>
        <v>4.7442461716132728E-2</v>
      </c>
      <c r="AO137" s="182">
        <f>AVERAGE(AN137,AM137,AK137,AJ137)-0.25%</f>
        <v>4.649858602460788E-2</v>
      </c>
      <c r="AP137" s="182">
        <f>AVERAGE(AO137,AN137,AM137,AK137)-0.25%</f>
        <v>4.5464732180452411E-2</v>
      </c>
      <c r="AQ137" s="62"/>
    </row>
    <row r="138" spans="2:43" outlineLevel="1" x14ac:dyDescent="0.3">
      <c r="B138" s="128" t="s">
        <v>208</v>
      </c>
      <c r="C138" s="292"/>
      <c r="D138" s="148">
        <v>7.9139999999999997</v>
      </c>
      <c r="E138" s="148">
        <v>7.6440000000000001</v>
      </c>
      <c r="F138" s="148">
        <v>7.6539999999999999</v>
      </c>
      <c r="G138" s="148">
        <v>8.0139999999999993</v>
      </c>
      <c r="H138" s="59"/>
      <c r="I138" s="148">
        <v>8.0939999999999994</v>
      </c>
      <c r="J138" s="148">
        <v>7.9539999999999997</v>
      </c>
      <c r="K138" s="148">
        <v>8.1240000000000006</v>
      </c>
      <c r="L138" s="148">
        <v>8.5739999999999998</v>
      </c>
      <c r="M138" s="59"/>
      <c r="N138" s="148">
        <v>8.4749999998999996</v>
      </c>
      <c r="O138" s="148">
        <v>8.3549999999000004</v>
      </c>
      <c r="P138" s="148">
        <v>8.6449999000000002</v>
      </c>
      <c r="Q138" s="148">
        <v>9.0500000000000007</v>
      </c>
      <c r="R138" s="59"/>
      <c r="S138" s="148">
        <v>8.9600000000000009</v>
      </c>
      <c r="T138" s="148">
        <f>+O138*(1+T139)</f>
        <v>8.829751277681531</v>
      </c>
      <c r="U138" s="148">
        <f>+P138*(1+U139)</f>
        <v>9.150077945390267</v>
      </c>
      <c r="V138" s="148">
        <f>+Q138*(1+V139)</f>
        <v>9.5658285729144623</v>
      </c>
      <c r="W138" s="55"/>
      <c r="X138" s="148">
        <f>+S138*(1+X139)</f>
        <v>9.2948161230430468</v>
      </c>
      <c r="Y138" s="148">
        <f>+T138*(1+Y139)</f>
        <v>9.1158621845232872</v>
      </c>
      <c r="Z138" s="148">
        <f>+U138*(1+Z139)</f>
        <v>9.4822094295573294</v>
      </c>
      <c r="AA138" s="148">
        <f>+V138*(1+AA139)</f>
        <v>9.9557957668173263</v>
      </c>
      <c r="AB138" s="55"/>
      <c r="AC138" s="148">
        <f>+X138*(1+AC139)</f>
        <v>9.636019135769379</v>
      </c>
      <c r="AD138" s="148">
        <f>+Y138*(1+AD139)</f>
        <v>9.4489943444546984</v>
      </c>
      <c r="AE138" s="148">
        <f>+Z138*(1+AE139)</f>
        <v>9.8385463408480849</v>
      </c>
      <c r="AF138" s="148">
        <f>+AA138*(1+AF139)</f>
        <v>10.333118941546287</v>
      </c>
      <c r="AG138" s="55"/>
      <c r="AH138" s="148">
        <f>+AC138*(1+AH139)</f>
        <v>9.9702265403082695</v>
      </c>
      <c r="AI138" s="148">
        <f>+AD138*(1+AI139)</f>
        <v>9.771929657623005</v>
      </c>
      <c r="AJ138" s="148">
        <f>+AE138*(1+AJ139)</f>
        <v>10.168971953755607</v>
      </c>
      <c r="AK138" s="148">
        <f>+AF138*(1+AK139)</f>
        <v>10.669835188835856</v>
      </c>
      <c r="AL138" s="55"/>
      <c r="AM138" s="148">
        <f>+AH138*(1+AM139)</f>
        <v>10.281872755815893</v>
      </c>
      <c r="AN138" s="148">
        <f>+AI138*(1+AN139)</f>
        <v>10.069009247704598</v>
      </c>
      <c r="AO138" s="148">
        <f>+AJ138*(1+AO139)</f>
        <v>10.468524264760331</v>
      </c>
      <c r="AP138" s="148">
        <f>+AK138*(1+AP139)</f>
        <v>10.97313221923441</v>
      </c>
      <c r="AQ138" s="55"/>
    </row>
    <row r="139" spans="2:43" outlineLevel="1" x14ac:dyDescent="0.3">
      <c r="B139" s="146" t="s">
        <v>204</v>
      </c>
      <c r="C139" s="292"/>
      <c r="D139" s="171">
        <f>+D138/7.15-1</f>
        <v>0.10685314685314684</v>
      </c>
      <c r="E139" s="171">
        <f>+E138/6.96-1</f>
        <v>9.8275862068965436E-2</v>
      </c>
      <c r="F139" s="171">
        <f>+F138/7.06-1</f>
        <v>8.4135977337110424E-2</v>
      </c>
      <c r="G139" s="171">
        <f>+G138/7.49-1</f>
        <v>6.9959946595460565E-2</v>
      </c>
      <c r="H139" s="89"/>
      <c r="I139" s="171">
        <f>+I138/D138-1</f>
        <v>2.2744503411675554E-2</v>
      </c>
      <c r="J139" s="171">
        <f>+J138/E138-1</f>
        <v>4.055468341182622E-2</v>
      </c>
      <c r="K139" s="171">
        <f>+K138/F138-1</f>
        <v>6.14058008884244E-2</v>
      </c>
      <c r="L139" s="171">
        <f>+L138/G138-1</f>
        <v>6.9877714000499136E-2</v>
      </c>
      <c r="M139" s="89"/>
      <c r="N139" s="171">
        <f>+N138/I138-1</f>
        <v>4.707190510254522E-2</v>
      </c>
      <c r="O139" s="171">
        <f>+O138/J138-1</f>
        <v>5.0414885579582736E-2</v>
      </c>
      <c r="P139" s="171">
        <f>+P138/K138-1</f>
        <v>6.4130957656326926E-2</v>
      </c>
      <c r="Q139" s="171">
        <f>+Q138/L138-1</f>
        <v>5.5516678329834424E-2</v>
      </c>
      <c r="R139" s="89"/>
      <c r="S139" s="171">
        <f>+S138/N138-1</f>
        <v>5.7227138655542742E-2</v>
      </c>
      <c r="T139" s="182">
        <f>AVERAGE(S139,Q139,P139,O139)</f>
        <v>5.6822415055321707E-2</v>
      </c>
      <c r="U139" s="182">
        <f>AVERAGE(T139,S139,Q139,P139)</f>
        <v>5.8424297424256449E-2</v>
      </c>
      <c r="V139" s="182">
        <f>AVERAGE(U139,T139,S139,Q139)</f>
        <v>5.699763236623883E-2</v>
      </c>
      <c r="W139" s="81"/>
      <c r="X139" s="182">
        <f>AVERAGE(V139,U139,T139,S139)-2%</f>
        <v>3.7367870875339937E-2</v>
      </c>
      <c r="Y139" s="182">
        <f>AVERAGE(X139,V139,U139,T139)-2%</f>
        <v>3.2403053930289236E-2</v>
      </c>
      <c r="Z139" s="182">
        <f>AVERAGE(Y139,X139,V139,U139)-1%</f>
        <v>3.6298213649031109E-2</v>
      </c>
      <c r="AA139" s="182">
        <f>AVERAGE(Z139,Y139,X139,V139)</f>
        <v>4.0766692705224782E-2</v>
      </c>
      <c r="AB139" s="62"/>
      <c r="AC139" s="147">
        <f>AVERAGE(AA139,Z139,Y139,X139)</f>
        <v>3.6708957789971269E-2</v>
      </c>
      <c r="AD139" s="147">
        <f>AVERAGE(AC139,AA139,Z139,Y139)</f>
        <v>3.6544229518629096E-2</v>
      </c>
      <c r="AE139" s="147">
        <f>AVERAGE(AD139,AC139,AA139,Z139)</f>
        <v>3.7579523415714064E-2</v>
      </c>
      <c r="AF139" s="147">
        <f>AVERAGE(AE139,AD139,AC139,AA139)</f>
        <v>3.7899850857384801E-2</v>
      </c>
      <c r="AG139" s="62"/>
      <c r="AH139" s="182">
        <f>AVERAGE(AF139,AE139,AD139,AC139)-0.25%</f>
        <v>3.4683140395424805E-2</v>
      </c>
      <c r="AI139" s="182">
        <f>AVERAGE(AH139,AF139,AE139,AD139)-0.25%</f>
        <v>3.4176686046788189E-2</v>
      </c>
      <c r="AJ139" s="182">
        <f>AVERAGE(AI139,AH139,AF139,AE139)-0.25%</f>
        <v>3.3584800178827964E-2</v>
      </c>
      <c r="AK139" s="182">
        <f>AVERAGE(AJ139,AI139,AH139,AF139)-0.25%</f>
        <v>3.2586119369606439E-2</v>
      </c>
      <c r="AL139" s="62"/>
      <c r="AM139" s="182">
        <f>AVERAGE(AK139,AJ139,AI139,AH139)-0.25%</f>
        <v>3.1257686497661849E-2</v>
      </c>
      <c r="AN139" s="182">
        <f>AVERAGE(AM139,AK139,AJ139,AI139)-0.25%</f>
        <v>3.040132302322111E-2</v>
      </c>
      <c r="AO139" s="182">
        <f>AVERAGE(AN139,AM139,AK139,AJ139)-0.25%</f>
        <v>2.9457482267329343E-2</v>
      </c>
      <c r="AP139" s="182">
        <f>AVERAGE(AO139,AN139,AM139,AK139)-0.25%</f>
        <v>2.8425652789454685E-2</v>
      </c>
      <c r="AQ139" s="62"/>
    </row>
    <row r="140" spans="2:43" outlineLevel="1" x14ac:dyDescent="0.3">
      <c r="B140" s="128" t="s">
        <v>329</v>
      </c>
      <c r="C140" s="292"/>
      <c r="D140" s="144">
        <v>5</v>
      </c>
      <c r="E140" s="144">
        <v>6</v>
      </c>
      <c r="F140" s="144">
        <v>4</v>
      </c>
      <c r="G140" s="144">
        <v>6</v>
      </c>
      <c r="H140" s="59"/>
      <c r="I140" s="144">
        <v>5</v>
      </c>
      <c r="J140" s="144">
        <v>5</v>
      </c>
      <c r="K140" s="144">
        <v>4</v>
      </c>
      <c r="L140" s="144">
        <v>4</v>
      </c>
      <c r="M140" s="59"/>
      <c r="N140" s="144">
        <v>10</v>
      </c>
      <c r="O140" s="144">
        <v>11</v>
      </c>
      <c r="P140" s="144">
        <v>8</v>
      </c>
      <c r="Q140" s="144">
        <v>17</v>
      </c>
      <c r="R140" s="59"/>
      <c r="S140" s="269">
        <v>11</v>
      </c>
      <c r="T140" s="129">
        <f>+O140*(1+T141)</f>
        <v>11</v>
      </c>
      <c r="U140" s="129">
        <f>+P140*(1+U141)</f>
        <v>8</v>
      </c>
      <c r="V140" s="129">
        <f>+Q140*(1+V141)</f>
        <v>17</v>
      </c>
      <c r="W140" s="55"/>
      <c r="X140" s="129">
        <f>+S140*(1+X141)</f>
        <v>11.055000000000001</v>
      </c>
      <c r="Y140" s="129">
        <f>+T140*(1+Y141)</f>
        <v>10.793749999999999</v>
      </c>
      <c r="Z140" s="129">
        <f>+U140*(1+Z141)</f>
        <v>7.8925000000000001</v>
      </c>
      <c r="AA140" s="129">
        <f>+V140*(1+AA141)</f>
        <v>16.884453125</v>
      </c>
      <c r="AB140" s="55"/>
      <c r="AC140" s="129">
        <f>+X140*(1+AC141)</f>
        <v>10.961075683593752</v>
      </c>
      <c r="AD140" s="129">
        <f>+Y140*(1+AD141)</f>
        <v>10.665626922607421</v>
      </c>
      <c r="AE140" s="129">
        <f>+Z140*(1+AE141)</f>
        <v>7.812389968872071</v>
      </c>
      <c r="AF140" s="129">
        <f>+AA140*(1+AF141)</f>
        <v>16.726949744057656</v>
      </c>
      <c r="AG140" s="55"/>
      <c r="AH140" s="129">
        <f>+AC140*(1+AH141)</f>
        <v>10.824487895776594</v>
      </c>
      <c r="AI140" s="129">
        <f>+AD140*(1+AI141)</f>
        <v>10.52214827460517</v>
      </c>
      <c r="AJ140" s="129">
        <f>+AE140*(1+AJ141)</f>
        <v>7.7042038841638094</v>
      </c>
      <c r="AK140" s="129">
        <f>+AF140*(1+AK141)</f>
        <v>16.479851201354744</v>
      </c>
      <c r="AL140" s="55"/>
      <c r="AM140" s="129">
        <f>+AH140*(1+AM141)</f>
        <v>10.649850761805773</v>
      </c>
      <c r="AN140" s="129">
        <f>+AI140*(1+AN141)</f>
        <v>10.342728671600788</v>
      </c>
      <c r="AO140" s="129">
        <f>+AJ140*(1+AO141)</f>
        <v>7.5659025774211495</v>
      </c>
      <c r="AP140" s="129">
        <f>+AK140*(1+AP141)</f>
        <v>16.167108838850925</v>
      </c>
      <c r="AQ140" s="55"/>
    </row>
    <row r="141" spans="2:43" outlineLevel="1" x14ac:dyDescent="0.3">
      <c r="B141" s="146" t="s">
        <v>327</v>
      </c>
      <c r="C141" s="292"/>
      <c r="D141" s="171"/>
      <c r="E141" s="171"/>
      <c r="F141" s="171"/>
      <c r="G141" s="171"/>
      <c r="H141" s="89"/>
      <c r="I141" s="171">
        <f>+I140/D140-1</f>
        <v>0</v>
      </c>
      <c r="J141" s="171">
        <f>+J140/E140-1</f>
        <v>-0.16666666666666663</v>
      </c>
      <c r="K141" s="171">
        <f>+K140/F140-1</f>
        <v>0</v>
      </c>
      <c r="L141" s="171">
        <f>+L140/G140-1</f>
        <v>-0.33333333333333337</v>
      </c>
      <c r="M141" s="89"/>
      <c r="N141" s="171">
        <f>+N140/I140-1</f>
        <v>1</v>
      </c>
      <c r="O141" s="171">
        <f>+O140/J140-1</f>
        <v>1.2000000000000002</v>
      </c>
      <c r="P141" s="171">
        <f>+P140/K140-1</f>
        <v>1</v>
      </c>
      <c r="Q141" s="171">
        <f>+Q140/L140-1</f>
        <v>3.25</v>
      </c>
      <c r="R141" s="89"/>
      <c r="S141" s="171">
        <f>+S140/N140-1</f>
        <v>0.10000000000000009</v>
      </c>
      <c r="T141" s="147">
        <v>0</v>
      </c>
      <c r="U141" s="147">
        <v>0</v>
      </c>
      <c r="V141" s="147">
        <v>0</v>
      </c>
      <c r="W141" s="62"/>
      <c r="X141" s="147">
        <f>AVERAGE(V141,U141,T141,S141)-2%</f>
        <v>5.0000000000000218E-3</v>
      </c>
      <c r="Y141" s="147">
        <f>AVERAGE(X141,V141,U141,T141)-2%</f>
        <v>-1.8749999999999996E-2</v>
      </c>
      <c r="Z141" s="147">
        <f>AVERAGE(Y141,X141,V141,U141)-1%</f>
        <v>-1.3437499999999995E-2</v>
      </c>
      <c r="AA141" s="147">
        <f>AVERAGE(Z141,Y141,X141,V141)</f>
        <v>-6.796874999999993E-3</v>
      </c>
      <c r="AB141" s="62"/>
      <c r="AC141" s="147">
        <f>AVERAGE(AA141,Z141,Y141,X141)</f>
        <v>-8.4960937499999924E-3</v>
      </c>
      <c r="AD141" s="147">
        <f>AVERAGE(AC141,AA141,Z141,Y141)</f>
        <v>-1.1870117187499994E-2</v>
      </c>
      <c r="AE141" s="147">
        <f>AVERAGE(AD141,AC141,AA141,Z141)</f>
        <v>-1.0150146484374994E-2</v>
      </c>
      <c r="AF141" s="147">
        <f>AVERAGE(AE141,AD141,AC141,AA141)</f>
        <v>-9.3283081054687435E-3</v>
      </c>
      <c r="AG141" s="62"/>
      <c r="AH141" s="182">
        <f>AVERAGE(AF141,AE141,AD141,AC141)-0.25%</f>
        <v>-1.2461166381835932E-2</v>
      </c>
      <c r="AI141" s="182">
        <f>AVERAGE(AH141,AF141,AE141,AD141)-0.25%</f>
        <v>-1.3452434539794916E-2</v>
      </c>
      <c r="AJ141" s="182">
        <f>AVERAGE(AI141,AH141,AF141,AE141)-0.25%</f>
        <v>-1.3848013877868647E-2</v>
      </c>
      <c r="AK141" s="182">
        <f>AVERAGE(AJ141,AI141,AH141,AF141)-0.25%</f>
        <v>-1.4772480726242061E-2</v>
      </c>
      <c r="AL141" s="62"/>
      <c r="AM141" s="182">
        <f>AVERAGE(AK141,AJ141,AI141,AH141)-0.25%</f>
        <v>-1.613352388143539E-2</v>
      </c>
      <c r="AN141" s="182">
        <f>AVERAGE(AM141,AK141,AJ141,AI141)-0.25%</f>
        <v>-1.7051613256335252E-2</v>
      </c>
      <c r="AO141" s="182">
        <f>AVERAGE(AN141,AM141,AK141,AJ141)-0.25%</f>
        <v>-1.7951407935470336E-2</v>
      </c>
      <c r="AP141" s="182">
        <f>AVERAGE(AO141,AN141,AM141,AK141)-0.25%</f>
        <v>-1.8977256449870757E-2</v>
      </c>
      <c r="AQ141" s="62"/>
    </row>
    <row r="142" spans="2:43" x14ac:dyDescent="0.3">
      <c r="B142" s="296" t="s">
        <v>333</v>
      </c>
      <c r="C142" s="297"/>
      <c r="D142" s="144">
        <v>65</v>
      </c>
      <c r="E142" s="144">
        <v>63</v>
      </c>
      <c r="F142" s="144">
        <v>63</v>
      </c>
      <c r="G142" s="144">
        <v>65</v>
      </c>
      <c r="H142" s="59"/>
      <c r="I142" s="144">
        <v>65</v>
      </c>
      <c r="J142" s="144">
        <v>63</v>
      </c>
      <c r="K142" s="144">
        <v>62</v>
      </c>
      <c r="L142" s="144">
        <v>65</v>
      </c>
      <c r="M142" s="59"/>
      <c r="N142" s="144">
        <v>65</v>
      </c>
      <c r="O142" s="144">
        <v>63</v>
      </c>
      <c r="P142" s="144">
        <v>62</v>
      </c>
      <c r="Q142" s="144">
        <v>65</v>
      </c>
      <c r="R142" s="59"/>
      <c r="S142" s="144">
        <v>65</v>
      </c>
      <c r="T142" s="145">
        <v>63</v>
      </c>
      <c r="U142" s="145">
        <v>62</v>
      </c>
      <c r="V142" s="145">
        <v>65</v>
      </c>
      <c r="W142" s="59"/>
      <c r="X142" s="145">
        <v>65</v>
      </c>
      <c r="Y142" s="145">
        <v>63</v>
      </c>
      <c r="Z142" s="145">
        <v>62</v>
      </c>
      <c r="AA142" s="145">
        <v>65</v>
      </c>
      <c r="AB142" s="59"/>
      <c r="AC142" s="145">
        <v>65</v>
      </c>
      <c r="AD142" s="145">
        <v>63</v>
      </c>
      <c r="AE142" s="145">
        <v>62</v>
      </c>
      <c r="AF142" s="145">
        <v>65</v>
      </c>
      <c r="AG142" s="59"/>
      <c r="AH142" s="145">
        <v>65</v>
      </c>
      <c r="AI142" s="145">
        <v>63</v>
      </c>
      <c r="AJ142" s="145">
        <v>62</v>
      </c>
      <c r="AK142" s="145">
        <v>65</v>
      </c>
      <c r="AL142" s="59"/>
      <c r="AM142" s="145">
        <v>65</v>
      </c>
      <c r="AN142" s="145">
        <v>63</v>
      </c>
      <c r="AO142" s="145">
        <v>62</v>
      </c>
      <c r="AP142" s="145">
        <v>65</v>
      </c>
      <c r="AQ142" s="59"/>
    </row>
    <row r="143" spans="2:43" outlineLevel="1" x14ac:dyDescent="0.3">
      <c r="B143" s="124" t="s">
        <v>261</v>
      </c>
      <c r="C143" s="125"/>
      <c r="D143" s="149">
        <f>(D136*D138*D142/1000)+D140</f>
        <v>3460.4977339999996</v>
      </c>
      <c r="E143" s="149">
        <f>(E136*E138*E142/1000)+E140</f>
        <v>3677.2159847999997</v>
      </c>
      <c r="F143" s="149">
        <f>(F136*F138*F142/1000)+F140</f>
        <v>4025.2753588</v>
      </c>
      <c r="G143" s="149">
        <f>(G136*G138*G142/1000)+G140</f>
        <v>3888.5505939999994</v>
      </c>
      <c r="H143" s="61"/>
      <c r="I143" s="149">
        <f>(I136*I138*I142/1000)+I140</f>
        <v>3892.6372339999998</v>
      </c>
      <c r="J143" s="149">
        <f>(J136*J138*J142/1000)+J140</f>
        <v>4016.5219507999996</v>
      </c>
      <c r="K143" s="149">
        <f>(K136*K138*K142/1000)+K140</f>
        <v>4296.6306112000002</v>
      </c>
      <c r="L143" s="149">
        <f>(L136*L138*L142/1000)+L140</f>
        <v>4295.509924</v>
      </c>
      <c r="M143" s="61"/>
      <c r="N143" s="149">
        <f>(N136*N138*N142/1000)+N140</f>
        <v>4245.3473499500251</v>
      </c>
      <c r="O143" s="149">
        <f>(O136*O138*O142/1000)+O140</f>
        <v>4525.3167859459691</v>
      </c>
      <c r="P143" s="149">
        <f>(P136*P138*P142/1000)+P140</f>
        <v>4828.3724102409205</v>
      </c>
      <c r="Q143" s="149">
        <f>(Q136*Q138*Q142/1000)+Q140</f>
        <v>4796.7665499999994</v>
      </c>
      <c r="R143" s="61"/>
      <c r="S143" s="149">
        <f>(S136*S138*S142/1000)+S140</f>
        <v>4798.9104000000007</v>
      </c>
      <c r="T143" s="149">
        <f>(T136*T138*T142/1000)+T140</f>
        <v>5128.9784383519791</v>
      </c>
      <c r="U143" s="149">
        <f>(U136*U138*U142/1000)+U140</f>
        <v>5483.0775932334418</v>
      </c>
      <c r="V143" s="149">
        <f>(V136*V138*V142/1000)+V140</f>
        <v>5461.1941900543716</v>
      </c>
      <c r="W143" s="56"/>
      <c r="X143" s="149">
        <f>(X136*X138*X142/1000)+X140</f>
        <v>5242.0524675442348</v>
      </c>
      <c r="Y143" s="149">
        <f>(Y136*Y138*Y142/1000)+Y140</f>
        <v>5554.3949550214966</v>
      </c>
      <c r="Z143" s="149">
        <f>(Z136*Z138*Z142/1000)+Z140</f>
        <v>5983.9297342499976</v>
      </c>
      <c r="AA143" s="149">
        <f>(AA136*AA138*AA142/1000)+AA140</f>
        <v>6013.3682041054517</v>
      </c>
      <c r="AB143" s="56"/>
      <c r="AC143" s="149">
        <f>(AC136*AC138*AC142/1000)+AC140</f>
        <v>5724.0092394220919</v>
      </c>
      <c r="AD143" s="149">
        <f>(AD136*AD138*AD142/1000)+AD140</f>
        <v>6064.5837576480035</v>
      </c>
      <c r="AE143" s="149">
        <f>(AE136*AE138*AE142/1000)+AE140</f>
        <v>6547.2944342848305</v>
      </c>
      <c r="AF143" s="149">
        <f>(AF136*AF138*AF142/1000)+AF140</f>
        <v>6582.7629226867475</v>
      </c>
      <c r="AG143" s="56"/>
      <c r="AH143" s="149">
        <f>(AH136*AH138*AH142/1000)+AH140</f>
        <v>6227.4533834046606</v>
      </c>
      <c r="AI143" s="149">
        <f>(AI136*AI138*AI142/1000)+AI140</f>
        <v>6592.009645403843</v>
      </c>
      <c r="AJ143" s="149">
        <f>(AJ136*AJ138*AJ142/1000)+AJ140</f>
        <v>7109.0541927643981</v>
      </c>
      <c r="AK143" s="149">
        <f>(AK136*AK138*AK142/1000)+AK140</f>
        <v>7132.9674831833254</v>
      </c>
      <c r="AL143" s="56"/>
      <c r="AM143" s="149">
        <f>(AM136*AM138*AM142/1000)+AM140</f>
        <v>6731.1683826734497</v>
      </c>
      <c r="AN143" s="149">
        <f>(AN136*AN138*AN142/1000)+AN140</f>
        <v>7113.6506907414714</v>
      </c>
      <c r="AO143" s="149">
        <f>(AO136*AO138*AO142/1000)+AO140</f>
        <v>7658.0334573402361</v>
      </c>
      <c r="AP143" s="149">
        <f>(AP136*AP138*AP142/1000)+AP140</f>
        <v>7667.6918489219679</v>
      </c>
      <c r="AQ143" s="56"/>
    </row>
    <row r="144" spans="2:43" outlineLevel="1" x14ac:dyDescent="0.3">
      <c r="B144" s="140" t="s">
        <v>262</v>
      </c>
      <c r="C144" s="139"/>
      <c r="D144" s="325">
        <f>ROUND((524-D149),0)</f>
        <v>0</v>
      </c>
      <c r="E144" s="325">
        <f>ROUND((511-E149),0)</f>
        <v>0</v>
      </c>
      <c r="F144" s="325">
        <f>ROUND((549-F149),0)</f>
        <v>0</v>
      </c>
      <c r="G144" s="325">
        <f>ROUND((656-G149),0)</f>
        <v>0</v>
      </c>
      <c r="H144" s="141"/>
      <c r="I144" s="325">
        <f>ROUND((596-I149),0)</f>
        <v>0</v>
      </c>
      <c r="J144" s="325">
        <f>ROUND((450-J149),0)</f>
        <v>0</v>
      </c>
      <c r="K144" s="325">
        <f>ROUND((501-K149),0)</f>
        <v>0</v>
      </c>
      <c r="L144" s="325">
        <f>ROUND((696-L149),0)</f>
        <v>0</v>
      </c>
      <c r="M144" s="141"/>
      <c r="N144" s="325">
        <f>ROUND((606-N149),0)</f>
        <v>0</v>
      </c>
      <c r="O144" s="325">
        <f>ROUND((496-O149),0)</f>
        <v>0</v>
      </c>
      <c r="P144" s="325">
        <f>ROUND((614-P149),0)</f>
        <v>0</v>
      </c>
      <c r="Q144" s="325">
        <f>ROUND((813-Q149),0)</f>
        <v>1</v>
      </c>
      <c r="R144" s="152"/>
      <c r="S144" s="326"/>
      <c r="T144" s="326"/>
      <c r="U144" s="326"/>
      <c r="V144" s="326"/>
      <c r="W144" s="141"/>
      <c r="X144" s="326"/>
      <c r="Y144" s="326"/>
      <c r="Z144" s="326"/>
      <c r="AA144" s="326"/>
      <c r="AB144" s="141"/>
      <c r="AC144" s="326"/>
      <c r="AD144" s="326"/>
      <c r="AE144" s="326"/>
      <c r="AF144" s="326"/>
      <c r="AG144" s="141"/>
      <c r="AH144" s="326"/>
      <c r="AI144" s="326"/>
      <c r="AJ144" s="326"/>
      <c r="AK144" s="326"/>
      <c r="AL144" s="141"/>
      <c r="AM144" s="326"/>
      <c r="AN144" s="326"/>
      <c r="AO144" s="326"/>
      <c r="AP144" s="326"/>
      <c r="AQ144" s="141"/>
    </row>
    <row r="145" spans="2:43" outlineLevel="1" x14ac:dyDescent="0.3">
      <c r="B145" s="132" t="s">
        <v>159</v>
      </c>
      <c r="C145" s="139"/>
      <c r="D145" s="173">
        <v>3</v>
      </c>
      <c r="E145" s="173">
        <v>2</v>
      </c>
      <c r="F145" s="173">
        <v>3</v>
      </c>
      <c r="G145" s="173">
        <v>2</v>
      </c>
      <c r="H145" s="141"/>
      <c r="I145" s="173">
        <v>2</v>
      </c>
      <c r="J145" s="173">
        <v>3</v>
      </c>
      <c r="K145" s="173">
        <v>3</v>
      </c>
      <c r="L145" s="173">
        <v>2</v>
      </c>
      <c r="M145" s="141"/>
      <c r="N145" s="173">
        <v>2</v>
      </c>
      <c r="O145" s="173">
        <v>4</v>
      </c>
      <c r="P145" s="173">
        <v>4</v>
      </c>
      <c r="Q145" s="173">
        <v>3</v>
      </c>
      <c r="R145" s="141"/>
      <c r="S145" s="173">
        <v>3</v>
      </c>
      <c r="T145" s="145">
        <f>+S145/S136*T136</f>
        <v>3.357422825898873</v>
      </c>
      <c r="U145" s="145">
        <f t="shared" ref="U145:V145" si="33">+T145/T136*U136</f>
        <v>3.5218463257090105</v>
      </c>
      <c r="V145" s="145">
        <f t="shared" si="33"/>
        <v>3.1951721631872378</v>
      </c>
      <c r="W145" s="141"/>
      <c r="X145" s="145">
        <f>+V145/V136*X136</f>
        <v>3.159562546051824</v>
      </c>
      <c r="Y145" s="145">
        <f>+X145/X136*Y136</f>
        <v>3.5224942005249216</v>
      </c>
      <c r="Z145" s="145">
        <f t="shared" ref="Z145:AA145" si="34">+Y145/Y136*Z136</f>
        <v>3.7094427143664848</v>
      </c>
      <c r="AA145" s="145">
        <f t="shared" si="34"/>
        <v>3.3814574906535682</v>
      </c>
      <c r="AB145" s="141"/>
      <c r="AC145" s="145">
        <f>(AA145/AA136*AC136)*(1+0.5%)</f>
        <v>3.3451803979057835</v>
      </c>
      <c r="AD145" s="145">
        <f>(AC145/AC136*AD136)*(1+0.5%)</f>
        <v>3.7483413601675313</v>
      </c>
      <c r="AE145" s="145">
        <f t="shared" ref="AE145:AF145" si="35">(AD145/AD136*AE136)*(1+0.5%)</f>
        <v>3.971142928681032</v>
      </c>
      <c r="AF145" s="145">
        <f t="shared" si="35"/>
        <v>3.6393123077335199</v>
      </c>
      <c r="AG145" s="141"/>
      <c r="AH145" s="145">
        <f>(AF145/AF136*AH136)*(1+0.5%)</f>
        <v>3.5889174994392374</v>
      </c>
      <c r="AI145" s="145">
        <f>(AH145/AH136*AI136)*(1+0.5%)</f>
        <v>4.0197232715070825</v>
      </c>
      <c r="AJ145" s="145">
        <f t="shared" ref="AJ145:AK145" si="36">(AI145/AI136*AJ136)*(1+0.5%)</f>
        <v>4.2562900623865998</v>
      </c>
      <c r="AK145" s="145">
        <f t="shared" si="36"/>
        <v>3.8969042204507476</v>
      </c>
      <c r="AL145" s="141"/>
      <c r="AM145" s="145">
        <f>(AK145/AK136*AM136)*(1+0.5%)</f>
        <v>3.8380299883992675</v>
      </c>
      <c r="AN145" s="145">
        <f>(AM145/AM136*AN136)*(1+0.5%)</f>
        <v>4.2952710878752791</v>
      </c>
      <c r="AO145" s="145">
        <f t="shared" ref="AO145:AP145" si="37">(AN145/AN136*AO136)*(1+0.5%)</f>
        <v>4.5439559227525699</v>
      </c>
      <c r="AP145" s="145">
        <f t="shared" si="37"/>
        <v>4.1561705966830784</v>
      </c>
      <c r="AQ145" s="141"/>
    </row>
    <row r="146" spans="2:43" outlineLevel="1" x14ac:dyDescent="0.3">
      <c r="B146" s="132" t="s">
        <v>158</v>
      </c>
      <c r="C146" s="139"/>
      <c r="D146" s="173">
        <v>132</v>
      </c>
      <c r="E146" s="173">
        <v>136</v>
      </c>
      <c r="F146" s="173">
        <v>145</v>
      </c>
      <c r="G146" s="173">
        <v>143</v>
      </c>
      <c r="H146" s="141"/>
      <c r="I146" s="173">
        <v>145</v>
      </c>
      <c r="J146" s="173">
        <v>155</v>
      </c>
      <c r="K146" s="173">
        <v>165</v>
      </c>
      <c r="L146" s="173">
        <v>162</v>
      </c>
      <c r="M146" s="141"/>
      <c r="N146" s="173">
        <v>161</v>
      </c>
      <c r="O146" s="173">
        <v>166</v>
      </c>
      <c r="P146" s="173">
        <v>177</v>
      </c>
      <c r="Q146" s="173">
        <v>177</v>
      </c>
      <c r="R146" s="141"/>
      <c r="S146" s="173">
        <v>173</v>
      </c>
      <c r="T146" s="173">
        <f>S146/(S67+S146+S163+S177)*T18</f>
        <v>159.20666330494603</v>
      </c>
      <c r="U146" s="173">
        <f>T146/(T67+T146+T163+T177)*U18</f>
        <v>161.22862955351263</v>
      </c>
      <c r="V146" s="173">
        <f>U146/(U67+U146+U163+U177)*V18</f>
        <v>165.37585392129211</v>
      </c>
      <c r="W146" s="141"/>
      <c r="X146" s="173">
        <f>V146/(V67+V146+V163+V177)*X18</f>
        <v>171.50518000056172</v>
      </c>
      <c r="Y146" s="173">
        <f>X146/(X67+X146+X163+X177)*Y18</f>
        <v>175.56966052816031</v>
      </c>
      <c r="Z146" s="173">
        <f>Y146/(Y67+Y146+Y163+Y177)*Z18</f>
        <v>177.68651487414817</v>
      </c>
      <c r="AA146" s="173">
        <f>Z146/(Z67+Z146+Z163+Z177)*AA18</f>
        <v>181.99292612892634</v>
      </c>
      <c r="AB146" s="141"/>
      <c r="AC146" s="173">
        <f>AA146/(AA67+AA146+AA163+AA177)*AC18</f>
        <v>188.44243194726147</v>
      </c>
      <c r="AD146" s="173">
        <f>AC146/(AC67+AC146+AC163+AC177)*AD18</f>
        <v>192.76664609454639</v>
      </c>
      <c r="AE146" s="173">
        <f>AD146/(AD67+AD146+AD163+AD177)*AE18</f>
        <v>194.9985108130065</v>
      </c>
      <c r="AF146" s="173">
        <f>AE146/(AE67+AE146+AE163+AE177)*AF18</f>
        <v>199.53582390179645</v>
      </c>
      <c r="AG146" s="141"/>
      <c r="AH146" s="173">
        <f>AF146/(AF67+AF146+AF163+AF177)*AH18</f>
        <v>206.34431757239653</v>
      </c>
      <c r="AI146" s="173">
        <f>AH146/(AH67+AH146+AH163+AH177)*AI18</f>
        <v>210.89993036048986</v>
      </c>
      <c r="AJ146" s="173">
        <f>AI146/(AI67+AI146+AI163+AI177)*AJ18</f>
        <v>213.24716444068031</v>
      </c>
      <c r="AK146" s="173">
        <f>AJ146/(AJ67+AJ146+AJ163+AJ177)*AK18</f>
        <v>218.01476985218488</v>
      </c>
      <c r="AL146" s="141"/>
      <c r="AM146" s="173">
        <f>AK146/(AK67+AK146+AK163+AK177)*AM18</f>
        <v>225.16805667567738</v>
      </c>
      <c r="AN146" s="173">
        <f>AM146/(AM67+AM146+AM163+AM177)*AN18</f>
        <v>229.9422272876335</v>
      </c>
      <c r="AO146" s="173">
        <f>AN146/(AN67+AN146+AN163+AN177)*AO18</f>
        <v>232.39942785489217</v>
      </c>
      <c r="AP146" s="173">
        <f>AO146/(AO67+AO146+AO163+AO177)*AP18</f>
        <v>237.38691119596899</v>
      </c>
      <c r="AQ146" s="141"/>
    </row>
    <row r="147" spans="2:43" outlineLevel="1" x14ac:dyDescent="0.3">
      <c r="B147" s="132" t="s">
        <v>254</v>
      </c>
      <c r="C147" s="139"/>
      <c r="D147" s="173">
        <v>2801</v>
      </c>
      <c r="E147" s="173">
        <v>3028</v>
      </c>
      <c r="F147" s="173">
        <v>3328</v>
      </c>
      <c r="G147" s="173">
        <v>3088</v>
      </c>
      <c r="H147" s="141"/>
      <c r="I147" s="173">
        <f>3141+9</f>
        <v>3150</v>
      </c>
      <c r="J147" s="173">
        <f>3400+9</f>
        <v>3409</v>
      </c>
      <c r="K147" s="173">
        <f>3618+10</f>
        <v>3628</v>
      </c>
      <c r="L147" s="173">
        <f>3428+8</f>
        <v>3436</v>
      </c>
      <c r="M147" s="141"/>
      <c r="N147" s="173">
        <f>3457+19</f>
        <v>3476</v>
      </c>
      <c r="O147" s="173">
        <f>3840+19</f>
        <v>3859</v>
      </c>
      <c r="P147" s="173">
        <f>4014+19</f>
        <v>4033</v>
      </c>
      <c r="Q147" s="173">
        <f>3786+19</f>
        <v>3805</v>
      </c>
      <c r="R147" s="141"/>
      <c r="S147" s="173">
        <v>3956</v>
      </c>
      <c r="T147" s="173">
        <f>+T148*T143</f>
        <v>4399.4221833351094</v>
      </c>
      <c r="U147" s="173">
        <f>+U148*U143</f>
        <v>4593.5640212639955</v>
      </c>
      <c r="V147" s="173">
        <f>+V148*V143</f>
        <v>4332.0523683098327</v>
      </c>
      <c r="W147" s="141"/>
      <c r="X147" s="173">
        <f>+X148*X143</f>
        <v>4282.352512980412</v>
      </c>
      <c r="Y147" s="173">
        <f>+Y148*Y143</f>
        <v>4780.5361520857487</v>
      </c>
      <c r="Z147" s="173">
        <f>+Z148*Z143</f>
        <v>5030.6265582542301</v>
      </c>
      <c r="AA147" s="173">
        <f>+AA148*AA143</f>
        <v>4787.6093606261684</v>
      </c>
      <c r="AB147" s="141"/>
      <c r="AC147" s="173">
        <f>+AC148*AC143</f>
        <v>4618.8339268049094</v>
      </c>
      <c r="AD147" s="173">
        <f>+AD148*AD143</f>
        <v>5158.9977303656769</v>
      </c>
      <c r="AE147" s="173">
        <f>+AE148*AE143</f>
        <v>5438.7683700735161</v>
      </c>
      <c r="AF147" s="173">
        <f>+AF148*AF143</f>
        <v>5175.1116111012943</v>
      </c>
      <c r="AG147" s="141"/>
      <c r="AH147" s="173">
        <f>+AH148*AH143</f>
        <v>5040.6431505935507</v>
      </c>
      <c r="AI147" s="173">
        <f>+AI148*AI143</f>
        <v>5624.1464622758349</v>
      </c>
      <c r="AJ147" s="173">
        <f>+AJ148*AJ143</f>
        <v>5923.1889067098127</v>
      </c>
      <c r="AK147" s="173">
        <f>+AK148*AK143</f>
        <v>5625.4934080792164</v>
      </c>
      <c r="AL147" s="141"/>
      <c r="AM147" s="173">
        <f>+AM148*AM143</f>
        <v>5465.1895087017156</v>
      </c>
      <c r="AN147" s="173">
        <f>+AN148*AN143</f>
        <v>6086.9823710125984</v>
      </c>
      <c r="AO147" s="173">
        <f>+AO148*AO143</f>
        <v>6399.7377183003919</v>
      </c>
      <c r="AP147" s="173">
        <f>+AP148*AP143</f>
        <v>6066.3789011912868</v>
      </c>
      <c r="AQ147" s="141"/>
    </row>
    <row r="148" spans="2:43" outlineLevel="1" x14ac:dyDescent="0.3">
      <c r="B148" s="132" t="s">
        <v>256</v>
      </c>
      <c r="C148" s="139"/>
      <c r="D148" s="326">
        <f>+D147/D143</f>
        <v>0.80942113398303428</v>
      </c>
      <c r="E148" s="326">
        <f>+E147/E143</f>
        <v>0.82344904746319658</v>
      </c>
      <c r="F148" s="326">
        <f>+F147/F143</f>
        <v>0.82677573665224502</v>
      </c>
      <c r="G148" s="326">
        <f>+G147/G143</f>
        <v>0.79412622398812505</v>
      </c>
      <c r="H148" s="141"/>
      <c r="I148" s="326">
        <f>+I147/I143</f>
        <v>0.80922002504793389</v>
      </c>
      <c r="J148" s="326">
        <f>+J147/J143</f>
        <v>0.84874427222313698</v>
      </c>
      <c r="K148" s="326">
        <f>+K147/K143</f>
        <v>0.84438257050604137</v>
      </c>
      <c r="L148" s="326">
        <f>+L147/L143</f>
        <v>0.7999050312518845</v>
      </c>
      <c r="M148" s="327"/>
      <c r="N148" s="151">
        <f>+N147/N143</f>
        <v>0.8187787037121752</v>
      </c>
      <c r="O148" s="151">
        <f>+O147/O143</f>
        <v>0.85275797972523981</v>
      </c>
      <c r="P148" s="151">
        <f>+P147/P143</f>
        <v>0.83527111360467032</v>
      </c>
      <c r="Q148" s="151">
        <f>+Q147/Q143</f>
        <v>0.79324268970312939</v>
      </c>
      <c r="R148" s="184"/>
      <c r="S148" s="151">
        <f>+S147/S143</f>
        <v>0.82435379497812655</v>
      </c>
      <c r="T148" s="182">
        <f>+O148+0.5%</f>
        <v>0.85775797972523982</v>
      </c>
      <c r="U148" s="182">
        <f>+P148+0.25%</f>
        <v>0.83777111360467027</v>
      </c>
      <c r="V148" s="182">
        <f>+Q148</f>
        <v>0.79324268970312939</v>
      </c>
      <c r="W148" s="141"/>
      <c r="X148" s="182">
        <f>+S148-0.743093136806766%</f>
        <v>0.81692286361005895</v>
      </c>
      <c r="Y148" s="182">
        <f>+T148+0.29183298994234%</f>
        <v>0.86067630962466324</v>
      </c>
      <c r="Z148" s="182">
        <f>+U148+0.29183298994234%</f>
        <v>0.84068944350409369</v>
      </c>
      <c r="AA148" s="182">
        <f>+V148+0.29183298994234%</f>
        <v>0.79616101960255281</v>
      </c>
      <c r="AB148" s="141"/>
      <c r="AC148" s="182">
        <f>+X148-1%</f>
        <v>0.80692286361005894</v>
      </c>
      <c r="AD148" s="182">
        <f>+Y148-1%</f>
        <v>0.85067630962466323</v>
      </c>
      <c r="AE148" s="182">
        <f>+Z148-1%</f>
        <v>0.83068944350409368</v>
      </c>
      <c r="AF148" s="182">
        <f>+AA148-1%</f>
        <v>0.7861610196025528</v>
      </c>
      <c r="AG148" s="141"/>
      <c r="AH148" s="182">
        <f>+AC148+0.25%</f>
        <v>0.80942286361005888</v>
      </c>
      <c r="AI148" s="182">
        <f>+AD148+0.25%</f>
        <v>0.85317630962466318</v>
      </c>
      <c r="AJ148" s="182">
        <f>+AE148+0.25%</f>
        <v>0.83318944350409363</v>
      </c>
      <c r="AK148" s="182">
        <f>+AF148+0.25%</f>
        <v>0.78866101960255275</v>
      </c>
      <c r="AL148" s="141"/>
      <c r="AM148" s="182">
        <f>+AH148+0.25%</f>
        <v>0.81192286361005883</v>
      </c>
      <c r="AN148" s="182">
        <f>+AI148+0.25%</f>
        <v>0.85567630962466312</v>
      </c>
      <c r="AO148" s="182">
        <f>+AJ148+0.25%</f>
        <v>0.83568944350409358</v>
      </c>
      <c r="AP148" s="182">
        <f>+AK148+0.25%</f>
        <v>0.7911610196025527</v>
      </c>
      <c r="AQ148" s="141"/>
    </row>
    <row r="149" spans="2:43" s="60" customFormat="1" outlineLevel="1" x14ac:dyDescent="0.3">
      <c r="B149" s="177" t="s">
        <v>328</v>
      </c>
      <c r="C149" s="139"/>
      <c r="D149" s="174">
        <f>+D143-D146-D147-D145</f>
        <v>524.49773399999958</v>
      </c>
      <c r="E149" s="174">
        <f>+E143-E146-E147-E145</f>
        <v>511.21598479999966</v>
      </c>
      <c r="F149" s="174">
        <f>+F143-F146-F147-F145</f>
        <v>549.27535880000005</v>
      </c>
      <c r="G149" s="174">
        <f>+G143-G146-G147-G145</f>
        <v>655.55059399999936</v>
      </c>
      <c r="H149" s="178"/>
      <c r="I149" s="174">
        <f>+I143-I146-I147-I145</f>
        <v>595.63723399999981</v>
      </c>
      <c r="J149" s="174">
        <f>+J143-J146-J147-J145</f>
        <v>449.52195079999956</v>
      </c>
      <c r="K149" s="174">
        <f>+K143-K146-K147-K145</f>
        <v>500.6306112000002</v>
      </c>
      <c r="L149" s="174">
        <f>+L143-L146-L147-L145</f>
        <v>695.50992399999996</v>
      </c>
      <c r="M149" s="178"/>
      <c r="N149" s="174">
        <f>+N143-N146-N147-N145</f>
        <v>606.34734995002509</v>
      </c>
      <c r="O149" s="174">
        <f>+O143-O146-O147-O145</f>
        <v>496.31678594596906</v>
      </c>
      <c r="P149" s="174">
        <f>+P143-P146-P147-P145</f>
        <v>614.37241024092054</v>
      </c>
      <c r="Q149" s="174">
        <f>+Q143-Q146-Q147-Q145</f>
        <v>811.76654999999937</v>
      </c>
      <c r="R149" s="178"/>
      <c r="S149" s="174">
        <f>+S143-S146-S147-S145</f>
        <v>666.91040000000066</v>
      </c>
      <c r="T149" s="174">
        <f>+T143-T146-T147-T145</f>
        <v>566.99216888602461</v>
      </c>
      <c r="U149" s="174">
        <f>+U143-U146-U147-U145</f>
        <v>724.76309609022496</v>
      </c>
      <c r="V149" s="174">
        <f>+V143-V146-V147-V145</f>
        <v>960.57079566005939</v>
      </c>
      <c r="W149" s="178"/>
      <c r="X149" s="174">
        <f>+X143-X146-X147-X145</f>
        <v>785.03521201720969</v>
      </c>
      <c r="Y149" s="174">
        <f>+Y143-Y146-Y147-Y145</f>
        <v>594.76664820706299</v>
      </c>
      <c r="Z149" s="174">
        <f>+Z143-Z146-Z147-Z145</f>
        <v>771.90721840725303</v>
      </c>
      <c r="AA149" s="174">
        <f>+AA143-AA146-AA147-AA145</f>
        <v>1040.3844598597036</v>
      </c>
      <c r="AB149" s="178"/>
      <c r="AC149" s="174">
        <f>+AC143-AC146-AC147-AC145</f>
        <v>913.38770027201485</v>
      </c>
      <c r="AD149" s="174">
        <f>+AD143-AD146-AD147-AD145</f>
        <v>709.07103982761248</v>
      </c>
      <c r="AE149" s="174">
        <f>+AE143-AE146-AE147-AE145</f>
        <v>909.5564104696266</v>
      </c>
      <c r="AF149" s="174">
        <f>+AF143-AF146-AF147-AF145</f>
        <v>1204.4761753759237</v>
      </c>
      <c r="AG149" s="178"/>
      <c r="AH149" s="174">
        <f>+AH143-AH146-AH147-AH145</f>
        <v>976.87699773927375</v>
      </c>
      <c r="AI149" s="174">
        <f>+AI143-AI146-AI147-AI145</f>
        <v>752.94352949601137</v>
      </c>
      <c r="AJ149" s="174">
        <f>+AJ143-AJ146-AJ147-AJ145</f>
        <v>968.36183155151821</v>
      </c>
      <c r="AK149" s="174">
        <f>+AK143-AK146-AK147-AK145</f>
        <v>1285.5624010314732</v>
      </c>
      <c r="AL149" s="178"/>
      <c r="AM149" s="174">
        <f>+AM143-AM146-AM147-AM145</f>
        <v>1036.9727873076572</v>
      </c>
      <c r="AN149" s="174">
        <f>+AN143-AN146-AN147-AN145</f>
        <v>792.43082135336408</v>
      </c>
      <c r="AO149" s="174">
        <f>+AO143-AO146-AO147-AO145</f>
        <v>1021.352355262199</v>
      </c>
      <c r="AP149" s="174">
        <f>+AP143-AP146-AP147-AP145</f>
        <v>1359.7698659380287</v>
      </c>
      <c r="AQ149" s="178"/>
    </row>
    <row r="150" spans="2:43" s="60" customFormat="1" outlineLevel="1" x14ac:dyDescent="0.3">
      <c r="B150" s="177" t="s">
        <v>264</v>
      </c>
      <c r="C150" s="139"/>
      <c r="D150" s="328">
        <f>+D149/D143</f>
        <v>0.15156713696030399</v>
      </c>
      <c r="E150" s="328">
        <f>+E149/E143</f>
        <v>0.13902256133801838</v>
      </c>
      <c r="F150" s="328">
        <f>+F149/F143</f>
        <v>0.13645659236682581</v>
      </c>
      <c r="G150" s="328">
        <f>+G149/G143</f>
        <v>0.16858481795543778</v>
      </c>
      <c r="H150" s="329"/>
      <c r="I150" s="328">
        <f>+I149/I143</f>
        <v>0.15301637378316252</v>
      </c>
      <c r="J150" s="328">
        <f>+J149/J143</f>
        <v>0.11191821090644483</v>
      </c>
      <c r="K150" s="328">
        <f>+K149/K143</f>
        <v>0.1165170238034914</v>
      </c>
      <c r="L150" s="328">
        <f>+L149/L143</f>
        <v>0.16191556679080785</v>
      </c>
      <c r="M150" s="329"/>
      <c r="N150" s="328">
        <f>+N149/N143</f>
        <v>0.14282632255218478</v>
      </c>
      <c r="O150" s="328">
        <f>+O149/O143</f>
        <v>0.10967558944985978</v>
      </c>
      <c r="P150" s="328">
        <f>+P149/P143</f>
        <v>0.12724213421024524</v>
      </c>
      <c r="Q150" s="328">
        <f>+Q149/Q143</f>
        <v>0.16923203194034939</v>
      </c>
      <c r="R150" s="329"/>
      <c r="S150" s="328">
        <f>+S149/S143</f>
        <v>0.13897121313204777</v>
      </c>
      <c r="T150" s="328">
        <f>+T149/T143</f>
        <v>0.11054680297470856</v>
      </c>
      <c r="U150" s="328">
        <f>+U149/U143</f>
        <v>0.13218180552189174</v>
      </c>
      <c r="V150" s="328">
        <f>+V149/V143</f>
        <v>0.17589024712019918</v>
      </c>
      <c r="W150" s="329"/>
      <c r="X150" s="328">
        <f>+X149/X143</f>
        <v>0.14975722140854081</v>
      </c>
      <c r="Y150" s="328">
        <f>+Y149/Y143</f>
        <v>0.10708036663279756</v>
      </c>
      <c r="Z150" s="328">
        <f>+Z149/Z143</f>
        <v>0.12899670495612878</v>
      </c>
      <c r="AA150" s="328">
        <f>+AA149/AA143</f>
        <v>0.17301193350332539</v>
      </c>
      <c r="AB150" s="329"/>
      <c r="AC150" s="328">
        <f>+AC149/AC143</f>
        <v>0.15957131829581611</v>
      </c>
      <c r="AD150" s="328">
        <f>+AD149/AD143</f>
        <v>0.11691998464583955</v>
      </c>
      <c r="AE150" s="328">
        <f>+AE149/AE143</f>
        <v>0.1389209572898914</v>
      </c>
      <c r="AF150" s="328">
        <f>+AF149/AF143</f>
        <v>0.18297426012789142</v>
      </c>
      <c r="AG150" s="329"/>
      <c r="AH150" s="328">
        <f>+AH149/AH143</f>
        <v>0.15686620799804327</v>
      </c>
      <c r="AI150" s="328">
        <f>+AI149/AI143</f>
        <v>0.11422063528395887</v>
      </c>
      <c r="AJ150" s="328">
        <f>+AJ149/AJ143</f>
        <v>0.13621528339692751</v>
      </c>
      <c r="AK150" s="328">
        <f>+AK149/AK143</f>
        <v>0.1802282716221984</v>
      </c>
      <c r="AL150" s="329"/>
      <c r="AM150" s="328">
        <f>+AM149/AM143</f>
        <v>0.15405539251950756</v>
      </c>
      <c r="AN150" s="328">
        <f>+AN149/AN143</f>
        <v>0.11139580165001992</v>
      </c>
      <c r="AO150" s="328">
        <f>+AO149/AO143</f>
        <v>0.13337005654933923</v>
      </c>
      <c r="AP150" s="328">
        <f>+AP149/AP143</f>
        <v>0.17733757338320844</v>
      </c>
      <c r="AQ150" s="329"/>
    </row>
    <row r="151" spans="2:43" ht="15.6" x14ac:dyDescent="0.3">
      <c r="B151" s="630" t="s">
        <v>245</v>
      </c>
      <c r="C151" s="638"/>
      <c r="D151" s="95" t="s">
        <v>71</v>
      </c>
      <c r="E151" s="95" t="s">
        <v>74</v>
      </c>
      <c r="F151" s="95" t="s">
        <v>75</v>
      </c>
      <c r="G151" s="95" t="s">
        <v>79</v>
      </c>
      <c r="H151" s="408"/>
      <c r="I151" s="95" t="s">
        <v>81</v>
      </c>
      <c r="J151" s="95" t="s">
        <v>92</v>
      </c>
      <c r="K151" s="95" t="s">
        <v>110</v>
      </c>
      <c r="L151" s="95" t="s">
        <v>114</v>
      </c>
      <c r="M151" s="408"/>
      <c r="N151" s="95" t="s">
        <v>116</v>
      </c>
      <c r="O151" s="95" t="s">
        <v>117</v>
      </c>
      <c r="P151" s="95" t="s">
        <v>118</v>
      </c>
      <c r="Q151" s="95" t="s">
        <v>119</v>
      </c>
      <c r="R151" s="408"/>
      <c r="S151" s="95" t="s">
        <v>518</v>
      </c>
      <c r="T151" s="97" t="s">
        <v>378</v>
      </c>
      <c r="U151" s="97" t="s">
        <v>379</v>
      </c>
      <c r="V151" s="97" t="s">
        <v>380</v>
      </c>
      <c r="W151" s="412"/>
      <c r="X151" s="97" t="s">
        <v>382</v>
      </c>
      <c r="Y151" s="97" t="s">
        <v>383</v>
      </c>
      <c r="Z151" s="97" t="s">
        <v>384</v>
      </c>
      <c r="AA151" s="97" t="s">
        <v>385</v>
      </c>
      <c r="AB151" s="412"/>
      <c r="AC151" s="97" t="s">
        <v>387</v>
      </c>
      <c r="AD151" s="97" t="s">
        <v>388</v>
      </c>
      <c r="AE151" s="97" t="s">
        <v>389</v>
      </c>
      <c r="AF151" s="97" t="s">
        <v>390</v>
      </c>
      <c r="AG151" s="412"/>
      <c r="AH151" s="97" t="s">
        <v>392</v>
      </c>
      <c r="AI151" s="97" t="s">
        <v>393</v>
      </c>
      <c r="AJ151" s="97" t="s">
        <v>394</v>
      </c>
      <c r="AK151" s="97" t="s">
        <v>395</v>
      </c>
      <c r="AL151" s="412"/>
      <c r="AM151" s="97" t="s">
        <v>397</v>
      </c>
      <c r="AN151" s="97" t="s">
        <v>398</v>
      </c>
      <c r="AO151" s="97" t="s">
        <v>399</v>
      </c>
      <c r="AP151" s="97" t="s">
        <v>400</v>
      </c>
      <c r="AQ151" s="412"/>
    </row>
    <row r="152" spans="2:43" ht="15.6" outlineLevel="1" x14ac:dyDescent="0.3">
      <c r="B152" s="306" t="s">
        <v>246</v>
      </c>
      <c r="C152" s="180"/>
      <c r="D152" s="162">
        <f>ROUND((1502-D160),0)</f>
        <v>0</v>
      </c>
      <c r="E152" s="162">
        <f>ROUND((1447-E160),0)</f>
        <v>0</v>
      </c>
      <c r="F152" s="162">
        <f>ROUND((1361-F160),0)</f>
        <v>0</v>
      </c>
      <c r="G152" s="162">
        <f>ROUND((1516-G160),0)</f>
        <v>0</v>
      </c>
      <c r="H152" s="59"/>
      <c r="I152" s="162">
        <f>ROUND((1562-I160),0)</f>
        <v>0</v>
      </c>
      <c r="J152" s="162">
        <f>ROUND((1502-J160),0)</f>
        <v>0</v>
      </c>
      <c r="K152" s="162">
        <f>ROUND((1406-K160),0)</f>
        <v>0</v>
      </c>
      <c r="L152" s="162">
        <f>ROUND((1600-L160),0)</f>
        <v>0</v>
      </c>
      <c r="M152" s="59"/>
      <c r="N152" s="162">
        <f>ROUND((1664-N160),0)</f>
        <v>0</v>
      </c>
      <c r="O152" s="162">
        <f>ROUND((1673-O160),0)</f>
        <v>0</v>
      </c>
      <c r="P152" s="162">
        <f>ROUND((1613-P160),0)</f>
        <v>0</v>
      </c>
      <c r="Q152" s="162">
        <f>ROUND((1862-Q160),0)</f>
        <v>0</v>
      </c>
      <c r="R152" s="59"/>
      <c r="S152" s="54"/>
      <c r="T152" s="54"/>
      <c r="U152" s="54"/>
      <c r="V152" s="54"/>
      <c r="W152" s="59"/>
      <c r="X152" s="54"/>
      <c r="Y152" s="54"/>
      <c r="Z152" s="54"/>
      <c r="AA152" s="54"/>
      <c r="AB152" s="59"/>
      <c r="AC152" s="54"/>
      <c r="AD152" s="54"/>
      <c r="AE152" s="54"/>
      <c r="AF152" s="54"/>
      <c r="AG152" s="59"/>
      <c r="AH152" s="54"/>
      <c r="AI152" s="54"/>
      <c r="AJ152" s="54"/>
      <c r="AK152" s="54"/>
      <c r="AL152" s="59"/>
      <c r="AM152" s="54"/>
      <c r="AN152" s="54"/>
      <c r="AO152" s="54"/>
      <c r="AP152" s="54"/>
      <c r="AQ152" s="59"/>
    </row>
    <row r="153" spans="2:43" outlineLevel="1" x14ac:dyDescent="0.3">
      <c r="B153" s="302" t="s">
        <v>377</v>
      </c>
      <c r="C153" s="297"/>
      <c r="D153" s="144">
        <v>97.153000000000006</v>
      </c>
      <c r="E153" s="144">
        <v>100.32899999999999</v>
      </c>
      <c r="F153" s="144">
        <v>94.744</v>
      </c>
      <c r="G153" s="144">
        <v>102.845</v>
      </c>
      <c r="H153" s="59"/>
      <c r="I153" s="144">
        <f>104811.4/1000</f>
        <v>104.81139999999999</v>
      </c>
      <c r="J153" s="144">
        <f>104125/1000</f>
        <v>104.125</v>
      </c>
      <c r="K153" s="144">
        <f>94583/1000</f>
        <v>94.582999999999998</v>
      </c>
      <c r="L153" s="144">
        <f>102709/1000</f>
        <v>102.709</v>
      </c>
      <c r="M153" s="59"/>
      <c r="N153" s="144">
        <f>106080/1000</f>
        <v>106.08</v>
      </c>
      <c r="O153" s="144">
        <f>108638/1000</f>
        <v>108.63800000000001</v>
      </c>
      <c r="P153" s="144">
        <f>100340/1000</f>
        <v>100.34</v>
      </c>
      <c r="Q153" s="269">
        <f>110560/1000</f>
        <v>110.56</v>
      </c>
      <c r="R153" s="59"/>
      <c r="S153" s="562">
        <f>115745/1000</f>
        <v>115.745</v>
      </c>
      <c r="T153" s="269">
        <f>+O153*(1+T154)</f>
        <v>116.01884004901586</v>
      </c>
      <c r="U153" s="269">
        <f>+P153*(1+U154)</f>
        <v>107.77410735927364</v>
      </c>
      <c r="V153" s="269">
        <f>+Q153*(1+V154)</f>
        <v>119.11675463792866</v>
      </c>
      <c r="W153" s="59"/>
      <c r="X153" s="269">
        <f>+S153*(1+X154)</f>
        <v>122.41579194806145</v>
      </c>
      <c r="Y153" s="269">
        <f>+T153*(1+Y154)</f>
        <v>121.73442481356618</v>
      </c>
      <c r="Z153" s="269">
        <f>+U153*(1+Z154)</f>
        <v>113.65807900436663</v>
      </c>
      <c r="AA153" s="269">
        <f>+V153*(1+AA154)</f>
        <v>126.23064196437967</v>
      </c>
      <c r="AB153" s="59"/>
      <c r="AC153" s="269">
        <f>+X153*(1+AC154)</f>
        <v>129.18584993419427</v>
      </c>
      <c r="AD153" s="269">
        <f>+Y153*(1+AD154)</f>
        <v>128.39589866198267</v>
      </c>
      <c r="AE153" s="269">
        <f>+Z153*(1+AE154)</f>
        <v>120.03266459286371</v>
      </c>
      <c r="AF153" s="269">
        <f>+AA153*(1+AF154)</f>
        <v>133.35739574644231</v>
      </c>
      <c r="AG153" s="59"/>
      <c r="AH153" s="269">
        <f>+AC153*(1+AH154)</f>
        <v>136.05107627442271</v>
      </c>
      <c r="AI153" s="269">
        <f>+AD153*(1+AI154)</f>
        <v>135.14976170829351</v>
      </c>
      <c r="AJ153" s="269">
        <f>+AE153*(1+AJ154)</f>
        <v>126.28300351770326</v>
      </c>
      <c r="AK153" s="269">
        <f>+AF153*(1+AK154)</f>
        <v>140.16776730609106</v>
      </c>
      <c r="AL153" s="59"/>
      <c r="AM153" s="269">
        <f>+AH153*(1+AM154)</f>
        <v>142.81569430502665</v>
      </c>
      <c r="AN153" s="269">
        <f>+AI153*(1+AN154)</f>
        <v>141.75397573043344</v>
      </c>
      <c r="AO153" s="269">
        <f>+AJ153*(1+AO154)</f>
        <v>132.33598824737373</v>
      </c>
      <c r="AP153" s="269">
        <f>+AK153*(1+AP154)</f>
        <v>146.7411987494736</v>
      </c>
      <c r="AQ153" s="59"/>
    </row>
    <row r="154" spans="2:43" outlineLevel="1" x14ac:dyDescent="0.3">
      <c r="B154" s="259" t="s">
        <v>248</v>
      </c>
      <c r="C154" s="297"/>
      <c r="D154" s="171">
        <f>+D153/88.69-1</f>
        <v>9.5422257300710411E-2</v>
      </c>
      <c r="E154" s="171">
        <f>+E153/91.92-1</f>
        <v>9.1481723237597734E-2</v>
      </c>
      <c r="F154" s="171">
        <f>+F153/85.77-1</f>
        <v>0.1046286580389415</v>
      </c>
      <c r="G154" s="171">
        <f>+G153/95.74-1</f>
        <v>7.4211405890954651E-2</v>
      </c>
      <c r="H154" s="59"/>
      <c r="I154" s="171">
        <f>+I153/D153-1</f>
        <v>7.8828239992588811E-2</v>
      </c>
      <c r="J154" s="171">
        <f>+J153/E153-1</f>
        <v>3.7835521135464401E-2</v>
      </c>
      <c r="K154" s="171">
        <f>+K153/F153-1</f>
        <v>-1.6993160516760586E-3</v>
      </c>
      <c r="L154" s="171">
        <f>+L153/G153-1</f>
        <v>-1.3223783363313091E-3</v>
      </c>
      <c r="M154" s="59"/>
      <c r="N154" s="171">
        <f>+N153/I153-1</f>
        <v>1.2103645214165626E-2</v>
      </c>
      <c r="O154" s="171">
        <f>+O153/J153-1</f>
        <v>4.3342136854741975E-2</v>
      </c>
      <c r="P154" s="171">
        <f>+P153/K153-1</f>
        <v>6.0867174862290208E-2</v>
      </c>
      <c r="Q154" s="171">
        <f>+Q153/L153-1</f>
        <v>7.6439260434820744E-2</v>
      </c>
      <c r="R154" s="59"/>
      <c r="S154" s="171">
        <f>+S153/N153-1</f>
        <v>9.1110482654600311E-2</v>
      </c>
      <c r="T154" s="147">
        <f>AVERAGE(S154,Q154,P154,O154)</f>
        <v>6.7939763701613309E-2</v>
      </c>
      <c r="U154" s="147">
        <f>AVERAGE(T154,S154,Q154,P154)</f>
        <v>7.4089170413331143E-2</v>
      </c>
      <c r="V154" s="147">
        <f>AVERAGE(U154,T154,S154,Q154)</f>
        <v>7.7394669301091373E-2</v>
      </c>
      <c r="W154" s="59"/>
      <c r="X154" s="147">
        <f>AVERAGE(V154,U154,T154,S154)-2%</f>
        <v>5.7633521517659034E-2</v>
      </c>
      <c r="Y154" s="147">
        <f>AVERAGE(X154,V154,U154,T154)-2%</f>
        <v>4.9264281233423704E-2</v>
      </c>
      <c r="Z154" s="147">
        <f>AVERAGE(Y154,X154,V154,U154)-1%</f>
        <v>5.4595410616376315E-2</v>
      </c>
      <c r="AA154" s="147">
        <f>AVERAGE(Z154,Y154,X154,V154)</f>
        <v>5.9721970667137601E-2</v>
      </c>
      <c r="AB154" s="59"/>
      <c r="AC154" s="147">
        <f>AVERAGE(AA154,Z154,Y154,X154)</f>
        <v>5.5303796008649167E-2</v>
      </c>
      <c r="AD154" s="147">
        <f>AVERAGE(AC154,AA154,Z154,Y154)</f>
        <v>5.4721364631396693E-2</v>
      </c>
      <c r="AE154" s="147">
        <f>AVERAGE(AD154,AC154,AA154,Z154)</f>
        <v>5.6085635480889948E-2</v>
      </c>
      <c r="AF154" s="147">
        <f>AVERAGE(AE154,AD154,AC154,AA154)</f>
        <v>5.6458191697018358E-2</v>
      </c>
      <c r="AG154" s="59"/>
      <c r="AH154" s="182">
        <f>AVERAGE(AF154,AE154,AD154,AC154)-0.25%</f>
        <v>5.3142246954488534E-2</v>
      </c>
      <c r="AI154" s="182">
        <f>AVERAGE(AH154,AF154,AE154,AD154)-0.25%</f>
        <v>5.2601859690948383E-2</v>
      </c>
      <c r="AJ154" s="182">
        <f>AVERAGE(AI154,AH154,AF154,AE154)-0.25%</f>
        <v>5.2071983455836302E-2</v>
      </c>
      <c r="AK154" s="182">
        <f>AVERAGE(AJ154,AI154,AH154,AF154)-0.25%</f>
        <v>5.1068570449572893E-2</v>
      </c>
      <c r="AL154" s="59"/>
      <c r="AM154" s="182">
        <f>AVERAGE(AK154,AJ154,AI154,AH154)-0.25%</f>
        <v>4.972116513771152E-2</v>
      </c>
      <c r="AN154" s="182">
        <f>AVERAGE(AM154,AK154,AJ154,AI154)-0.25%</f>
        <v>4.8865894683517271E-2</v>
      </c>
      <c r="AO154" s="182">
        <f>AVERAGE(AN154,AM154,AK154,AJ154)-0.25%</f>
        <v>4.7931903431659491E-2</v>
      </c>
      <c r="AP154" s="182">
        <f>AVERAGE(AO154,AN154,AM154,AK154)-0.25%</f>
        <v>4.6896883425615286E-2</v>
      </c>
      <c r="AQ154" s="59"/>
    </row>
    <row r="155" spans="2:43" outlineLevel="1" x14ac:dyDescent="0.3">
      <c r="B155" s="302" t="s">
        <v>249</v>
      </c>
      <c r="C155" s="297"/>
      <c r="D155" s="144">
        <v>1189</v>
      </c>
      <c r="E155" s="144">
        <v>1167</v>
      </c>
      <c r="F155" s="144">
        <v>1177</v>
      </c>
      <c r="G155" s="144">
        <v>1173</v>
      </c>
      <c r="H155" s="59"/>
      <c r="I155" s="144">
        <v>1152</v>
      </c>
      <c r="J155" s="144">
        <v>1149.0166428171599</v>
      </c>
      <c r="K155" s="144">
        <v>1172</v>
      </c>
      <c r="L155" s="144">
        <v>1174</v>
      </c>
      <c r="M155" s="59"/>
      <c r="N155" s="144">
        <v>1173</v>
      </c>
      <c r="O155" s="144">
        <v>1187</v>
      </c>
      <c r="P155" s="144">
        <v>1202</v>
      </c>
      <c r="Q155" s="269">
        <v>1198</v>
      </c>
      <c r="R155" s="59"/>
      <c r="S155" s="269">
        <v>1156</v>
      </c>
      <c r="T155" s="269">
        <f>+O155*(1+T156)</f>
        <v>1206.1714504968891</v>
      </c>
      <c r="U155" s="269">
        <f>+P155*(1+U156)</f>
        <v>1216.3334371181963</v>
      </c>
      <c r="V155" s="269">
        <f>+Q155*(1+V156)</f>
        <v>1208.1907908626642</v>
      </c>
      <c r="W155" s="59"/>
      <c r="X155" s="269">
        <f>+S155*(1+X156)</f>
        <v>1139.2638903447464</v>
      </c>
      <c r="Y155" s="269">
        <f>+T155*(1+Y156)</f>
        <v>1188.7135468830218</v>
      </c>
      <c r="Z155" s="269">
        <f>+U155*(1+Z156)</f>
        <v>1201.5792335376757</v>
      </c>
      <c r="AA155" s="269">
        <f>+V155*(1+AA156)</f>
        <v>1198.3515927872845</v>
      </c>
      <c r="AB155" s="59"/>
      <c r="AC155" s="269">
        <f>+X155*(1+AC156)</f>
        <v>1125.2437586641231</v>
      </c>
      <c r="AD155" s="269">
        <f>+Y155*(1+AD156)</f>
        <v>1174.7301347916334</v>
      </c>
      <c r="AE155" s="269">
        <f>+Z155*(1+AE156)</f>
        <v>1188.2586459866598</v>
      </c>
      <c r="AF155" s="269">
        <f>+AA155*(1+AF156)</f>
        <v>1185.3796056381152</v>
      </c>
      <c r="AG155" s="59"/>
      <c r="AH155" s="269">
        <f>+AC155*(1+AH156)</f>
        <v>1109.4958174786707</v>
      </c>
      <c r="AI155" s="269">
        <f>+AD155*(1+AI156)</f>
        <v>1157.7936450556222</v>
      </c>
      <c r="AJ155" s="269">
        <f>+AE155*(1+AJ156)</f>
        <v>1170.3387425167102</v>
      </c>
      <c r="AK155" s="269">
        <f>+AF155*(1+AK156)</f>
        <v>1166.3192491510133</v>
      </c>
      <c r="AL155" s="59"/>
      <c r="AM155" s="269">
        <f>+AH155*(1+AM156)</f>
        <v>1090.198126170033</v>
      </c>
      <c r="AN155" s="269">
        <f>+AI155*(1+AN156)</f>
        <v>1136.6723335612737</v>
      </c>
      <c r="AO155" s="269">
        <f>+AJ155*(1+AO156)</f>
        <v>1147.8693265687677</v>
      </c>
      <c r="AP155" s="269">
        <f>+AK155*(1+AP156)</f>
        <v>1142.7262022823004</v>
      </c>
      <c r="AQ155" s="59"/>
    </row>
    <row r="156" spans="2:43" outlineLevel="1" x14ac:dyDescent="0.3">
      <c r="B156" s="259" t="s">
        <v>247</v>
      </c>
      <c r="C156" s="297"/>
      <c r="D156" s="171">
        <f>+D155/1166-1</f>
        <v>1.9725557461406584E-2</v>
      </c>
      <c r="E156" s="171">
        <f>+E155/1165-1</f>
        <v>1.7167381974247942E-3</v>
      </c>
      <c r="F156" s="171">
        <f>+F155/1195.2-1</f>
        <v>-1.5227576974565005E-2</v>
      </c>
      <c r="G156" s="171">
        <f>+G155/1200-1</f>
        <v>-2.2499999999999964E-2</v>
      </c>
      <c r="H156" s="59"/>
      <c r="I156" s="171">
        <f>+I155/D155-1</f>
        <v>-3.1118587047939461E-2</v>
      </c>
      <c r="J156" s="171">
        <f>+J155/E155-1</f>
        <v>-1.5409903327198049E-2</v>
      </c>
      <c r="K156" s="171">
        <f>+K155/F155-1</f>
        <v>-4.2480883602379338E-3</v>
      </c>
      <c r="L156" s="171">
        <f>+L155/G155-1</f>
        <v>8.5251491901106036E-4</v>
      </c>
      <c r="M156" s="59"/>
      <c r="N156" s="171">
        <f>+N155/I155-1</f>
        <v>1.8229166666666741E-2</v>
      </c>
      <c r="O156" s="171">
        <f>+O155/J155-1</f>
        <v>3.3057273295635126E-2</v>
      </c>
      <c r="P156" s="171">
        <f>+P155/K155-1</f>
        <v>2.5597269624573427E-2</v>
      </c>
      <c r="Q156" s="171">
        <f>+Q155/L155-1</f>
        <v>2.0442930153321992E-2</v>
      </c>
      <c r="R156" s="59"/>
      <c r="S156" s="171">
        <f>+S155/N155-1</f>
        <v>-1.4492753623188359E-2</v>
      </c>
      <c r="T156" s="147">
        <f>AVERAGE(S156,Q156,P156,O156)</f>
        <v>1.6151179862585546E-2</v>
      </c>
      <c r="U156" s="147">
        <f>AVERAGE(T156,S156,Q156,P156)</f>
        <v>1.1924656504323151E-2</v>
      </c>
      <c r="V156" s="147">
        <f>AVERAGE(U156,T156,S156,Q156)</f>
        <v>8.5065032242605827E-3</v>
      </c>
      <c r="W156" s="59"/>
      <c r="X156" s="147">
        <f>AVERAGE(V156,U156,T156,S156)-2%</f>
        <v>-1.4477603508004771E-2</v>
      </c>
      <c r="Y156" s="147">
        <f>AVERAGE(X156,V156,U156,T156)-2%</f>
        <v>-1.4473815979208873E-2</v>
      </c>
      <c r="Z156" s="147">
        <f>AVERAGE(Y156,X156,V156,U156)-1%</f>
        <v>-1.2130064939657478E-2</v>
      </c>
      <c r="AA156" s="147">
        <f>AVERAGE(Z156,Y156,X156,V156)</f>
        <v>-8.1437453006526356E-3</v>
      </c>
      <c r="AB156" s="59"/>
      <c r="AC156" s="147">
        <f>AVERAGE(AA156,Z156,Y156,X156)</f>
        <v>-1.230630743188094E-2</v>
      </c>
      <c r="AD156" s="147">
        <f>AVERAGE(AC156,AA156,Z156,Y156)</f>
        <v>-1.1763483412849982E-2</v>
      </c>
      <c r="AE156" s="147">
        <f>AVERAGE(AD156,AC156,AA156,Z156)</f>
        <v>-1.1085900271260258E-2</v>
      </c>
      <c r="AF156" s="147">
        <f>AVERAGE(AE156,AD156,AC156,AA156)</f>
        <v>-1.0824859104160953E-2</v>
      </c>
      <c r="AG156" s="59"/>
      <c r="AH156" s="182">
        <f>AVERAGE(AF156,AE156,AD156,AC156)-0.25%</f>
        <v>-1.3995137555038032E-2</v>
      </c>
      <c r="AI156" s="182">
        <f>AVERAGE(AH156,AF156,AE156,AD156)-0.25%</f>
        <v>-1.4417345085827307E-2</v>
      </c>
      <c r="AJ156" s="182">
        <f>AVERAGE(AI156,AH156,AF156,AE156)-0.25%</f>
        <v>-1.5080810504071639E-2</v>
      </c>
      <c r="AK156" s="182">
        <f>AVERAGE(AJ156,AI156,AH156,AF156)-0.25%</f>
        <v>-1.6079538062274482E-2</v>
      </c>
      <c r="AL156" s="59"/>
      <c r="AM156" s="182">
        <f>AVERAGE(AK156,AJ156,AI156,AH156)-0.25%</f>
        <v>-1.7393207801802864E-2</v>
      </c>
      <c r="AN156" s="182">
        <f>AVERAGE(AM156,AK156,AJ156,AI156)-0.25%</f>
        <v>-1.8242725363494073E-2</v>
      </c>
      <c r="AO156" s="182">
        <f>AVERAGE(AN156,AM156,AK156,AJ156)-0.25%</f>
        <v>-1.9199070432910765E-2</v>
      </c>
      <c r="AP156" s="182">
        <f>AVERAGE(AO156,AN156,AM156,AK156)-0.25%</f>
        <v>-2.0228635415120544E-2</v>
      </c>
      <c r="AQ156" s="59"/>
    </row>
    <row r="157" spans="2:43" outlineLevel="1" x14ac:dyDescent="0.3">
      <c r="B157" s="302" t="s">
        <v>330</v>
      </c>
      <c r="C157" s="297"/>
      <c r="D157" s="148">
        <v>237.81</v>
      </c>
      <c r="E157" s="148">
        <v>232.6</v>
      </c>
      <c r="F157" s="148">
        <v>231.61</v>
      </c>
      <c r="G157" s="148">
        <v>226.71</v>
      </c>
      <c r="H157" s="59"/>
      <c r="I157" s="148">
        <v>229.20400000000001</v>
      </c>
      <c r="J157" s="148">
        <v>232.7</v>
      </c>
      <c r="K157" s="148">
        <v>239.82</v>
      </c>
      <c r="L157" s="148">
        <v>239.68</v>
      </c>
      <c r="M157" s="59"/>
      <c r="N157" s="148">
        <v>241.34</v>
      </c>
      <c r="O157" s="148">
        <v>248.36</v>
      </c>
      <c r="P157" s="148">
        <v>259.2</v>
      </c>
      <c r="Q157" s="148">
        <v>259.15499999999997</v>
      </c>
      <c r="R157" s="59"/>
      <c r="S157" s="148">
        <v>260.39</v>
      </c>
      <c r="T157" s="148">
        <f>+O157*(1+T158)</f>
        <v>267.50209942420463</v>
      </c>
      <c r="U157" s="148">
        <f>+P157*(1+U158)</f>
        <v>279.8111347368349</v>
      </c>
      <c r="V157" s="148">
        <f>+Q157*(1+V158)</f>
        <v>279.67882724233283</v>
      </c>
      <c r="W157" s="59"/>
      <c r="X157" s="148">
        <f>+S157*(1+X158)</f>
        <v>275.66979813752278</v>
      </c>
      <c r="Y157" s="148">
        <f>+T157*(1+Y158)</f>
        <v>281.84475180096683</v>
      </c>
      <c r="Z157" s="148">
        <f>+U157*(1+Z158)</f>
        <v>295.97098697534256</v>
      </c>
      <c r="AA157" s="148">
        <f>+V157*(1+AA158)</f>
        <v>297.10598552093603</v>
      </c>
      <c r="AB157" s="59"/>
      <c r="AC157" s="148">
        <f>+X157*(1+AC158)</f>
        <v>291.68355617254332</v>
      </c>
      <c r="AD157" s="148">
        <f>+Y157*(1+AD158)</f>
        <v>298.17563788285702</v>
      </c>
      <c r="AE157" s="148">
        <f>+Z157*(1+AE158)</f>
        <v>313.44047037807132</v>
      </c>
      <c r="AF157" s="148">
        <f>+AA157*(1+AF158)</f>
        <v>314.73691120812254</v>
      </c>
      <c r="AG157" s="59"/>
      <c r="AH157" s="148">
        <f>+AC157*(1+AH158)</f>
        <v>308.04698350605054</v>
      </c>
      <c r="AI157" s="148">
        <f>+AD157*(1+AI158)</f>
        <v>314.75489612210282</v>
      </c>
      <c r="AJ157" s="148">
        <f>+AE157*(1+AJ158)</f>
        <v>330.68508541060612</v>
      </c>
      <c r="AK157" s="148">
        <f>+AF157*(1+AK158)</f>
        <v>331.73755588405362</v>
      </c>
      <c r="AL157" s="59"/>
      <c r="AM157" s="148">
        <f>+AH157*(1+AM158)</f>
        <v>324.27604315890568</v>
      </c>
      <c r="AN157" s="148">
        <f>+AI157*(1+AN158)</f>
        <v>331.06853591099343</v>
      </c>
      <c r="AO157" s="148">
        <f>+AJ157*(1+AO158)</f>
        <v>347.51249078571885</v>
      </c>
      <c r="AP157" s="148">
        <f>+AK157*(1+AP158)</f>
        <v>348.27594093959857</v>
      </c>
      <c r="AQ157" s="59"/>
    </row>
    <row r="158" spans="2:43" outlineLevel="1" x14ac:dyDescent="0.3">
      <c r="B158" s="259" t="s">
        <v>331</v>
      </c>
      <c r="C158" s="297"/>
      <c r="D158" s="171"/>
      <c r="E158" s="171"/>
      <c r="F158" s="171"/>
      <c r="G158" s="171"/>
      <c r="H158" s="59"/>
      <c r="I158" s="171">
        <f>+I157/D157-1</f>
        <v>-3.6188553887557262E-2</v>
      </c>
      <c r="J158" s="171">
        <f>+J157/E157-1</f>
        <v>4.2992261392948983E-4</v>
      </c>
      <c r="K158" s="171">
        <f>+K157/F157-1</f>
        <v>3.5447519537152861E-2</v>
      </c>
      <c r="L158" s="171">
        <f>+L157/G157-1</f>
        <v>5.7209651096113978E-2</v>
      </c>
      <c r="M158" s="59"/>
      <c r="N158" s="171">
        <f>+N157/I157-1</f>
        <v>5.2948465122772737E-2</v>
      </c>
      <c r="O158" s="171">
        <f>+O157/J157-1</f>
        <v>6.729694886119475E-2</v>
      </c>
      <c r="P158" s="171">
        <f>+P157/K157-1</f>
        <v>8.0810607955966951E-2</v>
      </c>
      <c r="Q158" s="171">
        <f>+Q157/L157-1</f>
        <v>8.1254172229639376E-2</v>
      </c>
      <c r="R158" s="59"/>
      <c r="S158" s="171">
        <f>+S157/N157-1</f>
        <v>7.8934283583326437E-2</v>
      </c>
      <c r="T158" s="147">
        <f>AVERAGE(S158,Q158,P158,O158)</f>
        <v>7.7074003157531878E-2</v>
      </c>
      <c r="U158" s="147">
        <f>AVERAGE(T158,S158,Q158,P158)</f>
        <v>7.9518266731616161E-2</v>
      </c>
      <c r="V158" s="147">
        <f>AVERAGE(U158,T158,S158,Q158)</f>
        <v>7.9195181425528463E-2</v>
      </c>
      <c r="W158" s="59"/>
      <c r="X158" s="147">
        <f>AVERAGE(V158,U158,T158,S158)-2%</f>
        <v>5.8680433724500727E-2</v>
      </c>
      <c r="Y158" s="147">
        <f>AVERAGE(X158,V158,U158,T158)-2%</f>
        <v>5.3616971259794297E-2</v>
      </c>
      <c r="Z158" s="147">
        <f>AVERAGE(Y158,X158,V158,U158)-1%</f>
        <v>5.7752713285359907E-2</v>
      </c>
      <c r="AA158" s="147">
        <f>AVERAGE(Z158,Y158,X158,V158)</f>
        <v>6.2311324923795847E-2</v>
      </c>
      <c r="AB158" s="59"/>
      <c r="AC158" s="147">
        <f>AVERAGE(AA158,Z158,Y158,X158)</f>
        <v>5.8090360798362689E-2</v>
      </c>
      <c r="AD158" s="147">
        <f>AVERAGE(AC158,AA158,Z158,Y158)</f>
        <v>5.794284256682819E-2</v>
      </c>
      <c r="AE158" s="147">
        <f>AVERAGE(AD158,AC158,AA158,Z158)</f>
        <v>5.902431039358666E-2</v>
      </c>
      <c r="AF158" s="147">
        <f>AVERAGE(AE158,AD158,AC158,AA158)</f>
        <v>5.9342209670643346E-2</v>
      </c>
      <c r="AG158" s="59"/>
      <c r="AH158" s="182">
        <f>AVERAGE(AF158,AE158,AD158,AC158)-0.25%</f>
        <v>5.6099930857355221E-2</v>
      </c>
      <c r="AI158" s="182">
        <f>AVERAGE(AH158,AF158,AE158,AD158)-0.25%</f>
        <v>5.560232337210335E-2</v>
      </c>
      <c r="AJ158" s="182">
        <f>AVERAGE(AI158,AH158,AF158,AE158)-0.25%</f>
        <v>5.5017193573422142E-2</v>
      </c>
      <c r="AK158" s="182">
        <f>AVERAGE(AJ158,AI158,AH158,AF158)-0.25%</f>
        <v>5.4015414368381018E-2</v>
      </c>
      <c r="AL158" s="59"/>
      <c r="AM158" s="182">
        <f>AVERAGE(AK158,AJ158,AI158,AH158)-0.25%</f>
        <v>5.2683715542815437E-2</v>
      </c>
      <c r="AN158" s="182">
        <f>AVERAGE(AM158,AK158,AJ158,AI158)-0.25%</f>
        <v>5.1829661714180485E-2</v>
      </c>
      <c r="AO158" s="182">
        <f>AVERAGE(AN158,AM158,AK158,AJ158)-0.25%</f>
        <v>5.0886496299699761E-2</v>
      </c>
      <c r="AP158" s="182">
        <f>AVERAGE(AO158,AN158,AM158,AK158)-0.25%</f>
        <v>4.985382198126917E-2</v>
      </c>
      <c r="AQ158" s="59"/>
    </row>
    <row r="159" spans="2:43" x14ac:dyDescent="0.3">
      <c r="B159" s="296" t="s">
        <v>334</v>
      </c>
      <c r="C159" s="297"/>
      <c r="D159" s="144">
        <v>65</v>
      </c>
      <c r="E159" s="144">
        <v>62</v>
      </c>
      <c r="F159" s="144">
        <v>62</v>
      </c>
      <c r="G159" s="144">
        <v>65</v>
      </c>
      <c r="H159" s="59"/>
      <c r="I159" s="144">
        <v>65</v>
      </c>
      <c r="J159" s="144">
        <v>62</v>
      </c>
      <c r="K159" s="144">
        <v>62</v>
      </c>
      <c r="L159" s="144">
        <v>65</v>
      </c>
      <c r="M159" s="59"/>
      <c r="N159" s="144">
        <v>65</v>
      </c>
      <c r="O159" s="144">
        <v>62</v>
      </c>
      <c r="P159" s="144">
        <v>62</v>
      </c>
      <c r="Q159" s="144">
        <v>65</v>
      </c>
      <c r="R159" s="59"/>
      <c r="S159" s="144">
        <v>65</v>
      </c>
      <c r="T159" s="145">
        <v>62</v>
      </c>
      <c r="U159" s="145">
        <v>62</v>
      </c>
      <c r="V159" s="145">
        <v>65</v>
      </c>
      <c r="W159" s="59"/>
      <c r="X159" s="145">
        <v>65</v>
      </c>
      <c r="Y159" s="145">
        <v>62</v>
      </c>
      <c r="Z159" s="145">
        <v>62</v>
      </c>
      <c r="AA159" s="145">
        <v>65</v>
      </c>
      <c r="AB159" s="59"/>
      <c r="AC159" s="145">
        <v>65</v>
      </c>
      <c r="AD159" s="145">
        <v>62</v>
      </c>
      <c r="AE159" s="145">
        <v>62</v>
      </c>
      <c r="AF159" s="145">
        <v>65</v>
      </c>
      <c r="AG159" s="59"/>
      <c r="AH159" s="145">
        <v>65</v>
      </c>
      <c r="AI159" s="145">
        <v>62</v>
      </c>
      <c r="AJ159" s="145">
        <v>62</v>
      </c>
      <c r="AK159" s="145">
        <v>65</v>
      </c>
      <c r="AL159" s="59"/>
      <c r="AM159" s="145">
        <v>65</v>
      </c>
      <c r="AN159" s="145">
        <v>62</v>
      </c>
      <c r="AO159" s="145">
        <v>62</v>
      </c>
      <c r="AP159" s="145">
        <v>65</v>
      </c>
      <c r="AQ159" s="59"/>
    </row>
    <row r="160" spans="2:43" outlineLevel="1" x14ac:dyDescent="0.3">
      <c r="B160" s="330" t="s">
        <v>268</v>
      </c>
      <c r="C160" s="172"/>
      <c r="D160" s="274">
        <f>+D153*D159*D157/1000</f>
        <v>1501.7570704500001</v>
      </c>
      <c r="E160" s="274">
        <f>+E153*E159*E157/1000</f>
        <v>1446.8645747999999</v>
      </c>
      <c r="F160" s="274">
        <f>+F153*F159*F157/1000</f>
        <v>1360.50678608</v>
      </c>
      <c r="G160" s="274">
        <f>+G153*G159*G157/1000</f>
        <v>1515.53934675</v>
      </c>
      <c r="H160" s="61"/>
      <c r="I160" s="274">
        <f>+I153*I159*I157/1000</f>
        <v>1561.5074881639998</v>
      </c>
      <c r="J160" s="274">
        <f>+J153*J159*J157/1000</f>
        <v>1502.253025</v>
      </c>
      <c r="K160" s="274">
        <f>+K153*K159*K157/1000</f>
        <v>1406.3394937199998</v>
      </c>
      <c r="L160" s="274">
        <f>+L153*L159*L157/1000</f>
        <v>1600.1240527999998</v>
      </c>
      <c r="M160" s="61"/>
      <c r="N160" s="274">
        <f>+N153*N159*N157/1000</f>
        <v>1664.0875679999999</v>
      </c>
      <c r="O160" s="274">
        <f>+O153*O159*O157/1000</f>
        <v>1672.8426881600001</v>
      </c>
      <c r="P160" s="274">
        <f>+P153*P159*P157/1000</f>
        <v>1612.5039360000001</v>
      </c>
      <c r="Q160" s="274">
        <f>+Q153*Q159*Q157/1000</f>
        <v>1862.3914919999997</v>
      </c>
      <c r="R160" s="331"/>
      <c r="S160" s="274">
        <f>+S153*S159*S157/1000</f>
        <v>1959.0246357499998</v>
      </c>
      <c r="T160" s="274">
        <f>+T153*T159*T157/1000</f>
        <v>1924.1875637241094</v>
      </c>
      <c r="U160" s="274">
        <f>+U153*U159*U157/1000</f>
        <v>1869.6965070777651</v>
      </c>
      <c r="V160" s="274">
        <f>+V153*V159*V157/1000</f>
        <v>2165.4382257331586</v>
      </c>
      <c r="W160" s="61"/>
      <c r="X160" s="274">
        <f>+X153*X159*X157/1000</f>
        <v>2193.5118825858608</v>
      </c>
      <c r="Y160" s="274">
        <f>+Y153*Y159*Y157/1000</f>
        <v>2127.2329423272076</v>
      </c>
      <c r="Z160" s="274">
        <f>+Z153*Z159*Z157/1000</f>
        <v>2085.6486168799188</v>
      </c>
      <c r="AA160" s="274">
        <f>+AA153*AA159*AA157/1000</f>
        <v>2437.7521534448842</v>
      </c>
      <c r="AB160" s="61"/>
      <c r="AC160" s="274">
        <f>+AC153*AC159*AC157/1000</f>
        <v>2449.29022753859</v>
      </c>
      <c r="AD160" s="274">
        <f>+AD153*AD159*AD157/1000</f>
        <v>2373.6407970749196</v>
      </c>
      <c r="AE160" s="274">
        <f>+AE153*AE159*AE157/1000</f>
        <v>2332.6318807446692</v>
      </c>
      <c r="AF160" s="274">
        <f>+AF153*AF159*AF157/1000</f>
        <v>2728.2121635596409</v>
      </c>
      <c r="AG160" s="61"/>
      <c r="AH160" s="274">
        <f>+AH153*AH159*AH157/1000</f>
        <v>2724.1580371906889</v>
      </c>
      <c r="AI160" s="274">
        <f>+AI153*AI159*AI157/1000</f>
        <v>2637.4210508600945</v>
      </c>
      <c r="AJ160" s="274">
        <f>+AJ153*AJ159*AJ157/1000</f>
        <v>2589.1141598578938</v>
      </c>
      <c r="AK160" s="274">
        <f>+AK153*AK159*AK157/1000</f>
        <v>3022.4293150900817</v>
      </c>
      <c r="AL160" s="61"/>
      <c r="AM160" s="274">
        <f>+AM153*AM159*AM157/1000</f>
        <v>3010.2610362646842</v>
      </c>
      <c r="AN160" s="274">
        <f>+AN153*AN159*AN157/1000</f>
        <v>2909.6774346875004</v>
      </c>
      <c r="AO160" s="274">
        <f>+AO153*AO159*AO157/1000</f>
        <v>2851.2813515789367</v>
      </c>
      <c r="AP160" s="274">
        <f>+AP153*AP159*AP157/1000</f>
        <v>3321.9178894900419</v>
      </c>
      <c r="AQ160" s="61"/>
    </row>
    <row r="161" spans="2:43" outlineLevel="1" x14ac:dyDescent="0.3">
      <c r="B161" s="140" t="s">
        <v>265</v>
      </c>
      <c r="C161" s="139"/>
      <c r="D161" s="325">
        <f>ROUND((130-D166),0)</f>
        <v>0</v>
      </c>
      <c r="E161" s="325">
        <f>ROUND((98-E166),0)</f>
        <v>0</v>
      </c>
      <c r="F161" s="325">
        <f>ROUND((56-F166),0)</f>
        <v>0</v>
      </c>
      <c r="G161" s="325">
        <f>ROUND((137-G166),0)</f>
        <v>0</v>
      </c>
      <c r="H161" s="141"/>
      <c r="I161" s="325">
        <f>ROUND((128-I166),0)</f>
        <v>0</v>
      </c>
      <c r="J161" s="325">
        <f>ROUND((81-J166),0)</f>
        <v>0</v>
      </c>
      <c r="K161" s="325">
        <f>ROUND((37-K166),0)</f>
        <v>0</v>
      </c>
      <c r="L161" s="325">
        <f>ROUND((125-L166),0)</f>
        <v>0</v>
      </c>
      <c r="M161" s="141"/>
      <c r="N161" s="325">
        <f>ROUND((165-N166),0)</f>
        <v>0</v>
      </c>
      <c r="O161" s="325">
        <f>ROUND((108-O166),0)</f>
        <v>0</v>
      </c>
      <c r="P161" s="325">
        <f>ROUND((49-P166),0)</f>
        <v>0</v>
      </c>
      <c r="Q161" s="325">
        <f>ROUND((168-Q166),0)</f>
        <v>0</v>
      </c>
      <c r="R161" s="196"/>
      <c r="S161" s="174"/>
      <c r="T161" s="174"/>
      <c r="U161" s="174"/>
      <c r="V161" s="174"/>
      <c r="W161" s="141"/>
      <c r="X161" s="174"/>
      <c r="Y161" s="174"/>
      <c r="Z161" s="174"/>
      <c r="AA161" s="174"/>
      <c r="AB161" s="141"/>
      <c r="AC161" s="174"/>
      <c r="AD161" s="174"/>
      <c r="AE161" s="174"/>
      <c r="AF161" s="174"/>
      <c r="AG161" s="141"/>
      <c r="AH161" s="174"/>
      <c r="AI161" s="174"/>
      <c r="AJ161" s="174"/>
      <c r="AK161" s="174"/>
      <c r="AL161" s="141"/>
      <c r="AM161" s="174"/>
      <c r="AN161" s="174"/>
      <c r="AO161" s="174"/>
      <c r="AP161" s="174"/>
      <c r="AQ161" s="141"/>
    </row>
    <row r="162" spans="2:43" outlineLevel="1" x14ac:dyDescent="0.3">
      <c r="B162" s="132" t="s">
        <v>159</v>
      </c>
      <c r="C162" s="139"/>
      <c r="D162" s="173">
        <v>102</v>
      </c>
      <c r="E162" s="173">
        <v>95</v>
      </c>
      <c r="F162" s="173">
        <v>80</v>
      </c>
      <c r="G162" s="173">
        <v>86</v>
      </c>
      <c r="H162" s="141"/>
      <c r="I162" s="173">
        <v>91</v>
      </c>
      <c r="J162" s="173">
        <v>92</v>
      </c>
      <c r="K162" s="173">
        <v>99</v>
      </c>
      <c r="L162" s="173">
        <v>102</v>
      </c>
      <c r="M162" s="141"/>
      <c r="N162" s="173">
        <v>97</v>
      </c>
      <c r="O162" s="173">
        <v>112</v>
      </c>
      <c r="P162" s="173">
        <v>127</v>
      </c>
      <c r="Q162" s="173">
        <v>135</v>
      </c>
      <c r="R162" s="141"/>
      <c r="S162" s="173">
        <v>137</v>
      </c>
      <c r="T162" s="145">
        <f>+S162/S153*T153</f>
        <v>137.32412706134323</v>
      </c>
      <c r="U162" s="145">
        <f t="shared" ref="U162:V162" si="38">+T162/T153*U153</f>
        <v>127.56536099374046</v>
      </c>
      <c r="V162" s="145">
        <f t="shared" si="38"/>
        <v>140.99093166353819</v>
      </c>
      <c r="W162" s="141"/>
      <c r="X162" s="145">
        <f>+V162/V153*X153</f>
        <v>144.89579244791929</v>
      </c>
      <c r="Y162" s="145">
        <f>+X162/X153*Y153</f>
        <v>144.08930147702767</v>
      </c>
      <c r="Z162" s="145">
        <f t="shared" ref="Z162:AA162" si="39">+Y162/Y153*Z153</f>
        <v>134.52984425762003</v>
      </c>
      <c r="AA162" s="145">
        <f t="shared" si="39"/>
        <v>149.41118794868044</v>
      </c>
      <c r="AB162" s="141"/>
      <c r="AC162" s="145">
        <f>(AA162/AA153*AC153)*(1+0.5%)</f>
        <v>153.67362519495043</v>
      </c>
      <c r="AD162" s="145">
        <f>(AC162/AC153*AD153)*(1+0.5%)</f>
        <v>153.49760468107874</v>
      </c>
      <c r="AE162" s="145">
        <f t="shared" ref="AE162:AF162" si="40">(AD162/AD153*AE153)*(1+0.5%)</f>
        <v>144.21683499199736</v>
      </c>
      <c r="AF162" s="145">
        <f t="shared" si="40"/>
        <v>161.02736293136437</v>
      </c>
      <c r="AG162" s="141"/>
      <c r="AH162" s="145">
        <f>(AF162/AF153*AH153)*(1+0.5%)</f>
        <v>165.10134772344486</v>
      </c>
      <c r="AI162" s="145">
        <f>(AH162/AH153*AI153)*(1+0.5%)</f>
        <v>164.8276180948539</v>
      </c>
      <c r="AJ162" s="145">
        <f t="shared" ref="AJ162:AK162" si="41">(AI162/AI153*AJ153)*(1+0.5%)</f>
        <v>154.78385640232923</v>
      </c>
      <c r="AK162" s="145">
        <f t="shared" si="41"/>
        <v>172.66128851393</v>
      </c>
      <c r="AL162" s="141"/>
      <c r="AM162" s="145">
        <f>(AK162/AK153*AM153)*(1+0.5%)</f>
        <v>176.80267000039535</v>
      </c>
      <c r="AN162" s="145">
        <f>(AM162/AM153*AN153)*(1+0.5%)</f>
        <v>176.36572732319732</v>
      </c>
      <c r="AO162" s="145">
        <f t="shared" ref="AO162:AP162" si="42">(AN162/AN153*AO153)*(1+0.5%)</f>
        <v>165.47141172942568</v>
      </c>
      <c r="AP162" s="145">
        <f t="shared" si="42"/>
        <v>184.40094040713549</v>
      </c>
      <c r="AQ162" s="141"/>
    </row>
    <row r="163" spans="2:43" outlineLevel="1" x14ac:dyDescent="0.3">
      <c r="B163" s="132" t="s">
        <v>158</v>
      </c>
      <c r="C163" s="139"/>
      <c r="D163" s="173">
        <v>58</v>
      </c>
      <c r="E163" s="173">
        <v>60</v>
      </c>
      <c r="F163" s="173">
        <v>64</v>
      </c>
      <c r="G163" s="173">
        <v>62</v>
      </c>
      <c r="H163" s="141"/>
      <c r="I163" s="173">
        <v>63</v>
      </c>
      <c r="J163" s="173">
        <v>65</v>
      </c>
      <c r="K163" s="173">
        <v>68</v>
      </c>
      <c r="L163" s="173">
        <v>69</v>
      </c>
      <c r="M163" s="141"/>
      <c r="N163" s="173">
        <v>68</v>
      </c>
      <c r="O163" s="173">
        <v>72</v>
      </c>
      <c r="P163" s="173">
        <v>76</v>
      </c>
      <c r="Q163" s="173">
        <v>80</v>
      </c>
      <c r="R163" s="141"/>
      <c r="S163" s="173">
        <v>78</v>
      </c>
      <c r="T163" s="173">
        <f>S163/(S67+S146+S163+S177)*T18</f>
        <v>71.781038946738676</v>
      </c>
      <c r="U163" s="173">
        <f>T163/(T67+T146+T163+T177)*U18</f>
        <v>72.692676908520141</v>
      </c>
      <c r="V163" s="173">
        <f>U163/(U67+U146+U163+U177)*V18</f>
        <v>74.562523733299329</v>
      </c>
      <c r="W163" s="141"/>
      <c r="X163" s="173">
        <f>V163/(V67+V146+V163+V177)*X18</f>
        <v>77.326034913548057</v>
      </c>
      <c r="Y163" s="173">
        <f>X163/(X67+X146+X163+X177)*Y18</f>
        <v>79.158575267031807</v>
      </c>
      <c r="Z163" s="173">
        <f>Y163/(Y67+Y146+Y163+Y177)*Z18</f>
        <v>80.112995145569684</v>
      </c>
      <c r="AA163" s="173">
        <f>Z163/(Z67+Z146+Z163+Z177)*AA18</f>
        <v>82.054614092810709</v>
      </c>
      <c r="AB163" s="141"/>
      <c r="AC163" s="173">
        <f>AA163/(AA67+AA146+AA163+AA177)*AC18</f>
        <v>84.962483768129417</v>
      </c>
      <c r="AD163" s="173">
        <f>AC163/(AC67+AC146+AC163+AC177)*AD18</f>
        <v>86.912129453032449</v>
      </c>
      <c r="AE163" s="173">
        <f>AD163/(AD67+AD146+AD163+AD177)*AE18</f>
        <v>87.918403719158974</v>
      </c>
      <c r="AF163" s="173">
        <f>AE163/(AE67+AE146+AE163+AE177)*AF18</f>
        <v>89.964128695607627</v>
      </c>
      <c r="AG163" s="141"/>
      <c r="AH163" s="173">
        <f>AF163/(AF67+AF146+AF163+AF177)*AH18</f>
        <v>93.033854165589162</v>
      </c>
      <c r="AI163" s="173">
        <f>AH163/(AH67+AH146+AH163+AH177)*AI18</f>
        <v>95.087829873515645</v>
      </c>
      <c r="AJ163" s="173">
        <f>AI163/(AI67+AI146+AI163+AI177)*AJ18</f>
        <v>96.146120383659323</v>
      </c>
      <c r="AK163" s="173">
        <f>AJ163/(AJ67+AJ146+AJ163+AJ177)*AK18</f>
        <v>98.295676580753877</v>
      </c>
      <c r="AL163" s="141"/>
      <c r="AM163" s="173">
        <f>AK163/(AK67+AK146+AK163+AK177)*AM18</f>
        <v>101.52085792313777</v>
      </c>
      <c r="AN163" s="173">
        <f>AM163/(AM67+AM146+AM163+AM177)*AN18</f>
        <v>103.67337415280585</v>
      </c>
      <c r="AO163" s="173">
        <f>AN163/(AN67+AN146+AN163+AN177)*AO18</f>
        <v>104.78124492879532</v>
      </c>
      <c r="AP163" s="173">
        <f>AO163/(AO67+AO146+AO163+AO177)*AP18</f>
        <v>107.02993683980105</v>
      </c>
      <c r="AQ163" s="141"/>
    </row>
    <row r="164" spans="2:43" outlineLevel="1" x14ac:dyDescent="0.3">
      <c r="B164" s="132" t="s">
        <v>254</v>
      </c>
      <c r="C164" s="139"/>
      <c r="D164" s="173">
        <v>1212</v>
      </c>
      <c r="E164" s="173">
        <v>1194</v>
      </c>
      <c r="F164" s="173">
        <v>1161</v>
      </c>
      <c r="G164" s="173">
        <v>1231</v>
      </c>
      <c r="H164" s="141"/>
      <c r="I164" s="173">
        <f>1275+5</f>
        <v>1280</v>
      </c>
      <c r="J164" s="173">
        <f>1259+5</f>
        <v>1264</v>
      </c>
      <c r="K164" s="173">
        <f>1198+4</f>
        <v>1202</v>
      </c>
      <c r="L164" s="173">
        <f>1299+5</f>
        <v>1304</v>
      </c>
      <c r="M164" s="141"/>
      <c r="N164" s="173">
        <f>1328+6</f>
        <v>1334</v>
      </c>
      <c r="O164" s="173">
        <f>1374+7</f>
        <v>1381</v>
      </c>
      <c r="P164" s="173">
        <f>1354+7</f>
        <v>1361</v>
      </c>
      <c r="Q164" s="173">
        <f>1472+7</f>
        <v>1479</v>
      </c>
      <c r="R164" s="141"/>
      <c r="S164" s="173">
        <v>1568</v>
      </c>
      <c r="T164" s="173">
        <f>+T165*T160</f>
        <v>1598.1164038363047</v>
      </c>
      <c r="U164" s="173">
        <f>+U165*U160</f>
        <v>1582.7522163485801</v>
      </c>
      <c r="V164" s="173">
        <f>+V165*V160</f>
        <v>1719.6616015572638</v>
      </c>
      <c r="W164" s="141"/>
      <c r="X164" s="173">
        <f>+X165*X160</f>
        <v>1755.6831951619984</v>
      </c>
      <c r="Y164" s="173">
        <f>+Y165*Y160</f>
        <v>1766.7538882407564</v>
      </c>
      <c r="Z164" s="173">
        <f>+Z165*Z160</f>
        <v>1765.5619285776111</v>
      </c>
      <c r="AA164" s="173">
        <f>+AA165*AA160</f>
        <v>1935.9170456009495</v>
      </c>
      <c r="AB164" s="141"/>
      <c r="AC164" s="173">
        <f>+AC165*AC160</f>
        <v>1935.9148469156821</v>
      </c>
      <c r="AD164" s="173">
        <f>+AD165*AD160</f>
        <v>1947.6692731255262</v>
      </c>
      <c r="AE164" s="173">
        <f>+AE165*AE160</f>
        <v>1951.3140921886379</v>
      </c>
      <c r="AF164" s="173">
        <f>+AF165*AF160</f>
        <v>2139.3009019861142</v>
      </c>
      <c r="AG164" s="141"/>
      <c r="AH164" s="173">
        <f>+AH165*AH160</f>
        <v>2159.98029315033</v>
      </c>
      <c r="AI164" s="173">
        <f>+AI165*AI160</f>
        <v>2170.7053033961975</v>
      </c>
      <c r="AJ164" s="173">
        <f>+AJ165*AJ160</f>
        <v>2172.3417285965447</v>
      </c>
      <c r="AK164" s="173">
        <f>+AK165*AK160</f>
        <v>2377.5644789115408</v>
      </c>
      <c r="AL164" s="141"/>
      <c r="AM164" s="173">
        <f>+AM165*AM160</f>
        <v>2394.3565290677689</v>
      </c>
      <c r="AN164" s="173">
        <f>+AN165*AN160</f>
        <v>2402.0576266637618</v>
      </c>
      <c r="AO164" s="173">
        <f>+AO165*AO160</f>
        <v>2399.4357949237096</v>
      </c>
      <c r="AP164" s="173">
        <f>+AP165*AP160</f>
        <v>2621.4590334282025</v>
      </c>
      <c r="AQ164" s="141"/>
    </row>
    <row r="165" spans="2:43" outlineLevel="1" x14ac:dyDescent="0.3">
      <c r="B165" s="132" t="s">
        <v>256</v>
      </c>
      <c r="C165" s="139"/>
      <c r="D165" s="326">
        <f>+D164/D160</f>
        <v>0.80705463210293082</v>
      </c>
      <c r="E165" s="326">
        <f>+E164/E160</f>
        <v>0.82523272792482782</v>
      </c>
      <c r="F165" s="326">
        <f>+F164/F160</f>
        <v>0.85335847779573759</v>
      </c>
      <c r="G165" s="326">
        <f>+G164/G160</f>
        <v>0.81225208876286803</v>
      </c>
      <c r="H165" s="141"/>
      <c r="I165" s="326">
        <f>+I164/I160</f>
        <v>0.81972069279347959</v>
      </c>
      <c r="J165" s="326">
        <f>+J164/J160</f>
        <v>0.84140286553924559</v>
      </c>
      <c r="K165" s="326">
        <f>+K164/K160</f>
        <v>0.85470116239181471</v>
      </c>
      <c r="L165" s="326">
        <f>+L164/L160</f>
        <v>0.81493681550388364</v>
      </c>
      <c r="M165" s="141"/>
      <c r="N165" s="151">
        <f>+N164/N160</f>
        <v>0.8016405059760654</v>
      </c>
      <c r="O165" s="151">
        <f>+O164/O160</f>
        <v>0.82554086512402136</v>
      </c>
      <c r="P165" s="151">
        <f>+P164/P160</f>
        <v>0.84402894753616275</v>
      </c>
      <c r="Q165" s="151">
        <f>+Q164/Q160</f>
        <v>0.79414022580811927</v>
      </c>
      <c r="R165" s="184"/>
      <c r="S165" s="151">
        <f>+S164/S160</f>
        <v>0.80039830606811202</v>
      </c>
      <c r="T165" s="182">
        <f>+O165+0.5%</f>
        <v>0.83054086512402137</v>
      </c>
      <c r="U165" s="182">
        <f>+P165+0.25%</f>
        <v>0.8465289475361627</v>
      </c>
      <c r="V165" s="182">
        <f>+Q165</f>
        <v>0.79414022580811927</v>
      </c>
      <c r="W165" s="141"/>
      <c r="X165" s="182">
        <f>+S165</f>
        <v>0.80039830606811202</v>
      </c>
      <c r="Y165" s="182">
        <f>+T165</f>
        <v>0.83054086512402137</v>
      </c>
      <c r="Z165" s="182">
        <f>+U165</f>
        <v>0.8465289475361627</v>
      </c>
      <c r="AA165" s="182">
        <f>+V165</f>
        <v>0.79414022580811927</v>
      </c>
      <c r="AB165" s="141"/>
      <c r="AC165" s="182">
        <f>+X165-1%</f>
        <v>0.79039830606811201</v>
      </c>
      <c r="AD165" s="182">
        <f>+Y165-1%</f>
        <v>0.82054086512402136</v>
      </c>
      <c r="AE165" s="182">
        <f>+Z165-1%</f>
        <v>0.83652894753616269</v>
      </c>
      <c r="AF165" s="182">
        <f>+AA165-1%</f>
        <v>0.78414022580811926</v>
      </c>
      <c r="AG165" s="141"/>
      <c r="AH165" s="182">
        <f>+AC165+0.25%</f>
        <v>0.79289830606811196</v>
      </c>
      <c r="AI165" s="182">
        <f>+AD165+0.25%</f>
        <v>0.8230408651240213</v>
      </c>
      <c r="AJ165" s="182">
        <f>+AE165+0.25%</f>
        <v>0.83902894753616264</v>
      </c>
      <c r="AK165" s="182">
        <f>+AF165+0.25%</f>
        <v>0.78664022580811921</v>
      </c>
      <c r="AL165" s="141"/>
      <c r="AM165" s="182">
        <f>+AH165+0.25%</f>
        <v>0.7953983060681119</v>
      </c>
      <c r="AN165" s="182">
        <f>+AI165+0.25%</f>
        <v>0.82554086512402125</v>
      </c>
      <c r="AO165" s="182">
        <f>+AJ165+0.25%</f>
        <v>0.84152894753616259</v>
      </c>
      <c r="AP165" s="182">
        <f>+AK165+0.25%</f>
        <v>0.78914022580811916</v>
      </c>
      <c r="AQ165" s="141"/>
    </row>
    <row r="166" spans="2:43" outlineLevel="1" x14ac:dyDescent="0.3">
      <c r="B166" s="177" t="s">
        <v>266</v>
      </c>
      <c r="C166" s="139"/>
      <c r="D166" s="174">
        <f t="shared" ref="D166:Q166" si="43">+D160-D163-D164-D162</f>
        <v>129.75707045000013</v>
      </c>
      <c r="E166" s="174">
        <f t="shared" si="43"/>
        <v>97.8645747999999</v>
      </c>
      <c r="F166" s="174">
        <f t="shared" si="43"/>
        <v>55.506786079999983</v>
      </c>
      <c r="G166" s="174">
        <f t="shared" si="43"/>
        <v>136.53934675000005</v>
      </c>
      <c r="H166" s="141">
        <f t="shared" si="43"/>
        <v>0</v>
      </c>
      <c r="I166" s="174">
        <f t="shared" si="43"/>
        <v>127.50748816399982</v>
      </c>
      <c r="J166" s="174">
        <f t="shared" si="43"/>
        <v>81.25302499999998</v>
      </c>
      <c r="K166" s="174">
        <f t="shared" si="43"/>
        <v>37.339493719999837</v>
      </c>
      <c r="L166" s="174">
        <f t="shared" si="43"/>
        <v>125.12405279999984</v>
      </c>
      <c r="M166" s="141">
        <f t="shared" si="43"/>
        <v>0</v>
      </c>
      <c r="N166" s="174">
        <f t="shared" si="43"/>
        <v>165.08756799999992</v>
      </c>
      <c r="O166" s="174">
        <f t="shared" si="43"/>
        <v>107.84268816000008</v>
      </c>
      <c r="P166" s="174">
        <f t="shared" si="43"/>
        <v>48.503936000000067</v>
      </c>
      <c r="Q166" s="174">
        <f t="shared" si="43"/>
        <v>168.39149199999974</v>
      </c>
      <c r="R166" s="196"/>
      <c r="S166" s="174">
        <f>+S160-S163-S164-S162</f>
        <v>176.02463574999979</v>
      </c>
      <c r="T166" s="174">
        <f>+T160-T163-T164-T162</f>
        <v>116.96599387972287</v>
      </c>
      <c r="U166" s="174">
        <f>+U160-U163-U164-U162</f>
        <v>86.686252826924488</v>
      </c>
      <c r="V166" s="174">
        <f>+V160-V163-V164-V162</f>
        <v>230.22316877905732</v>
      </c>
      <c r="W166" s="141"/>
      <c r="X166" s="174">
        <f>+X160-X163-X164-X162</f>
        <v>215.60686006239513</v>
      </c>
      <c r="Y166" s="174">
        <f>+Y160-Y163-Y164-Y162</f>
        <v>137.2311773423919</v>
      </c>
      <c r="Z166" s="174">
        <f>+Z160-Z163-Z164-Z162</f>
        <v>105.44384889911811</v>
      </c>
      <c r="AA166" s="174">
        <f>+AA160-AA163-AA164-AA162</f>
        <v>270.36930580244348</v>
      </c>
      <c r="AB166" s="141"/>
      <c r="AC166" s="174">
        <f>+AC160-AC163-AC164-AC162</f>
        <v>274.73927165982798</v>
      </c>
      <c r="AD166" s="174">
        <f>+AD160-AD163-AD164-AD162</f>
        <v>185.56178981528242</v>
      </c>
      <c r="AE166" s="174">
        <f>+AE160-AE163-AE164-AE162</f>
        <v>149.18254984487493</v>
      </c>
      <c r="AF166" s="174">
        <f>+AF160-AF163-AF164-AF162</f>
        <v>337.91976994655477</v>
      </c>
      <c r="AG166" s="141"/>
      <c r="AH166" s="174">
        <f>+AH160-AH163-AH164-AH162</f>
        <v>306.04254215132482</v>
      </c>
      <c r="AI166" s="174">
        <f>+AI160-AI163-AI164-AI162</f>
        <v>206.80029949552755</v>
      </c>
      <c r="AJ166" s="174">
        <f>+AJ160-AJ163-AJ164-AJ162</f>
        <v>165.84245447536054</v>
      </c>
      <c r="AK166" s="174">
        <f>+AK160-AK163-AK164-AK162</f>
        <v>373.90787108385689</v>
      </c>
      <c r="AL166" s="141"/>
      <c r="AM166" s="174">
        <f>+AM160-AM163-AM164-AM162</f>
        <v>337.58097927338247</v>
      </c>
      <c r="AN166" s="174">
        <f>+AN160-AN163-AN164-AN162</f>
        <v>227.58070654773533</v>
      </c>
      <c r="AO166" s="174">
        <f>+AO160-AO163-AO164-AO162</f>
        <v>181.59289999700601</v>
      </c>
      <c r="AP166" s="174">
        <f>+AP160-AP163-AP164-AP162</f>
        <v>409.02797881490301</v>
      </c>
      <c r="AQ166" s="141"/>
    </row>
    <row r="167" spans="2:43" outlineLevel="1" x14ac:dyDescent="0.3">
      <c r="B167" s="177" t="s">
        <v>267</v>
      </c>
      <c r="C167" s="136"/>
      <c r="D167" s="198">
        <f>+D166/(D160)</f>
        <v>8.6403502272919902E-2</v>
      </c>
      <c r="E167" s="198">
        <f>+E166/(E160)</f>
        <v>6.7639070376388E-2</v>
      </c>
      <c r="F167" s="198">
        <f>+F166/(F160)</f>
        <v>4.0798610229597264E-2</v>
      </c>
      <c r="G167" s="198">
        <f>+G166/(G160)</f>
        <v>9.0092907876527253E-2</v>
      </c>
      <c r="H167" s="142"/>
      <c r="I167" s="198">
        <f>+I166/(I160)</f>
        <v>8.1656661354804941E-2</v>
      </c>
      <c r="J167" s="198">
        <f>+J166/(J160)</f>
        <v>5.4087443092351223E-2</v>
      </c>
      <c r="K167" s="198">
        <f>+K166/(K160)</f>
        <v>2.655083917271691E-2</v>
      </c>
      <c r="L167" s="198">
        <f>+L166/(L160)</f>
        <v>7.8196470193076434E-2</v>
      </c>
      <c r="M167" s="142"/>
      <c r="N167" s="198">
        <f>+N166/(N160)</f>
        <v>9.9206058127344857E-2</v>
      </c>
      <c r="O167" s="198">
        <f>+O166/(O160)</f>
        <v>6.4466724171547085E-2</v>
      </c>
      <c r="P167" s="198">
        <f>+P166/(P160)</f>
        <v>3.0079886887172266E-2</v>
      </c>
      <c r="Q167" s="198">
        <f>+Q166/(Q160)</f>
        <v>9.0416806951349502E-2</v>
      </c>
      <c r="R167" s="179"/>
      <c r="S167" s="198">
        <f>+S166/(S160)</f>
        <v>8.9853201709538436E-2</v>
      </c>
      <c r="T167" s="198">
        <f>+T166/(T160)</f>
        <v>6.0787210189293943E-2</v>
      </c>
      <c r="U167" s="198">
        <f>+U166/(U160)</f>
        <v>4.6363809580203169E-2</v>
      </c>
      <c r="V167" s="198">
        <f>+V166/(V160)</f>
        <v>0.10631712604090103</v>
      </c>
      <c r="W167" s="142"/>
      <c r="X167" s="198">
        <f>+X166/(X160)</f>
        <v>9.829299844422229E-2</v>
      </c>
      <c r="Y167" s="198">
        <f>+Y166/(Y160)</f>
        <v>6.4511589028073274E-2</v>
      </c>
      <c r="Z167" s="198">
        <f>+Z166/(Z160)</f>
        <v>5.0556861805829793E-2</v>
      </c>
      <c r="AA167" s="198">
        <f>+AA166/(AA160)</f>
        <v>0.11090926754812785</v>
      </c>
      <c r="AB167" s="142"/>
      <c r="AC167" s="198">
        <f>+AC166/(AC160)</f>
        <v>0.112170974501428</v>
      </c>
      <c r="AD167" s="198">
        <f>+AD166/(AD160)</f>
        <v>7.8176019743153038E-2</v>
      </c>
      <c r="AE167" s="198">
        <f>+AE166/(AE160)</f>
        <v>6.3954604700528189E-2</v>
      </c>
      <c r="AF167" s="198">
        <f>+AF166/(AF160)</f>
        <v>0.12386125040424026</v>
      </c>
      <c r="AG167" s="142"/>
      <c r="AH167" s="198">
        <f>+AH166/(AH160)</f>
        <v>0.11234390148191761</v>
      </c>
      <c r="AI167" s="198">
        <f>+AI166/(AI160)</f>
        <v>7.8410043564370396E-2</v>
      </c>
      <c r="AJ167" s="198">
        <f>+AJ166/(AJ160)</f>
        <v>6.4053743572459146E-2</v>
      </c>
      <c r="AK167" s="198">
        <f>+AK166/(AK160)</f>
        <v>0.12371103906948203</v>
      </c>
      <c r="AL167" s="142"/>
      <c r="AM167" s="198">
        <f>+AM166/(AM160)</f>
        <v>0.11214342384482164</v>
      </c>
      <c r="AN167" s="198">
        <f>+AN166/(AN160)</f>
        <v>7.8215098290500898E-2</v>
      </c>
      <c r="AO167" s="198">
        <f>+AO166/(AO160)</f>
        <v>6.3688173002094797E-2</v>
      </c>
      <c r="AP167" s="198">
        <f>+AP166/(AP160)</f>
        <v>0.12313006896076356</v>
      </c>
      <c r="AQ167" s="142"/>
    </row>
    <row r="168" spans="2:43" ht="15.6" x14ac:dyDescent="0.3">
      <c r="B168" s="630" t="s">
        <v>250</v>
      </c>
      <c r="C168" s="638"/>
      <c r="D168" s="95" t="s">
        <v>71</v>
      </c>
      <c r="E168" s="95" t="s">
        <v>74</v>
      </c>
      <c r="F168" s="95" t="s">
        <v>75</v>
      </c>
      <c r="G168" s="95" t="s">
        <v>79</v>
      </c>
      <c r="H168" s="408"/>
      <c r="I168" s="95" t="s">
        <v>81</v>
      </c>
      <c r="J168" s="95" t="s">
        <v>92</v>
      </c>
      <c r="K168" s="95" t="s">
        <v>110</v>
      </c>
      <c r="L168" s="95" t="s">
        <v>114</v>
      </c>
      <c r="M168" s="408"/>
      <c r="N168" s="95" t="s">
        <v>116</v>
      </c>
      <c r="O168" s="95" t="s">
        <v>117</v>
      </c>
      <c r="P168" s="95" t="s">
        <v>118</v>
      </c>
      <c r="Q168" s="95" t="s">
        <v>119</v>
      </c>
      <c r="R168" s="408"/>
      <c r="S168" s="95" t="s">
        <v>518</v>
      </c>
      <c r="T168" s="97" t="s">
        <v>378</v>
      </c>
      <c r="U168" s="97" t="s">
        <v>379</v>
      </c>
      <c r="V168" s="97" t="s">
        <v>380</v>
      </c>
      <c r="W168" s="412"/>
      <c r="X168" s="97" t="s">
        <v>382</v>
      </c>
      <c r="Y168" s="97" t="s">
        <v>383</v>
      </c>
      <c r="Z168" s="97" t="s">
        <v>384</v>
      </c>
      <c r="AA168" s="97" t="s">
        <v>385</v>
      </c>
      <c r="AB168" s="412"/>
      <c r="AC168" s="97" t="s">
        <v>387</v>
      </c>
      <c r="AD168" s="97" t="s">
        <v>388</v>
      </c>
      <c r="AE168" s="97" t="s">
        <v>389</v>
      </c>
      <c r="AF168" s="97" t="s">
        <v>390</v>
      </c>
      <c r="AG168" s="412"/>
      <c r="AH168" s="97" t="s">
        <v>392</v>
      </c>
      <c r="AI168" s="97" t="s">
        <v>393</v>
      </c>
      <c r="AJ168" s="97" t="s">
        <v>394</v>
      </c>
      <c r="AK168" s="97" t="s">
        <v>395</v>
      </c>
      <c r="AL168" s="412"/>
      <c r="AM168" s="97" t="s">
        <v>397</v>
      </c>
      <c r="AN168" s="97" t="s">
        <v>398</v>
      </c>
      <c r="AO168" s="97" t="s">
        <v>399</v>
      </c>
      <c r="AP168" s="97" t="s">
        <v>400</v>
      </c>
      <c r="AQ168" s="412"/>
    </row>
    <row r="169" spans="2:43" ht="15.6" outlineLevel="1" x14ac:dyDescent="0.3">
      <c r="B169" s="306" t="s">
        <v>251</v>
      </c>
      <c r="C169" s="180"/>
      <c r="D169" s="144">
        <v>390</v>
      </c>
      <c r="E169" s="144">
        <v>403</v>
      </c>
      <c r="F169" s="144">
        <v>384</v>
      </c>
      <c r="G169" s="144">
        <v>416</v>
      </c>
      <c r="H169" s="175"/>
      <c r="I169" s="144">
        <v>395</v>
      </c>
      <c r="J169" s="144">
        <v>414</v>
      </c>
      <c r="K169" s="144">
        <v>389</v>
      </c>
      <c r="L169" s="144">
        <v>423</v>
      </c>
      <c r="M169" s="175"/>
      <c r="N169" s="144">
        <v>400</v>
      </c>
      <c r="O169" s="144">
        <v>416</v>
      </c>
      <c r="P169" s="144">
        <v>397</v>
      </c>
      <c r="Q169" s="269">
        <v>437</v>
      </c>
      <c r="R169" s="55"/>
      <c r="S169" s="269">
        <v>417</v>
      </c>
      <c r="T169" s="129">
        <f>+O169*(1+T170)</f>
        <v>426.50331331790755</v>
      </c>
      <c r="U169" s="129">
        <f>+P169*(1+U170)</f>
        <v>409.05002475195568</v>
      </c>
      <c r="V169" s="129">
        <f>+Q169*(1+V170)</f>
        <v>451.3333796667423</v>
      </c>
      <c r="W169" s="59"/>
      <c r="X169" s="129">
        <f>+S169*(1+X170)</f>
        <v>430.64638257837618</v>
      </c>
      <c r="Y169" s="129">
        <f>+T169*(1+Y170)</f>
        <v>439.41844038752953</v>
      </c>
      <c r="Z169" s="129">
        <f>+U169*(1+Z170)</f>
        <v>421.95133610174918</v>
      </c>
      <c r="AA169" s="129">
        <f>+V169*(1+AA170)</f>
        <v>465.7022263062845</v>
      </c>
      <c r="AB169" s="59"/>
      <c r="AC169" s="129">
        <f>+X169*(1+AC170)</f>
        <v>444.25294447761451</v>
      </c>
      <c r="AD169" s="129">
        <f>+Y169*(1+AD170)</f>
        <v>453.17808430552492</v>
      </c>
      <c r="AE169" s="129">
        <f>+Z169*(1+AE170)</f>
        <v>435.27287834982116</v>
      </c>
      <c r="AF169" s="129">
        <f>+AA169*(1+AF170)</f>
        <v>480.40871735501605</v>
      </c>
      <c r="AG169" s="59"/>
      <c r="AH169" s="129">
        <f>+AC169*(1+AH170)</f>
        <v>457.14288000443787</v>
      </c>
      <c r="AI169" s="129">
        <f>+AD169*(1+AI170)</f>
        <v>466.03458924080724</v>
      </c>
      <c r="AJ169" s="129">
        <f>+AE169*(1+AJ170)</f>
        <v>447.30109575550989</v>
      </c>
      <c r="AK169" s="129">
        <f>+AF169*(1+AK170)</f>
        <v>493.21130004627548</v>
      </c>
      <c r="AL169" s="59"/>
      <c r="AM169" s="129">
        <f>+AH169*(1+AM170)</f>
        <v>468.76203541214619</v>
      </c>
      <c r="AN169" s="129">
        <f>+AI169*(1+AN170)</f>
        <v>477.46055141207501</v>
      </c>
      <c r="AO169" s="129">
        <f>+AJ169*(1+AO170)</f>
        <v>457.83698328749227</v>
      </c>
      <c r="AP169" s="129">
        <f>+AK169*(1+AP170)</f>
        <v>504.32557269395147</v>
      </c>
      <c r="AQ169" s="59"/>
    </row>
    <row r="170" spans="2:43" ht="15.6" outlineLevel="1" x14ac:dyDescent="0.3">
      <c r="B170" s="146" t="s">
        <v>252</v>
      </c>
      <c r="C170" s="180"/>
      <c r="D170" s="171">
        <f>+D169/374-1</f>
        <v>4.2780748663101553E-2</v>
      </c>
      <c r="E170" s="171">
        <f>+E169/394-1</f>
        <v>2.2842639593908531E-2</v>
      </c>
      <c r="F170" s="171">
        <f>+F169/370-1</f>
        <v>3.7837837837837895E-2</v>
      </c>
      <c r="G170" s="171">
        <f>+G169/407-1</f>
        <v>2.2113022113022129E-2</v>
      </c>
      <c r="H170" s="175"/>
      <c r="I170" s="171">
        <f>+I169/D169-1</f>
        <v>1.2820512820512775E-2</v>
      </c>
      <c r="J170" s="171">
        <f>+J169/E169-1</f>
        <v>2.7295285359801413E-2</v>
      </c>
      <c r="K170" s="171">
        <f>+K169/F169-1</f>
        <v>1.3020833333333259E-2</v>
      </c>
      <c r="L170" s="171">
        <f>+L169/G169-1</f>
        <v>1.6826923076923128E-2</v>
      </c>
      <c r="M170" s="175"/>
      <c r="N170" s="171">
        <f>+N169/I169-1</f>
        <v>1.2658227848101333E-2</v>
      </c>
      <c r="O170" s="171">
        <f>+O169/J169-1</f>
        <v>4.8309178743961567E-3</v>
      </c>
      <c r="P170" s="171">
        <f>+P169/K169-1</f>
        <v>2.0565552699228773E-2</v>
      </c>
      <c r="Q170" s="171">
        <f>+Q169/L169-1</f>
        <v>3.3096926713948038E-2</v>
      </c>
      <c r="R170" s="81"/>
      <c r="S170" s="171">
        <f>+S169/N169-1</f>
        <v>4.2499999999999982E-2</v>
      </c>
      <c r="T170" s="182">
        <f>AVERAGE(S170,Q170,P170,O170)</f>
        <v>2.5248349321893238E-2</v>
      </c>
      <c r="U170" s="182">
        <f>AVERAGE(T170,S170,Q170,P170)</f>
        <v>3.0352707183767508E-2</v>
      </c>
      <c r="V170" s="182">
        <f>AVERAGE(U170,T170,S170,Q170)</f>
        <v>3.2799495804902191E-2</v>
      </c>
      <c r="W170" s="59"/>
      <c r="X170" s="182">
        <f>AVERAGE(V170,U170,T170,S170)</f>
        <v>3.2725138077640728E-2</v>
      </c>
      <c r="Y170" s="182">
        <f>AVERAGE(X170,V170,U170,T170)</f>
        <v>3.0281422597050918E-2</v>
      </c>
      <c r="Z170" s="182">
        <f>AVERAGE(Y170,X170,V170,U170)</f>
        <v>3.1539690915840336E-2</v>
      </c>
      <c r="AA170" s="182">
        <f>AVERAGE(Z170,Y170,X170,V170)</f>
        <v>3.1836436848858542E-2</v>
      </c>
      <c r="AB170" s="59"/>
      <c r="AC170" s="182">
        <f>AVERAGE(AA170,Z170,Y170,X170)</f>
        <v>3.1595672109847636E-2</v>
      </c>
      <c r="AD170" s="182">
        <f>AVERAGE(AC170,AA170,Z170,Y170)</f>
        <v>3.1313305617899356E-2</v>
      </c>
      <c r="AE170" s="182">
        <f>AVERAGE(AD170,AC170,AA170,Z170)</f>
        <v>3.1571276373111468E-2</v>
      </c>
      <c r="AF170" s="182">
        <f>AVERAGE(AE170,AD170,AC170,AA170)</f>
        <v>3.1579172737429252E-2</v>
      </c>
      <c r="AG170" s="59"/>
      <c r="AH170" s="182">
        <f>AVERAGE(AF170,AE170,AD170,AC170)-0.25%</f>
        <v>2.9014856709571924E-2</v>
      </c>
      <c r="AI170" s="182">
        <f>AVERAGE(AH170,AF170,AE170,AD170)-0.25%</f>
        <v>2.8369652859503002E-2</v>
      </c>
      <c r="AJ170" s="182">
        <f>AVERAGE(AI170,AH170,AF170,AE170)-0.25%</f>
        <v>2.7633739669903911E-2</v>
      </c>
      <c r="AK170" s="182">
        <f>AVERAGE(AJ170,AI170,AH170,AF170)-0.25%</f>
        <v>2.6649355494102026E-2</v>
      </c>
      <c r="AL170" s="59"/>
      <c r="AM170" s="182">
        <f>AVERAGE(AK170,AJ170,AI170,AH170)-0.25%</f>
        <v>2.5416901183270217E-2</v>
      </c>
      <c r="AN170" s="182">
        <f>AVERAGE(AM170,AK170,AJ170,AI170)-0.25%</f>
        <v>2.4517412301694793E-2</v>
      </c>
      <c r="AO170" s="182">
        <f>AVERAGE(AN170,AM170,AK170,AJ170)-0.25%</f>
        <v>2.3554352162242737E-2</v>
      </c>
      <c r="AP170" s="182">
        <f>AVERAGE(AO170,AN170,AM170,AK170)-0.25%</f>
        <v>2.2534505285327442E-2</v>
      </c>
      <c r="AQ170" s="59"/>
    </row>
    <row r="171" spans="2:43" s="58" customFormat="1" ht="15.6" outlineLevel="1" x14ac:dyDescent="0.3">
      <c r="B171" s="337" t="s">
        <v>273</v>
      </c>
      <c r="C171" s="338"/>
      <c r="D171" s="339"/>
      <c r="E171" s="322"/>
      <c r="F171" s="322"/>
      <c r="G171" s="322"/>
      <c r="H171" s="340"/>
      <c r="I171" s="322"/>
      <c r="J171" s="322"/>
      <c r="K171" s="322"/>
      <c r="L171" s="322"/>
      <c r="M171" s="340"/>
      <c r="N171" s="322"/>
      <c r="O171" s="322"/>
      <c r="P171" s="322"/>
      <c r="Q171" s="322"/>
      <c r="R171" s="341"/>
      <c r="S171" s="322"/>
      <c r="T171" s="322"/>
      <c r="U171" s="322"/>
      <c r="V171" s="322"/>
      <c r="W171" s="170"/>
      <c r="X171" s="322"/>
      <c r="Y171" s="322"/>
      <c r="Z171" s="322"/>
      <c r="AA171" s="322"/>
      <c r="AB171" s="170"/>
      <c r="AC171" s="322"/>
      <c r="AD171" s="322"/>
      <c r="AE171" s="322"/>
      <c r="AF171" s="322"/>
      <c r="AG171" s="170"/>
      <c r="AH171" s="322"/>
      <c r="AI171" s="322"/>
      <c r="AJ171" s="322"/>
      <c r="AK171" s="322"/>
      <c r="AL171" s="170"/>
      <c r="AM171" s="322"/>
      <c r="AN171" s="322"/>
      <c r="AO171" s="322"/>
      <c r="AP171" s="322"/>
      <c r="AQ171" s="170"/>
    </row>
    <row r="172" spans="2:43" ht="15.6" outlineLevel="1" x14ac:dyDescent="0.3">
      <c r="B172" s="183" t="s">
        <v>335</v>
      </c>
      <c r="C172" s="176"/>
      <c r="D172" s="173">
        <v>578.5</v>
      </c>
      <c r="E172" s="173">
        <v>596</v>
      </c>
      <c r="F172" s="173">
        <v>531</v>
      </c>
      <c r="G172" s="173">
        <v>637</v>
      </c>
      <c r="H172" s="342"/>
      <c r="I172" s="173">
        <v>564.4</v>
      </c>
      <c r="J172" s="173">
        <v>608</v>
      </c>
      <c r="K172" s="173">
        <v>542.4</v>
      </c>
      <c r="L172" s="173">
        <v>587.4</v>
      </c>
      <c r="M172" s="342"/>
      <c r="N172" s="173">
        <v>587.5</v>
      </c>
      <c r="O172" s="173">
        <v>623</v>
      </c>
      <c r="P172" s="173">
        <v>590</v>
      </c>
      <c r="Q172" s="173">
        <v>620</v>
      </c>
      <c r="R172" s="141"/>
      <c r="S172" s="173">
        <v>655.4</v>
      </c>
      <c r="T172" s="145">
        <f>AVERAGE(S172,Q172,P172,O172)</f>
        <v>622.1</v>
      </c>
      <c r="U172" s="145">
        <f>AVERAGE(T172,S172,Q172,P172)</f>
        <v>621.875</v>
      </c>
      <c r="V172" s="145">
        <f>AVERAGE(U172,T172,S172,Q172)</f>
        <v>629.84375</v>
      </c>
      <c r="W172" s="141"/>
      <c r="X172" s="145">
        <f>AVERAGE(V172,U172,T172,S172)</f>
        <v>632.3046875</v>
      </c>
      <c r="Y172" s="145">
        <f>AVERAGE(X172,V172,U172,T172)</f>
        <v>626.53085937499998</v>
      </c>
      <c r="Z172" s="145">
        <f>AVERAGE(Y172,X172,V172,U172)</f>
        <v>627.63857421875002</v>
      </c>
      <c r="AA172" s="145">
        <f>AVERAGE(Z172,Y172,X172,V172)</f>
        <v>629.0794677734375</v>
      </c>
      <c r="AB172" s="141"/>
      <c r="AC172" s="145">
        <f>AVERAGE(AA172,Z172,Y172,X172)</f>
        <v>628.88839721679688</v>
      </c>
      <c r="AD172" s="145">
        <f>AVERAGE(AC172,AA172,Z172,Y172)</f>
        <v>628.03432464599609</v>
      </c>
      <c r="AE172" s="145">
        <f>AVERAGE(AD172,AC172,AA172,Z172)</f>
        <v>628.41019096374509</v>
      </c>
      <c r="AF172" s="145">
        <f>AVERAGE(AE172,AD172,AC172,AA172)</f>
        <v>628.60309514999392</v>
      </c>
      <c r="AG172" s="141"/>
      <c r="AH172" s="145">
        <f>AVERAGE(AF172,AE172,AD172,AC172)</f>
        <v>628.484001994133</v>
      </c>
      <c r="AI172" s="145">
        <f>AVERAGE(AH172,AF172,AE172,AD172)</f>
        <v>628.38290318846703</v>
      </c>
      <c r="AJ172" s="145">
        <f>AVERAGE(AI172,AH172,AF172,AE172)</f>
        <v>628.47004782408476</v>
      </c>
      <c r="AK172" s="145">
        <f>AVERAGE(AJ172,AI172,AH172,AF172)</f>
        <v>628.48501203916965</v>
      </c>
      <c r="AL172" s="141"/>
      <c r="AM172" s="145">
        <f>AVERAGE(AK172,AJ172,AI172,AH172)</f>
        <v>628.45549126146364</v>
      </c>
      <c r="AN172" s="145">
        <f>AVERAGE(AM172,AK172,AJ172,AI172)</f>
        <v>628.44836357829627</v>
      </c>
      <c r="AO172" s="145">
        <f>AVERAGE(AN172,AM172,AK172,AJ172)</f>
        <v>628.46472867575358</v>
      </c>
      <c r="AP172" s="145">
        <f>AVERAGE(AO172,AN172,AM172,AK172)</f>
        <v>628.46339888867078</v>
      </c>
      <c r="AQ172" s="141"/>
    </row>
    <row r="173" spans="2:43" ht="15.6" outlineLevel="1" x14ac:dyDescent="0.3">
      <c r="B173" s="183" t="s">
        <v>336</v>
      </c>
      <c r="C173" s="176"/>
      <c r="D173" s="173">
        <v>-43.4</v>
      </c>
      <c r="E173" s="173">
        <v>-83</v>
      </c>
      <c r="F173" s="173">
        <v>-329</v>
      </c>
      <c r="G173" s="173">
        <v>-1613.5</v>
      </c>
      <c r="H173" s="141"/>
      <c r="I173" s="173">
        <f>-80.5-1</f>
        <v>-81.5</v>
      </c>
      <c r="J173" s="173">
        <f>-88-1</f>
        <v>-89</v>
      </c>
      <c r="K173" s="173">
        <f>-90.5-1</f>
        <v>-91.5</v>
      </c>
      <c r="L173" s="173">
        <f>-140.5-24</f>
        <v>-164.5</v>
      </c>
      <c r="M173" s="141"/>
      <c r="N173" s="173">
        <f>-118-3</f>
        <v>-121</v>
      </c>
      <c r="O173" s="173">
        <f>-87-3</f>
        <v>-90</v>
      </c>
      <c r="P173" s="173">
        <f>-119-3</f>
        <v>-122</v>
      </c>
      <c r="Q173" s="173">
        <f>-507-13</f>
        <v>-520</v>
      </c>
      <c r="R173" s="141"/>
      <c r="S173" s="173">
        <v>-139</v>
      </c>
      <c r="T173" s="173">
        <f>+T172-T174-T206</f>
        <v>-117.70000000000005</v>
      </c>
      <c r="U173" s="173">
        <f>+U172-U174-U206</f>
        <v>-126.85833333333323</v>
      </c>
      <c r="V173" s="173">
        <f>+V172-V174-V206</f>
        <v>96.096478839869434</v>
      </c>
      <c r="W173" s="141"/>
      <c r="X173" s="173">
        <f>+X172-X174-X206</f>
        <v>-128.67309027777776</v>
      </c>
      <c r="Y173" s="173">
        <f>+Y172-Y174-Y206</f>
        <v>-126.09136284722229</v>
      </c>
      <c r="Z173" s="173">
        <f>+Z172-Z174-Z206</f>
        <v>-128.18920355902765</v>
      </c>
      <c r="AA173" s="173">
        <f>+AA172-AA174-AA206</f>
        <v>-28.521921115451335</v>
      </c>
      <c r="AB173" s="141"/>
      <c r="AC173" s="173">
        <f>+AC172-AC174-AC206</f>
        <v>-127.86889444986969</v>
      </c>
      <c r="AD173" s="173">
        <f>+AD172-AD174-AD206</f>
        <v>-127.66784549289275</v>
      </c>
      <c r="AE173" s="173">
        <f>+AE172-AE174-AE206</f>
        <v>-128.06196615431031</v>
      </c>
      <c r="AF173" s="173">
        <f>+AF172-AF174-AF206</f>
        <v>-73.030156803130865</v>
      </c>
      <c r="AG173" s="141"/>
      <c r="AH173" s="173">
        <f>+AH172-AH174-AH206</f>
        <v>-127.90721572505095</v>
      </c>
      <c r="AI173" s="173">
        <f>+AI172-AI174-AI206</f>
        <v>-127.91679604384626</v>
      </c>
      <c r="AJ173" s="173">
        <f>+AJ172-AJ174-AJ206</f>
        <v>-127.97903368158461</v>
      </c>
      <c r="AK173" s="173">
        <f>+AK172-AK174-AK206</f>
        <v>-72.958300563403043</v>
      </c>
      <c r="AL173" s="141"/>
      <c r="AM173" s="173">
        <f>+AM172-AM174-AM206</f>
        <v>-127.94033650347126</v>
      </c>
      <c r="AN173" s="173">
        <f>+AN172-AN174-AN206</f>
        <v>-127.94861669807631</v>
      </c>
      <c r="AO173" s="173">
        <f>+AO172-AO174-AO206</f>
        <v>-127.95657186163385</v>
      </c>
      <c r="AP173" s="173">
        <f>+AP172-AP174-AP206</f>
        <v>-72.950956406646071</v>
      </c>
      <c r="AQ173" s="141"/>
    </row>
    <row r="174" spans="2:43" s="58" customFormat="1" ht="15.6" customHeight="1" outlineLevel="1" x14ac:dyDescent="0.3">
      <c r="B174" s="672" t="s">
        <v>404</v>
      </c>
      <c r="C174" s="673"/>
      <c r="D174" s="173">
        <f>-(D173-D172)</f>
        <v>621.9</v>
      </c>
      <c r="E174" s="173">
        <f>-(E173-E172)</f>
        <v>679</v>
      </c>
      <c r="F174" s="173">
        <f>-(F173-F172)</f>
        <v>860</v>
      </c>
      <c r="G174" s="173">
        <f>-(G173-G172)</f>
        <v>2250.5</v>
      </c>
      <c r="H174" s="141"/>
      <c r="I174" s="173">
        <f>-(I173-I172)</f>
        <v>645.9</v>
      </c>
      <c r="J174" s="173">
        <f>-(J173-J172)</f>
        <v>697</v>
      </c>
      <c r="K174" s="173">
        <f>-(K173-K172)</f>
        <v>633.9</v>
      </c>
      <c r="L174" s="173">
        <f>-(L173-L172)</f>
        <v>751.9</v>
      </c>
      <c r="M174" s="141"/>
      <c r="N174" s="173">
        <f>-(N173-N172)</f>
        <v>708.5</v>
      </c>
      <c r="O174" s="173">
        <f>-(O173-O172)</f>
        <v>713</v>
      </c>
      <c r="P174" s="173">
        <f>-(P173-P172)</f>
        <v>712</v>
      </c>
      <c r="Q174" s="436">
        <f>-(Q173-Q172)</f>
        <v>1140</v>
      </c>
      <c r="R174" s="141"/>
      <c r="S174" s="173">
        <f>-(S173-S172)</f>
        <v>794.4</v>
      </c>
      <c r="T174" s="145">
        <f>AVERAGE(S174,P174,O174)</f>
        <v>739.80000000000007</v>
      </c>
      <c r="U174" s="145">
        <f>AVERAGE(T174,S174,P174)</f>
        <v>748.73333333333323</v>
      </c>
      <c r="V174" s="145">
        <f>AVERAGE(U174,T174,S174)</f>
        <v>760.97777777777776</v>
      </c>
      <c r="W174" s="141"/>
      <c r="X174" s="145">
        <f>AVERAGE(V174,U174,T174,S174)</f>
        <v>760.97777777777776</v>
      </c>
      <c r="Y174" s="145">
        <f>AVERAGE(X174,V174,U174,T174)</f>
        <v>752.62222222222226</v>
      </c>
      <c r="Z174" s="145">
        <f>AVERAGE(Y174,X174,V174,U174)</f>
        <v>755.82777777777767</v>
      </c>
      <c r="AA174" s="145">
        <f>AVERAGE(Z174,Y174,X174,V174)</f>
        <v>757.60138888888878</v>
      </c>
      <c r="AB174" s="141"/>
      <c r="AC174" s="145">
        <f>AVERAGE(AA174,Z174,Y174,X174)</f>
        <v>756.75729166666656</v>
      </c>
      <c r="AD174" s="145">
        <f>AVERAGE(AC174,AA174,Z174,Y174)</f>
        <v>755.70217013888885</v>
      </c>
      <c r="AE174" s="145">
        <f>AVERAGE(AD174,AC174,AA174,Z174)</f>
        <v>756.47215711805541</v>
      </c>
      <c r="AF174" s="145">
        <f>AVERAGE(AE174,AD174,AC174,AA174)</f>
        <v>756.63325195312484</v>
      </c>
      <c r="AG174" s="141"/>
      <c r="AH174" s="145">
        <f>AVERAGE(AF174,AE174,AD174,AC174)</f>
        <v>756.39121771918394</v>
      </c>
      <c r="AI174" s="145">
        <f>AVERAGE(AH174,AF174,AE174,AD174)</f>
        <v>756.29969923231329</v>
      </c>
      <c r="AJ174" s="145">
        <f>AVERAGE(AI174,AH174,AF174,AE174)</f>
        <v>756.44908150566937</v>
      </c>
      <c r="AK174" s="145">
        <f>AVERAGE(AJ174,AI174,AH174,AF174)</f>
        <v>756.44331260257275</v>
      </c>
      <c r="AL174" s="141"/>
      <c r="AM174" s="145">
        <f>AVERAGE(AK174,AJ174,AI174,AH174)</f>
        <v>756.39582776493489</v>
      </c>
      <c r="AN174" s="145">
        <f>AVERAGE(AM174,AK174,AJ174,AI174)</f>
        <v>756.39698027637257</v>
      </c>
      <c r="AO174" s="145">
        <f>AVERAGE(AN174,AM174,AK174,AJ174)</f>
        <v>756.42130053738742</v>
      </c>
      <c r="AP174" s="145">
        <f>AVERAGE(AO174,AN174,AM174,AK174)</f>
        <v>756.41435529531691</v>
      </c>
      <c r="AQ174" s="141"/>
    </row>
    <row r="175" spans="2:43" s="200" customFormat="1" ht="15.6" outlineLevel="1" x14ac:dyDescent="0.3">
      <c r="B175" s="332" t="s">
        <v>270</v>
      </c>
      <c r="C175" s="333"/>
      <c r="D175" s="208"/>
      <c r="E175" s="208"/>
      <c r="F175" s="252"/>
      <c r="G175" s="208"/>
      <c r="H175" s="207"/>
      <c r="I175" s="208"/>
      <c r="J175" s="208"/>
      <c r="K175" s="252"/>
      <c r="L175" s="208"/>
      <c r="M175" s="209"/>
      <c r="N175" s="334"/>
      <c r="O175" s="334"/>
      <c r="P175" s="334"/>
      <c r="Q175" s="208"/>
      <c r="R175" s="335"/>
      <c r="S175" s="208"/>
      <c r="T175" s="208"/>
      <c r="U175" s="252"/>
      <c r="V175" s="208"/>
      <c r="W175" s="207"/>
      <c r="X175" s="208"/>
      <c r="Y175" s="208"/>
      <c r="Z175" s="252"/>
      <c r="AA175" s="208"/>
      <c r="AB175" s="207"/>
      <c r="AC175" s="208"/>
      <c r="AD175" s="208"/>
      <c r="AE175" s="252"/>
      <c r="AF175" s="208"/>
      <c r="AG175" s="207"/>
      <c r="AH175" s="208"/>
      <c r="AI175" s="208"/>
      <c r="AJ175" s="252"/>
      <c r="AK175" s="208"/>
      <c r="AL175" s="207"/>
      <c r="AM175" s="208"/>
      <c r="AN175" s="208"/>
      <c r="AO175" s="252"/>
      <c r="AP175" s="208"/>
      <c r="AQ175" s="207"/>
    </row>
    <row r="176" spans="2:43" s="200" customFormat="1" ht="15.6" outlineLevel="1" x14ac:dyDescent="0.3">
      <c r="B176" s="302" t="s">
        <v>271</v>
      </c>
      <c r="C176" s="180"/>
      <c r="D176" s="144">
        <f>+D19-(D66+D145+D162)</f>
        <v>0</v>
      </c>
      <c r="E176" s="144">
        <f>+E19-(E66+E145+E162)</f>
        <v>1</v>
      </c>
      <c r="F176" s="144">
        <f>+F19-(F66+F145+F162)</f>
        <v>-1</v>
      </c>
      <c r="G176" s="144">
        <f>+G19-(G66+G145+G162)</f>
        <v>3</v>
      </c>
      <c r="H176" s="59"/>
      <c r="I176" s="144">
        <f>+I19-(I66+I145+I162)</f>
        <v>2</v>
      </c>
      <c r="J176" s="144">
        <f>+J19-(J66+J145+J162)</f>
        <v>-2</v>
      </c>
      <c r="K176" s="144">
        <f>+K19-(K66+K145+K162)</f>
        <v>0</v>
      </c>
      <c r="L176" s="144">
        <f>+L19-(L66+L145+L162)</f>
        <v>1</v>
      </c>
      <c r="M176" s="175"/>
      <c r="N176" s="144">
        <f>+N19-(N66+N145+N162)</f>
        <v>1</v>
      </c>
      <c r="O176" s="144">
        <f>+O19-(O66+O145+O162)</f>
        <v>-1</v>
      </c>
      <c r="P176" s="144">
        <f>+P19-(P66+P145+P162)</f>
        <v>1</v>
      </c>
      <c r="Q176" s="144">
        <f>+Q19-(Q66+Q145+Q162)</f>
        <v>0</v>
      </c>
      <c r="R176" s="59"/>
      <c r="S176" s="144">
        <f>+S19-(S66+S145+S162)</f>
        <v>1</v>
      </c>
      <c r="T176" s="145">
        <f>AVERAGE(S176,Q176,P176,O176)</f>
        <v>0.25</v>
      </c>
      <c r="U176" s="145">
        <f>AVERAGE(T176,S176,Q176,P176)</f>
        <v>0.5625</v>
      </c>
      <c r="V176" s="145">
        <f>AVERAGE(U176,T176,S176,Q176)</f>
        <v>0.453125</v>
      </c>
      <c r="W176" s="59"/>
      <c r="X176" s="145">
        <f>AVERAGE(V176,U176,T176,S176)</f>
        <v>0.56640625</v>
      </c>
      <c r="Y176" s="145">
        <f>AVERAGE(X176,V176,U176,T176)</f>
        <v>0.4580078125</v>
      </c>
      <c r="Z176" s="145">
        <f>AVERAGE(Y176,X176,V176,U176)</f>
        <v>0.510009765625</v>
      </c>
      <c r="AA176" s="145">
        <f>AVERAGE(Z176,Y176,X176,V176)</f>
        <v>0.49688720703125</v>
      </c>
      <c r="AB176" s="59"/>
      <c r="AC176" s="145">
        <f>AVERAGE(AA176,Z176,Y176,X176)</f>
        <v>0.5078277587890625</v>
      </c>
      <c r="AD176" s="145">
        <f>AVERAGE(AC176,AA176,Z176,Y176)</f>
        <v>0.49318313598632813</v>
      </c>
      <c r="AE176" s="145">
        <f>AVERAGE(AD176,AC176,AA176,Z176)</f>
        <v>0.50197696685791016</v>
      </c>
      <c r="AF176" s="145">
        <f>AVERAGE(AE176,AD176,AC176,AA176)</f>
        <v>0.4999687671661377</v>
      </c>
      <c r="AG176" s="59"/>
      <c r="AH176" s="145">
        <f>AVERAGE(AF176,AE176,AD176,AC176)</f>
        <v>0.50073915719985962</v>
      </c>
      <c r="AI176" s="145">
        <f>AVERAGE(AH176,AF176,AE176,AD176)</f>
        <v>0.4989670068025589</v>
      </c>
      <c r="AJ176" s="145">
        <f>AVERAGE(AI176,AH176,AF176,AE176)</f>
        <v>0.50041297450661659</v>
      </c>
      <c r="AK176" s="145">
        <f>AVERAGE(AJ176,AI176,AH176,AF176)</f>
        <v>0.5000219764187932</v>
      </c>
      <c r="AL176" s="59"/>
      <c r="AM176" s="145">
        <f>AVERAGE(AK176,AJ176,AI176,AH176)</f>
        <v>0.50003527873195708</v>
      </c>
      <c r="AN176" s="145">
        <f>AVERAGE(AM176,AK176,AJ176,AI176)</f>
        <v>0.49985930911498144</v>
      </c>
      <c r="AO176" s="145">
        <f>AVERAGE(AN176,AM176,AK176,AJ176)</f>
        <v>0.50008238469308708</v>
      </c>
      <c r="AP176" s="145">
        <f>AVERAGE(AO176,AN176,AM176,AK176)</f>
        <v>0.4999997372397047</v>
      </c>
      <c r="AQ176" s="59"/>
    </row>
    <row r="177" spans="2:43" s="200" customFormat="1" ht="15.6" outlineLevel="1" x14ac:dyDescent="0.3">
      <c r="B177" s="302" t="s">
        <v>158</v>
      </c>
      <c r="C177" s="180"/>
      <c r="D177" s="144">
        <f>+D18-(D67+D146+D163)</f>
        <v>113</v>
      </c>
      <c r="E177" s="144">
        <f>+E18-(E67+E146+E163)</f>
        <v>110</v>
      </c>
      <c r="F177" s="144">
        <f>+F18-(F67+F146+F163)</f>
        <v>114</v>
      </c>
      <c r="G177" s="144">
        <f>+G18-(G67+G146+G163)</f>
        <v>117</v>
      </c>
      <c r="H177" s="59"/>
      <c r="I177" s="144">
        <f>+I18-(I67+I146+I163)</f>
        <v>113</v>
      </c>
      <c r="J177" s="144">
        <f>+J18-(J67+J146+J163)</f>
        <v>110</v>
      </c>
      <c r="K177" s="144">
        <f>+K18-(K67+K146+K163)</f>
        <v>111</v>
      </c>
      <c r="L177" s="144">
        <f>+L18-(L67+L146+L163)</f>
        <v>107</v>
      </c>
      <c r="M177" s="175"/>
      <c r="N177" s="144">
        <f>+N18-(N67+N146+N163)</f>
        <v>107</v>
      </c>
      <c r="O177" s="144">
        <f>+O18-(O67+O146+O163)</f>
        <v>108</v>
      </c>
      <c r="P177" s="144">
        <f>+P18-(P67+P146+P163)</f>
        <v>110</v>
      </c>
      <c r="Q177" s="144">
        <f>+Q18-(Q67+Q146+Q163)</f>
        <v>114</v>
      </c>
      <c r="R177" s="59"/>
      <c r="S177" s="144">
        <f>+S18-(S67+S146+S163)</f>
        <v>121</v>
      </c>
      <c r="T177" s="144">
        <f>S177/(S67+S146+S163+S177)*T18</f>
        <v>111.35263734045358</v>
      </c>
      <c r="U177" s="144">
        <f>T177/(T67+T146+T163+T177)*U18</f>
        <v>112.76684494783252</v>
      </c>
      <c r="V177" s="144">
        <f>U177/(U67+U146+U163+U177)*V18</f>
        <v>115.6675047657592</v>
      </c>
      <c r="W177" s="59"/>
      <c r="X177" s="144">
        <f>V177/(V67+V146+V163+V177)*X18</f>
        <v>119.95449005819634</v>
      </c>
      <c r="Y177" s="144">
        <f>X177/(X67+X146+X163+X177)*Y18</f>
        <v>122.79727701680575</v>
      </c>
      <c r="Z177" s="144">
        <f>Y177/(Y67+Y146+Y163+Y177)*Z18</f>
        <v>124.27785144376837</v>
      </c>
      <c r="AA177" s="144">
        <f>Z177/(Z67+Z146+Z163+Z177)*AA18</f>
        <v>127.28985006705251</v>
      </c>
      <c r="AB177" s="59"/>
      <c r="AC177" s="144">
        <f>AA177/(AA67+AA146+AA163+AA177)*AC18</f>
        <v>131.80077610184182</v>
      </c>
      <c r="AD177" s="144">
        <f>AC177/(AC67+AC146+AC163+AC177)*AD18</f>
        <v>134.82522645919141</v>
      </c>
      <c r="AE177" s="144">
        <f>AD177/(AD67+AD146+AD163+AD177)*AE18</f>
        <v>136.38624166690053</v>
      </c>
      <c r="AF177" s="144">
        <f>AE177/(AE67+AE146+AE163+AE177)*AF18</f>
        <v>139.55973810472472</v>
      </c>
      <c r="AG177" s="59"/>
      <c r="AH177" s="144">
        <f>AF177/(AF67+AF146+AF163+AF177)*AH18</f>
        <v>144.32174812867044</v>
      </c>
      <c r="AI177" s="144">
        <f>AH177/(AH67+AH146+AH163+AH177)*AI18</f>
        <v>147.50804377814612</v>
      </c>
      <c r="AJ177" s="144">
        <f>AI177/(AI67+AI146+AI163+AI177)*AJ18</f>
        <v>149.14975085157411</v>
      </c>
      <c r="AK177" s="144">
        <f>AJ177/(AJ67+AJ146+AJ163+AJ177)*AK18</f>
        <v>152.48431879834899</v>
      </c>
      <c r="AL177" s="59"/>
      <c r="AM177" s="144">
        <f>AK177/(AK67+AK146+AK163+AK177)*AM18</f>
        <v>157.48748472691889</v>
      </c>
      <c r="AN177" s="144">
        <f>AM177/(AM67+AM146+AM163+AM177)*AN18</f>
        <v>160.82664451909628</v>
      </c>
      <c r="AO177" s="144">
        <f>AN177/(AN67+AN146+AN163+AN177)*AO18</f>
        <v>162.54526456902866</v>
      </c>
      <c r="AP177" s="144">
        <f>AO177/(AO67+AO146+AO163+AO177)*AP18</f>
        <v>166.03361996943499</v>
      </c>
      <c r="AQ177" s="59"/>
    </row>
    <row r="178" spans="2:43" s="58" customFormat="1" ht="15.6" customHeight="1" outlineLevel="1" x14ac:dyDescent="0.3">
      <c r="B178" s="700" t="s">
        <v>272</v>
      </c>
      <c r="C178" s="701"/>
      <c r="D178" s="221">
        <f>+D24-(D66+D67+D68+D145+D146+D147+D162+D163+D164)-(D176+D177)-D174</f>
        <v>277.10000000000002</v>
      </c>
      <c r="E178" s="221">
        <f>+E24-(E66+E67+E68+E145+E146+E147+E162+E163+E164)-(E176+E177)-E174</f>
        <v>292</v>
      </c>
      <c r="F178" s="221">
        <f>+F24-(F66+F67+F68+F145+F146+F147+F162+F163+F164)-(F176+F177)-F174</f>
        <v>271</v>
      </c>
      <c r="G178" s="221">
        <f>+G24-(G66+G67+G68+G145+G146+G147+G162+G163+G164)-(G176+G177)-G174</f>
        <v>295.5</v>
      </c>
      <c r="H178" s="61"/>
      <c r="I178" s="221">
        <f>+I24-(I66+I67+I68+I145+I146+I147+I162+I163+I164)-(I176+I177)-I174</f>
        <v>280.10000000000002</v>
      </c>
      <c r="J178" s="221">
        <f>+J24-(J66+J67+J68+J145+J146+J147+J162+J163+J164)-(J176+J177)-J174</f>
        <v>306</v>
      </c>
      <c r="K178" s="221">
        <f>+K24-(K66+K67+K68+K145+K146+K147+K162+K163+K164)-(K176+K177)-K174</f>
        <v>278.10000000000002</v>
      </c>
      <c r="L178" s="221">
        <f>+L24-(L66+L67+L68+L145+L146+L147+L162+L163+L164)-(L176+L177)-L174</f>
        <v>315.10000000000002</v>
      </c>
      <c r="M178" s="181"/>
      <c r="N178" s="221">
        <f>+N24-(N66+N67+N68+N145+N146+N147+N162+N163+N164)-(N176+N177)-N174</f>
        <v>291.5</v>
      </c>
      <c r="O178" s="221">
        <f>+O24-(O66+O67+O68+O145+O146+O147+O162+O163+O164)-(O176+O177)-O174</f>
        <v>309</v>
      </c>
      <c r="P178" s="221">
        <f>+P24-(P66+P67+P68+P145+P146+P147+P162+P163+P164)-(P176+P177)-P174</f>
        <v>286</v>
      </c>
      <c r="Q178" s="221">
        <f>+Q24-(Q66+Q67+Q68+Q145+Q146+Q147+Q162+Q163+Q164)-(Q176+Q177)-Q174</f>
        <v>322</v>
      </c>
      <c r="R178" s="61"/>
      <c r="S178" s="221">
        <f>+S24-(S66+S67+S68+S145+S146+S147+S162+S163+S164)-(S176+S177)-S174</f>
        <v>295.10000000000002</v>
      </c>
      <c r="T178" s="336">
        <v>315</v>
      </c>
      <c r="U178" s="336">
        <v>296</v>
      </c>
      <c r="V178" s="336">
        <v>335</v>
      </c>
      <c r="W178" s="61"/>
      <c r="X178" s="336">
        <v>310</v>
      </c>
      <c r="Y178" s="336">
        <v>316</v>
      </c>
      <c r="Z178" s="336">
        <v>297</v>
      </c>
      <c r="AA178" s="336">
        <v>338</v>
      </c>
      <c r="AB178" s="61"/>
      <c r="AC178" s="336">
        <v>312</v>
      </c>
      <c r="AD178" s="336">
        <v>318</v>
      </c>
      <c r="AE178" s="336">
        <v>298</v>
      </c>
      <c r="AF178" s="336">
        <v>340</v>
      </c>
      <c r="AG178" s="61"/>
      <c r="AH178" s="336">
        <v>312</v>
      </c>
      <c r="AI178" s="336">
        <v>318</v>
      </c>
      <c r="AJ178" s="336">
        <v>298</v>
      </c>
      <c r="AK178" s="336">
        <v>340</v>
      </c>
      <c r="AL178" s="61"/>
      <c r="AM178" s="336">
        <v>311</v>
      </c>
      <c r="AN178" s="336">
        <v>316</v>
      </c>
      <c r="AO178" s="336">
        <v>295</v>
      </c>
      <c r="AP178" s="336">
        <v>338</v>
      </c>
      <c r="AQ178" s="61"/>
    </row>
    <row r="179" spans="2:43" s="58" customFormat="1" ht="15.6" customHeight="1" outlineLevel="1" x14ac:dyDescent="0.3">
      <c r="B179" s="343" t="s">
        <v>274</v>
      </c>
      <c r="C179" s="344"/>
      <c r="D179" s="173"/>
      <c r="E179" s="173"/>
      <c r="F179" s="173"/>
      <c r="G179" s="173"/>
      <c r="H179" s="141"/>
      <c r="I179" s="173"/>
      <c r="J179" s="173"/>
      <c r="K179" s="173"/>
      <c r="L179" s="173"/>
      <c r="M179" s="342"/>
      <c r="N179" s="163"/>
      <c r="O179" s="163"/>
      <c r="P179" s="163"/>
      <c r="Q179" s="173"/>
      <c r="R179" s="141"/>
      <c r="S179" s="173"/>
      <c r="T179" s="173"/>
      <c r="U179" s="173"/>
      <c r="V179" s="173"/>
      <c r="W179" s="141"/>
      <c r="X179" s="173"/>
      <c r="Y179" s="173"/>
      <c r="Z179" s="173"/>
      <c r="AA179" s="173"/>
      <c r="AB179" s="141"/>
      <c r="AC179" s="173"/>
      <c r="AD179" s="173"/>
      <c r="AE179" s="173"/>
      <c r="AF179" s="173"/>
      <c r="AG179" s="141"/>
      <c r="AH179" s="173"/>
      <c r="AI179" s="173"/>
      <c r="AJ179" s="173"/>
      <c r="AK179" s="173"/>
      <c r="AL179" s="141"/>
      <c r="AM179" s="173"/>
      <c r="AN179" s="173"/>
      <c r="AO179" s="173"/>
      <c r="AP179" s="173"/>
      <c r="AQ179" s="141"/>
    </row>
    <row r="180" spans="2:43" s="201" customFormat="1" ht="15.6" customHeight="1" outlineLevel="1" x14ac:dyDescent="0.3">
      <c r="B180" s="345" t="s">
        <v>93</v>
      </c>
      <c r="C180" s="346"/>
      <c r="D180" s="347">
        <f>ROUND((D13-(D54+D57+D58+D143+D160+D169+D172)),0)</f>
        <v>0</v>
      </c>
      <c r="E180" s="347">
        <f>ROUND((E13-(E54+E57+E58+E143+E160+E169+E172)),0)</f>
        <v>0</v>
      </c>
      <c r="F180" s="347">
        <f>ROUND((F13-(F54+F57+F58+F143+F160+F169+F172)),0)</f>
        <v>0</v>
      </c>
      <c r="G180" s="347">
        <f>ROUND((G13-(G54+G57+G58+G143+G160+G169+G172)),0)</f>
        <v>0</v>
      </c>
      <c r="H180" s="141"/>
      <c r="I180" s="347">
        <f>ROUND((I13-(I54+I57+I58+I143+I160+I169+I172)),0)</f>
        <v>0</v>
      </c>
      <c r="J180" s="347">
        <f>ROUND((J13-(J54+J57+J58+J143+J160+J169+J172)),0)</f>
        <v>0</v>
      </c>
      <c r="K180" s="347">
        <f>ROUND((K13-(K54+K57+K58+K143+K160+K169+K172)),0)</f>
        <v>0</v>
      </c>
      <c r="L180" s="347">
        <f>ROUND((L13-(L54+L57+L58+L143+L160+L169+L172)),0)</f>
        <v>0</v>
      </c>
      <c r="M180" s="348"/>
      <c r="N180" s="347">
        <f>ROUND((N13-(N54+N57+N58+N143+N160+N169+N172)),0)</f>
        <v>0</v>
      </c>
      <c r="O180" s="347">
        <f>ROUND((O13-(O54+O57+O58+O143+O160+O169+O172)),0)</f>
        <v>0</v>
      </c>
      <c r="P180" s="347">
        <f>ROUND((P13-(P54+P57+P58+P143+P160+P169+P172)),0)</f>
        <v>0</v>
      </c>
      <c r="Q180" s="347">
        <f>ROUND((Q13-(Q54+Q57+Q58+Q143+Q160+Q169+Q172)),0)</f>
        <v>0</v>
      </c>
      <c r="R180" s="348"/>
      <c r="S180" s="347">
        <f>ROUND((S13-(S54+S57+S58+S143+S160+S169+S172)),0)</f>
        <v>0</v>
      </c>
      <c r="T180" s="347">
        <f>ROUND((T13-(T54+T57+T58+T143+T160+T169+T172)),0)</f>
        <v>0</v>
      </c>
      <c r="U180" s="347">
        <f>ROUND((U13-(U54+U57+U58+U143+U160+U169+U172)),0)</f>
        <v>0</v>
      </c>
      <c r="V180" s="347">
        <f>ROUND((V13-(V54+V57+V58+V143+V160+V169+V172)),0)</f>
        <v>0</v>
      </c>
      <c r="W180" s="348"/>
      <c r="X180" s="347">
        <f>ROUND((X13-(X54+X57+X58+X143+X160+X169+X172)),0)</f>
        <v>0</v>
      </c>
      <c r="Y180" s="347">
        <f>ROUND((Y13-(Y54+Y57+Y58+Y143+Y160+Y169+Y172)),0)</f>
        <v>0</v>
      </c>
      <c r="Z180" s="347">
        <f>ROUND((Z13-(Z54+Z57+Z58+Z143+Z160+Z169+Z172)),0)</f>
        <v>0</v>
      </c>
      <c r="AA180" s="347">
        <f>ROUND((AA13-(AA54+AA57+AA58+AA143+AA160+AA169+AA172)),0)</f>
        <v>0</v>
      </c>
      <c r="AB180" s="348"/>
      <c r="AC180" s="347">
        <f>ROUND((AC13-(AC54+AC57+AC58+AC143+AC160+AC169+AC172)),0)</f>
        <v>0</v>
      </c>
      <c r="AD180" s="347">
        <f>ROUND((AD13-(AD54+AD57+AD58+AD143+AD160+AD169+AD172)),0)</f>
        <v>0</v>
      </c>
      <c r="AE180" s="347">
        <f>ROUND((AE13-(AE54+AE57+AE58+AE143+AE160+AE169+AE172)),0)</f>
        <v>0</v>
      </c>
      <c r="AF180" s="347">
        <f>ROUND((AF13-(AF54+AF57+AF58+AF143+AF160+AF169+AF172)),0)</f>
        <v>0</v>
      </c>
      <c r="AG180" s="348"/>
      <c r="AH180" s="347">
        <f>ROUND((AH13-(AH54+AH57+AH58+AH143+AH160+AH169+AH172)),0)</f>
        <v>0</v>
      </c>
      <c r="AI180" s="347">
        <f>ROUND((AI13-(AI54+AI57+AI58+AI143+AI160+AI169+AI172)),0)</f>
        <v>0</v>
      </c>
      <c r="AJ180" s="347">
        <f>ROUND((AJ13-(AJ54+AJ57+AJ58+AJ143+AJ160+AJ169+AJ172)),0)</f>
        <v>0</v>
      </c>
      <c r="AK180" s="347">
        <f>ROUND((AK13-(AK54+AK57+AK58+AK143+AK160+AK169+AK172)),0)</f>
        <v>0</v>
      </c>
      <c r="AL180" s="348"/>
      <c r="AM180" s="347">
        <f>ROUND((AM13-(AM54+AM57+AM58+AM143+AM160+AM169+AM172)),0)</f>
        <v>0</v>
      </c>
      <c r="AN180" s="347">
        <f>ROUND((AN13-(AN54+AN57+AN58+AN143+AN160+AN169+AN172)),0)</f>
        <v>0</v>
      </c>
      <c r="AO180" s="347">
        <f>ROUND((AO13-(AO54+AO57+AO58+AO143+AO160+AO169+AO172)),0)</f>
        <v>0</v>
      </c>
      <c r="AP180" s="347">
        <f>ROUND((AP13-(AP54+AP57+AP58+AP143+AP160+AP169+AP172)),0)</f>
        <v>0</v>
      </c>
      <c r="AQ180" s="348"/>
    </row>
    <row r="181" spans="2:43" s="201" customFormat="1" ht="15.6" customHeight="1" outlineLevel="1" x14ac:dyDescent="0.3">
      <c r="B181" s="345" t="s">
        <v>275</v>
      </c>
      <c r="C181" s="346"/>
      <c r="D181" s="347">
        <f>D18-(D67+D146+D163+D177)</f>
        <v>0</v>
      </c>
      <c r="E181" s="347">
        <f>E18-(E67+E146+E163+E177)</f>
        <v>0</v>
      </c>
      <c r="F181" s="347">
        <f>F18-(F67+F146+F163+F177)</f>
        <v>0</v>
      </c>
      <c r="G181" s="347">
        <f>G18-(G67+G146+G163+G177)</f>
        <v>0</v>
      </c>
      <c r="H181" s="141"/>
      <c r="I181" s="347">
        <f>I18-(I67+I146+I163+I177)</f>
        <v>0</v>
      </c>
      <c r="J181" s="347">
        <f>J18-(J67+J146+J163+J177)</f>
        <v>0</v>
      </c>
      <c r="K181" s="347">
        <f>K18-(K67+K146+K163+K177)</f>
        <v>0</v>
      </c>
      <c r="L181" s="347">
        <f>L18-(L67+L146+L163+L177)</f>
        <v>0</v>
      </c>
      <c r="M181" s="348"/>
      <c r="N181" s="347">
        <f>N18-(N67+N146+N163+N177)</f>
        <v>0</v>
      </c>
      <c r="O181" s="347">
        <f>O18-(O67+O146+O163+O177)</f>
        <v>0</v>
      </c>
      <c r="P181" s="347">
        <f>P18-(P67+P146+P163+P177)</f>
        <v>0</v>
      </c>
      <c r="Q181" s="347">
        <f>Q18-(Q67+Q146+Q163+Q177)</f>
        <v>0</v>
      </c>
      <c r="R181" s="348"/>
      <c r="S181" s="347">
        <f>S18-(S67+S146+S163+S177)</f>
        <v>0</v>
      </c>
      <c r="T181" s="347">
        <f>T18-(T67+T146+T163+T177)</f>
        <v>0</v>
      </c>
      <c r="U181" s="347">
        <f>U18-(U67+U146+U163+U177)</f>
        <v>0</v>
      </c>
      <c r="V181" s="347">
        <f>V18-(V67+V146+V163+V177)</f>
        <v>0</v>
      </c>
      <c r="W181" s="348"/>
      <c r="X181" s="347">
        <f>X18-(X67+X146+X163+X177)</f>
        <v>0</v>
      </c>
      <c r="Y181" s="347">
        <f>Y18-(Y67+Y146+Y163+Y177)</f>
        <v>0</v>
      </c>
      <c r="Z181" s="347">
        <f>Z18-(Z67+Z146+Z163+Z177)</f>
        <v>0</v>
      </c>
      <c r="AA181" s="347">
        <f>AA18-(AA67+AA146+AA163+AA177)</f>
        <v>0</v>
      </c>
      <c r="AB181" s="348"/>
      <c r="AC181" s="347">
        <f>AC18-(AC67+AC146+AC163+AC177)</f>
        <v>0</v>
      </c>
      <c r="AD181" s="347">
        <f>AD18-(AD67+AD146+AD163+AD177)</f>
        <v>0</v>
      </c>
      <c r="AE181" s="347">
        <f>AE18-(AE67+AE146+AE163+AE177)</f>
        <v>0</v>
      </c>
      <c r="AF181" s="347">
        <f>AF18-(AF67+AF146+AF163+AF177)</f>
        <v>0</v>
      </c>
      <c r="AG181" s="348"/>
      <c r="AH181" s="347">
        <f>AH18-(AH67+AH146+AH163+AH177)</f>
        <v>0</v>
      </c>
      <c r="AI181" s="347">
        <f>AI18-(AI67+AI146+AI163+AI177)</f>
        <v>0</v>
      </c>
      <c r="AJ181" s="347">
        <f>AJ18-(AJ67+AJ146+AJ163+AJ177)</f>
        <v>0</v>
      </c>
      <c r="AK181" s="347">
        <f>AK18-(AK67+AK146+AK163+AK177)</f>
        <v>0</v>
      </c>
      <c r="AL181" s="348"/>
      <c r="AM181" s="347">
        <f>AM18-(AM67+AM146+AM163+AM177)</f>
        <v>0</v>
      </c>
      <c r="AN181" s="347">
        <f>AN18-(AN67+AN146+AN163+AN177)</f>
        <v>0</v>
      </c>
      <c r="AO181" s="347">
        <f>AO18-(AO67+AO146+AO163+AO177)</f>
        <v>0</v>
      </c>
      <c r="AP181" s="347">
        <f>AP18-(AP67+AP146+AP163+AP177)</f>
        <v>0</v>
      </c>
      <c r="AQ181" s="348"/>
    </row>
    <row r="182" spans="2:43" s="201" customFormat="1" ht="15.6" customHeight="1" outlineLevel="1" x14ac:dyDescent="0.3">
      <c r="B182" s="345" t="s">
        <v>276</v>
      </c>
      <c r="C182" s="346"/>
      <c r="D182" s="347">
        <f>D19-(D66+D145+D162+D176)</f>
        <v>0</v>
      </c>
      <c r="E182" s="347">
        <f>E19-(E66+E145+E162+E176)</f>
        <v>0</v>
      </c>
      <c r="F182" s="347">
        <f>F19-(F66+F145+F162+F176)</f>
        <v>0</v>
      </c>
      <c r="G182" s="347">
        <f>G19-(G66+G145+G162+G176)</f>
        <v>0</v>
      </c>
      <c r="H182" s="141"/>
      <c r="I182" s="347">
        <f>I19-(I66+I145+I162+I176)</f>
        <v>0</v>
      </c>
      <c r="J182" s="347">
        <f>J19-(J66+J145+J162+J176)</f>
        <v>0</v>
      </c>
      <c r="K182" s="347">
        <f>K19-(K66+K145+K162+K176)</f>
        <v>0</v>
      </c>
      <c r="L182" s="347">
        <f>L19-(L66+L145+L162+L176)</f>
        <v>0</v>
      </c>
      <c r="M182" s="348"/>
      <c r="N182" s="347">
        <f>N19-(N66+N145+N162+N176)</f>
        <v>0</v>
      </c>
      <c r="O182" s="347">
        <f>O19-(O66+O145+O162+O176)</f>
        <v>0</v>
      </c>
      <c r="P182" s="347">
        <f>P19-(P66+P145+P162+P176)</f>
        <v>0</v>
      </c>
      <c r="Q182" s="347">
        <f>Q19-(Q66+Q145+Q162+Q176)</f>
        <v>0</v>
      </c>
      <c r="R182" s="348"/>
      <c r="S182" s="347">
        <f>S19-(S66+S145+S162+S176)</f>
        <v>0</v>
      </c>
      <c r="T182" s="347">
        <f>T19-(T66+T145+T162+T176)</f>
        <v>0</v>
      </c>
      <c r="U182" s="347">
        <f>U19-(U66+U145+U162+U176)</f>
        <v>0</v>
      </c>
      <c r="V182" s="347">
        <f>V19-(V66+V145+V162+V176)</f>
        <v>0</v>
      </c>
      <c r="W182" s="348"/>
      <c r="X182" s="347">
        <f>X19-(X66+X145+X162+X176)</f>
        <v>0</v>
      </c>
      <c r="Y182" s="347">
        <f>Y19-(Y66+Y145+Y162+Y176)</f>
        <v>0</v>
      </c>
      <c r="Z182" s="347">
        <f>Z19-(Z66+Z145+Z162+Z176)</f>
        <v>0</v>
      </c>
      <c r="AA182" s="347">
        <f>AA19-(AA66+AA145+AA162+AA176)</f>
        <v>0</v>
      </c>
      <c r="AB182" s="348"/>
      <c r="AC182" s="347">
        <f>AC19-(AC66+AC145+AC162+AC176)</f>
        <v>0</v>
      </c>
      <c r="AD182" s="347">
        <f>AD19-(AD66+AD145+AD162+AD176)</f>
        <v>0</v>
      </c>
      <c r="AE182" s="347">
        <f>AE19-(AE66+AE145+AE162+AE176)</f>
        <v>0</v>
      </c>
      <c r="AF182" s="347">
        <f>AF19-(AF66+AF145+AF162+AF176)</f>
        <v>0</v>
      </c>
      <c r="AG182" s="348"/>
      <c r="AH182" s="347">
        <f>AH19-(AH66+AH145+AH162+AH176)</f>
        <v>0</v>
      </c>
      <c r="AI182" s="347">
        <f>AI19-(AI66+AI145+AI162+AI176)</f>
        <v>0</v>
      </c>
      <c r="AJ182" s="347">
        <f>AJ19-(AJ66+AJ145+AJ162+AJ176)</f>
        <v>0</v>
      </c>
      <c r="AK182" s="347">
        <f>AK19-(AK66+AK145+AK162+AK176)</f>
        <v>0</v>
      </c>
      <c r="AL182" s="348"/>
      <c r="AM182" s="347">
        <f>AM19-(AM66+AM145+AM162+AM176)</f>
        <v>0</v>
      </c>
      <c r="AN182" s="347">
        <f>AN19-(AN66+AN145+AN162+AN176)</f>
        <v>0</v>
      </c>
      <c r="AO182" s="347">
        <f>AO19-(AO66+AO145+AO162+AO176)</f>
        <v>0</v>
      </c>
      <c r="AP182" s="347">
        <f>AP19-(AP66+AP145+AP162+AP176)</f>
        <v>0</v>
      </c>
      <c r="AQ182" s="348"/>
    </row>
    <row r="183" spans="2:43" s="201" customFormat="1" ht="15.6" customHeight="1" outlineLevel="1" x14ac:dyDescent="0.3">
      <c r="B183" s="345" t="s">
        <v>300</v>
      </c>
      <c r="C183" s="346"/>
      <c r="D183" s="347">
        <f>(D15+D16+D17+D20+D21+D23)-(D68+D147+D164)-(D174+D178)+D206</f>
        <v>0</v>
      </c>
      <c r="E183" s="347">
        <f>(E15+E16+E17+E20+E21+E23)-(E68+E147+E164)-(E174+E178)+E206</f>
        <v>0</v>
      </c>
      <c r="F183" s="347">
        <f>(F15+F16+F17+F20+F21+F23)-(F68+F147+F164)-(F174+F178)+F206</f>
        <v>0</v>
      </c>
      <c r="G183" s="347">
        <f>(G15+G16+G17+G20+G21+G23)-(G68+G147+G164)-(G174+G178)+G206</f>
        <v>0</v>
      </c>
      <c r="H183" s="141"/>
      <c r="I183" s="347">
        <f>(I15+I16+I17+I20+I21+I23)-(I68+I147+I164)-(I174+I178)+I206</f>
        <v>0</v>
      </c>
      <c r="J183" s="347">
        <f>(J15+J16+J17+J20+J21+J23)-(J68+J147+J164)-(J174+J178)+J206</f>
        <v>0</v>
      </c>
      <c r="K183" s="347">
        <f>(K15+K16+K17+K20+K21+K23)-(K68+K147+K164)-(K174+K178)+K206</f>
        <v>0</v>
      </c>
      <c r="L183" s="347">
        <f>(L15+L16+L17+L20+L21+L23)-(L68+L147+L164)-(L174+L178)+L206</f>
        <v>0</v>
      </c>
      <c r="M183" s="348"/>
      <c r="N183" s="347">
        <f>(N15+N16+N17+N20+N21+N23)-(N68+N147+N164)-(N174+N178)+N206</f>
        <v>0</v>
      </c>
      <c r="O183" s="347">
        <f>(O15+O16+O17+O20+O21+O23)-(O68+O147+O164)-(O174+O178)+O206</f>
        <v>0</v>
      </c>
      <c r="P183" s="347">
        <f>(P15+P16+P17+P20+P21+P23)-(P68+P147+P164)-(P174+P178)+P206</f>
        <v>0</v>
      </c>
      <c r="Q183" s="347">
        <f>(Q15+Q16+Q17+Q20+Q21+Q23)-(Q68+Q147+Q164)-(Q174+Q178)+Q206</f>
        <v>0</v>
      </c>
      <c r="R183" s="348"/>
      <c r="S183" s="347">
        <f>(S15+S16+S17+S20+S21+S23)-(S68+S147+S164)-(S174+S178)</f>
        <v>0</v>
      </c>
      <c r="T183" s="347">
        <f>(T15+T16+T17+T20+T21+T23)-(T68+T147+T164)-(T174+T178)</f>
        <v>-2.7284841053187847E-12</v>
      </c>
      <c r="U183" s="347">
        <f>(U15+U16+U17+U20+U21+U23)-(U68+U147+U164)-(U174+U178)</f>
        <v>0</v>
      </c>
      <c r="V183" s="347">
        <f>(V15+V16+V17+V20+V21+V23)-(V68+V147+V164)-(V174+V178)</f>
        <v>2.2737367544323206E-12</v>
      </c>
      <c r="W183" s="348"/>
      <c r="X183" s="347">
        <f>(X15+X16+X17+X20+X21+X23)-(X68+X147+X164)-(X174+X178)</f>
        <v>0</v>
      </c>
      <c r="Y183" s="347">
        <f>(Y15+Y16+Y17+Y20+Y21+Y23)-(Y68+Y147+Y164)-(Y174+Y178)</f>
        <v>1.8189894035458565E-12</v>
      </c>
      <c r="Z183" s="347">
        <f>(Z15+Z16+Z17+Z20+Z21+Z23)-(Z68+Z147+Z164)-(Z174+Z178)</f>
        <v>0</v>
      </c>
      <c r="AA183" s="347">
        <f>(AA15+AA16+AA17+AA20+AA21+AA23)-(AA68+AA147+AA164)-(AA174+AA178)</f>
        <v>0</v>
      </c>
      <c r="AB183" s="348"/>
      <c r="AC183" s="347">
        <f>(AC15+AC16+AC17+AC20+AC21+AC23)-(AC68+AC147+AC164)-(AC174+AC178)</f>
        <v>3.865352482534945E-12</v>
      </c>
      <c r="AD183" s="347">
        <f>(AD15+AD16+AD17+AD20+AD21+AD23)-(AD68+AD147+AD164)-(AD174+AD178)</f>
        <v>0</v>
      </c>
      <c r="AE183" s="347">
        <f>(AE15+AE16+AE17+AE20+AE21+AE23)-(AE68+AE147+AE164)-(AE174+AE178)</f>
        <v>2.7284841053187847E-12</v>
      </c>
      <c r="AF183" s="347">
        <f>(AF15+AF16+AF17+AF20+AF21+AF23)-(AF68+AF147+AF164)-(AF174+AF178)</f>
        <v>0</v>
      </c>
      <c r="AG183" s="348"/>
      <c r="AH183" s="347">
        <f>(AH15+AH16+AH17+AH20+AH21+AH23)-(AH68+AH147+AH164)-(AH174+AH178)</f>
        <v>0</v>
      </c>
      <c r="AI183" s="347">
        <f>(AI15+AI16+AI17+AI20+AI21+AI23)-(AI68+AI147+AI164)-(AI174+AI178)</f>
        <v>0</v>
      </c>
      <c r="AJ183" s="347">
        <f>(AJ15+AJ16+AJ17+AJ20+AJ21+AJ23)-(AJ68+AJ147+AJ164)-(AJ174+AJ178)</f>
        <v>0</v>
      </c>
      <c r="AK183" s="347">
        <f>(AK15+AK16+AK17+AK20+AK21+AK23)-(AK68+AK147+AK164)-(AK174+AK178)</f>
        <v>0</v>
      </c>
      <c r="AL183" s="348"/>
      <c r="AM183" s="347">
        <f>(AM15+AM16+AM17+AM20+AM21+AM23)-(AM68+AM147+AM164)-(AM174+AM178)</f>
        <v>0</v>
      </c>
      <c r="AN183" s="347">
        <f>(AN15+AN16+AN17+AN20+AN21+AN23)-(AN68+AN147+AN164)-(AN174+AN178)</f>
        <v>0</v>
      </c>
      <c r="AO183" s="347">
        <f>(AO15+AO16+AO17+AO20+AO21+AO23)-(AO68+AO147+AO164)-(AO174+AO178)</f>
        <v>0</v>
      </c>
      <c r="AP183" s="347">
        <f>(AP15+AP16+AP17+AP20+AP21+AP23)-(AP68+AP147+AP164)-(AP174+AP178)</f>
        <v>0</v>
      </c>
      <c r="AQ183" s="348"/>
    </row>
    <row r="184" spans="2:43" s="201" customFormat="1" ht="15.6" customHeight="1" outlineLevel="1" x14ac:dyDescent="0.25">
      <c r="B184" s="345" t="s">
        <v>269</v>
      </c>
      <c r="C184" s="346"/>
      <c r="D184" s="347">
        <f>D25-D70-D149-D166-D173</f>
        <v>-0.1345584499989414</v>
      </c>
      <c r="E184" s="347">
        <f>E25-E70-E149-E166-E173</f>
        <v>-0.18854740000051606</v>
      </c>
      <c r="F184" s="347">
        <f>F25-F70-F149-F166-F173</f>
        <v>0.23544271999935518</v>
      </c>
      <c r="G184" s="347">
        <f>G25-G70-G149-G166-G173</f>
        <v>0.43531089730709027</v>
      </c>
      <c r="H184" s="348"/>
      <c r="I184" s="347">
        <f>I25-I70-I149-I166-I173</f>
        <v>3.059883599917157E-2</v>
      </c>
      <c r="J184" s="347">
        <f>J25-J70-J149-J166-J173</f>
        <v>0.44908465079379312</v>
      </c>
      <c r="K184" s="347">
        <f>K25-K70-K149-K166-K173</f>
        <v>1.0799079999969763E-2</v>
      </c>
      <c r="L184" s="347">
        <f>L25-L70-L149-L166-L173</f>
        <v>0.36157627262582537</v>
      </c>
      <c r="M184" s="348"/>
      <c r="N184" s="347">
        <f>N25-N70-N149-N166-N173</f>
        <v>0.17811454997445253</v>
      </c>
      <c r="O184" s="347">
        <f>O25-O70-O149-O166-O173</f>
        <v>0.11987689403008517</v>
      </c>
      <c r="P184" s="347">
        <f>P25-P70-P149-P166-P173</f>
        <v>-0.32737784092023503</v>
      </c>
      <c r="Q184" s="347">
        <f>Q25-Q70-Q149-Q166-Q173</f>
        <v>0.99999999999818101</v>
      </c>
      <c r="R184" s="348"/>
      <c r="S184" s="347">
        <f>S25-S70-S149-S166-S173</f>
        <v>0.26731275000042842</v>
      </c>
      <c r="T184" s="347">
        <f>T25-T70-T149-T166-T173</f>
        <v>-9.9324022543555657E-2</v>
      </c>
      <c r="U184" s="347">
        <f>U25-U70-U149-U166-U173</f>
        <v>-0.27932019587456125</v>
      </c>
      <c r="V184" s="347">
        <f>V25-V70-V149-V166-V173</f>
        <v>0.21274990098459057</v>
      </c>
      <c r="W184" s="348"/>
      <c r="X184" s="347">
        <f>X25-X70-X149-X166-X173</f>
        <v>0.12548627018060188</v>
      </c>
      <c r="Y184" s="347">
        <f>Y25-Y70-Y149-Y166-Y173</f>
        <v>0.16315555822257011</v>
      </c>
      <c r="Z184" s="347">
        <f>Z25-Z70-Z149-Z166-Z173</f>
        <v>0.16347489235198509</v>
      </c>
      <c r="AA184" s="347">
        <f>AA25-AA70-AA149-AA166-AA173</f>
        <v>-8.4510967802486903E-2</v>
      </c>
      <c r="AB184" s="348"/>
      <c r="AC184" s="347">
        <f>AC25-AC70-AC149-AC166-AC173</f>
        <v>-5.5659383019360575E-2</v>
      </c>
      <c r="AD184" s="347">
        <f>AD25-AD70-AD149-AD166-AD173</f>
        <v>-0.14032528965245206</v>
      </c>
      <c r="AE184" s="347">
        <f>AE25-AE70-AE149-AE166-AE173</f>
        <v>0.38465971606211724</v>
      </c>
      <c r="AF184" s="347">
        <f>AF25-AF70-AF149-AF166-AF173</f>
        <v>0.34901048312650573</v>
      </c>
      <c r="AG184" s="348"/>
      <c r="AH184" s="347">
        <f>AH25-AH70-AH149-AH166-AH173</f>
        <v>0.32039271857115637</v>
      </c>
      <c r="AI184" s="347">
        <f>AI25-AI70-AI149-AI166-AI173</f>
        <v>2.757845586535268E-2</v>
      </c>
      <c r="AJ184" s="347">
        <f>AJ25-AJ70-AJ149-AJ166-AJ173</f>
        <v>-0.34906807056970024</v>
      </c>
      <c r="AK184" s="347">
        <f>AK25-AK70-AK149-AK166-AK173</f>
        <v>0.22695927150806483</v>
      </c>
      <c r="AL184" s="348"/>
      <c r="AM184" s="347">
        <f>AM25-AM70-AM149-AM166-AM173</f>
        <v>-0.22548459350400663</v>
      </c>
      <c r="AN184" s="347">
        <f>AN25-AN70-AN149-AN166-AN173</f>
        <v>0.13404758386215576</v>
      </c>
      <c r="AO184" s="347">
        <f>AO25-AO70-AO149-AO166-AO173</f>
        <v>-0.20836366622879154</v>
      </c>
      <c r="AP184" s="347">
        <f>AP25-AP70-AP149-AP166-AP173</f>
        <v>-0.20804701272487591</v>
      </c>
      <c r="AQ184" s="348"/>
    </row>
    <row r="185" spans="2:43" s="58" customFormat="1" ht="15.6" customHeight="1" x14ac:dyDescent="0.3">
      <c r="B185" s="630" t="s">
        <v>277</v>
      </c>
      <c r="C185" s="638"/>
      <c r="D185" s="95" t="s">
        <v>71</v>
      </c>
      <c r="E185" s="95" t="s">
        <v>74</v>
      </c>
      <c r="F185" s="95" t="s">
        <v>75</v>
      </c>
      <c r="G185" s="95" t="s">
        <v>79</v>
      </c>
      <c r="H185" s="408" t="s">
        <v>80</v>
      </c>
      <c r="I185" s="95" t="s">
        <v>81</v>
      </c>
      <c r="J185" s="95" t="s">
        <v>92</v>
      </c>
      <c r="K185" s="95" t="s">
        <v>110</v>
      </c>
      <c r="L185" s="95" t="s">
        <v>114</v>
      </c>
      <c r="M185" s="408" t="s">
        <v>115</v>
      </c>
      <c r="N185" s="95" t="s">
        <v>116</v>
      </c>
      <c r="O185" s="95" t="s">
        <v>117</v>
      </c>
      <c r="P185" s="95" t="s">
        <v>118</v>
      </c>
      <c r="Q185" s="95" t="s">
        <v>119</v>
      </c>
      <c r="R185" s="408" t="s">
        <v>120</v>
      </c>
      <c r="S185" s="95" t="s">
        <v>518</v>
      </c>
      <c r="T185" s="97" t="s">
        <v>378</v>
      </c>
      <c r="U185" s="97" t="s">
        <v>379</v>
      </c>
      <c r="V185" s="97" t="s">
        <v>380</v>
      </c>
      <c r="W185" s="412" t="s">
        <v>381</v>
      </c>
      <c r="X185" s="97" t="s">
        <v>382</v>
      </c>
      <c r="Y185" s="97" t="s">
        <v>383</v>
      </c>
      <c r="Z185" s="97" t="s">
        <v>384</v>
      </c>
      <c r="AA185" s="97" t="s">
        <v>385</v>
      </c>
      <c r="AB185" s="412" t="s">
        <v>386</v>
      </c>
      <c r="AC185" s="97" t="s">
        <v>387</v>
      </c>
      <c r="AD185" s="97" t="s">
        <v>388</v>
      </c>
      <c r="AE185" s="97" t="s">
        <v>389</v>
      </c>
      <c r="AF185" s="97" t="s">
        <v>390</v>
      </c>
      <c r="AG185" s="412" t="s">
        <v>391</v>
      </c>
      <c r="AH185" s="97" t="s">
        <v>392</v>
      </c>
      <c r="AI185" s="97" t="s">
        <v>393</v>
      </c>
      <c r="AJ185" s="97" t="s">
        <v>394</v>
      </c>
      <c r="AK185" s="97" t="s">
        <v>395</v>
      </c>
      <c r="AL185" s="412" t="s">
        <v>396</v>
      </c>
      <c r="AM185" s="97" t="s">
        <v>397</v>
      </c>
      <c r="AN185" s="97" t="s">
        <v>398</v>
      </c>
      <c r="AO185" s="97" t="s">
        <v>399</v>
      </c>
      <c r="AP185" s="97" t="s">
        <v>400</v>
      </c>
      <c r="AQ185" s="412" t="s">
        <v>401</v>
      </c>
    </row>
    <row r="186" spans="2:43" s="58" customFormat="1" ht="15.6" customHeight="1" outlineLevel="1" x14ac:dyDescent="0.3">
      <c r="B186" s="206" t="s">
        <v>286</v>
      </c>
      <c r="C186" s="293"/>
      <c r="D186" s="144"/>
      <c r="E186" s="144"/>
      <c r="F186" s="144"/>
      <c r="G186" s="144"/>
      <c r="H186" s="236"/>
      <c r="I186" s="144"/>
      <c r="J186" s="144"/>
      <c r="K186" s="144"/>
      <c r="L186" s="144"/>
      <c r="M186" s="216"/>
      <c r="N186" s="144"/>
      <c r="O186" s="144"/>
      <c r="P186" s="144"/>
      <c r="Q186" s="144"/>
      <c r="R186" s="59"/>
      <c r="S186" s="144"/>
      <c r="T186" s="144"/>
      <c r="U186" s="144"/>
      <c r="V186" s="144"/>
      <c r="W186" s="59"/>
      <c r="X186" s="144"/>
      <c r="Y186" s="144"/>
      <c r="Z186" s="144"/>
      <c r="AA186" s="144"/>
      <c r="AB186" s="59"/>
      <c r="AC186" s="144"/>
      <c r="AD186" s="144"/>
      <c r="AE186" s="144"/>
      <c r="AF186" s="144"/>
      <c r="AG186" s="59"/>
      <c r="AH186" s="144"/>
      <c r="AI186" s="144"/>
      <c r="AJ186" s="144"/>
      <c r="AK186" s="144"/>
      <c r="AL186" s="59"/>
      <c r="AM186" s="144"/>
      <c r="AN186" s="144"/>
      <c r="AO186" s="144"/>
      <c r="AP186" s="144"/>
      <c r="AQ186" s="59"/>
    </row>
    <row r="187" spans="2:43" s="58" customFormat="1" ht="15.6" customHeight="1" outlineLevel="1" x14ac:dyDescent="0.3">
      <c r="B187" s="291" t="s">
        <v>287</v>
      </c>
      <c r="C187" s="293"/>
      <c r="D187" s="144"/>
      <c r="E187" s="144"/>
      <c r="F187" s="144"/>
      <c r="G187" s="144"/>
      <c r="H187" s="175">
        <v>29602</v>
      </c>
      <c r="I187" s="144"/>
      <c r="J187" s="144"/>
      <c r="K187" s="144"/>
      <c r="L187" s="144"/>
      <c r="M187" s="175">
        <v>29913</v>
      </c>
      <c r="N187" s="144"/>
      <c r="O187" s="144"/>
      <c r="P187" s="144"/>
      <c r="Q187" s="144"/>
      <c r="R187" s="175">
        <v>24820</v>
      </c>
      <c r="S187" s="144"/>
      <c r="T187" s="144"/>
      <c r="U187" s="144"/>
      <c r="V187" s="144"/>
      <c r="W187" s="175">
        <f>+R187+W200-W199</f>
        <v>26186</v>
      </c>
      <c r="X187" s="144"/>
      <c r="Y187" s="144"/>
      <c r="Z187" s="144"/>
      <c r="AA187" s="144"/>
      <c r="AB187" s="175">
        <f>+W187+AB200-AB199</f>
        <v>27486</v>
      </c>
      <c r="AC187" s="144"/>
      <c r="AD187" s="144"/>
      <c r="AE187" s="144"/>
      <c r="AF187" s="144"/>
      <c r="AG187" s="175">
        <f>+AB187+AG200-AG199</f>
        <v>28786</v>
      </c>
      <c r="AH187" s="144"/>
      <c r="AI187" s="144"/>
      <c r="AJ187" s="144"/>
      <c r="AK187" s="144"/>
      <c r="AL187" s="175">
        <f>+AG187+AL200-AL199</f>
        <v>30186</v>
      </c>
      <c r="AM187" s="144"/>
      <c r="AN187" s="144"/>
      <c r="AO187" s="144"/>
      <c r="AP187" s="144"/>
      <c r="AQ187" s="175">
        <f>+AL187+AQ200-AQ199</f>
        <v>31686</v>
      </c>
    </row>
    <row r="188" spans="2:43" s="58" customFormat="1" ht="15.6" customHeight="1" outlineLevel="1" x14ac:dyDescent="0.45">
      <c r="B188" s="291" t="s">
        <v>288</v>
      </c>
      <c r="C188" s="293"/>
      <c r="D188" s="144"/>
      <c r="E188" s="144"/>
      <c r="F188" s="144"/>
      <c r="G188" s="144"/>
      <c r="H188" s="205">
        <v>24271</v>
      </c>
      <c r="I188" s="144"/>
      <c r="J188" s="144"/>
      <c r="K188" s="144"/>
      <c r="L188" s="144"/>
      <c r="M188" s="205">
        <v>26312</v>
      </c>
      <c r="N188" s="144"/>
      <c r="O188" s="144"/>
      <c r="P188" s="144"/>
      <c r="Q188" s="144"/>
      <c r="R188" s="205">
        <v>23566</v>
      </c>
      <c r="S188" s="144"/>
      <c r="T188" s="144"/>
      <c r="U188" s="144"/>
      <c r="V188" s="144"/>
      <c r="W188" s="205">
        <f>R188*(1+W210)+W197-W199</f>
        <v>25315.620000000003</v>
      </c>
      <c r="X188" s="144"/>
      <c r="Y188" s="144"/>
      <c r="Z188" s="144"/>
      <c r="AA188" s="144"/>
      <c r="AB188" s="205">
        <f>W188*(1+AB210)+AB197-AB199</f>
        <v>26461.135300000002</v>
      </c>
      <c r="AC188" s="144"/>
      <c r="AD188" s="144"/>
      <c r="AE188" s="144"/>
      <c r="AF188" s="144"/>
      <c r="AG188" s="205">
        <f>AB188*(1+AG210)+AG197-AG199</f>
        <v>27813.414771000003</v>
      </c>
      <c r="AH188" s="144"/>
      <c r="AI188" s="144"/>
      <c r="AJ188" s="144"/>
      <c r="AK188" s="144"/>
      <c r="AL188" s="205">
        <f>AG188*(1+AL210)+AL197-AL199</f>
        <v>29260.353804970004</v>
      </c>
      <c r="AM188" s="144"/>
      <c r="AN188" s="144"/>
      <c r="AO188" s="144"/>
      <c r="AP188" s="144"/>
      <c r="AQ188" s="205">
        <f>AL188*(1+AQ210)+AQ197-AQ199</f>
        <v>30808.578571317907</v>
      </c>
    </row>
    <row r="189" spans="2:43" s="202" customFormat="1" ht="15.6" customHeight="1" outlineLevel="1" x14ac:dyDescent="0.3">
      <c r="B189" s="294" t="s">
        <v>289</v>
      </c>
      <c r="C189" s="293"/>
      <c r="D189" s="195"/>
      <c r="E189" s="195"/>
      <c r="F189" s="195"/>
      <c r="G189" s="195"/>
      <c r="H189" s="203">
        <f>+H188-H187</f>
        <v>-5331</v>
      </c>
      <c r="I189" s="195"/>
      <c r="J189" s="195"/>
      <c r="K189" s="195"/>
      <c r="L189" s="195"/>
      <c r="M189" s="203">
        <f>+M188-M187</f>
        <v>-3601</v>
      </c>
      <c r="N189" s="195"/>
      <c r="O189" s="195"/>
      <c r="P189" s="195"/>
      <c r="Q189" s="195"/>
      <c r="R189" s="203">
        <f>+R188-R187</f>
        <v>-1254</v>
      </c>
      <c r="S189" s="195"/>
      <c r="T189" s="195"/>
      <c r="U189" s="195"/>
      <c r="V189" s="195"/>
      <c r="W189" s="203">
        <f>+W188-W187</f>
        <v>-870.37999999999738</v>
      </c>
      <c r="X189" s="195"/>
      <c r="Y189" s="195"/>
      <c r="Z189" s="195"/>
      <c r="AA189" s="195"/>
      <c r="AB189" s="203">
        <f>+AB188-AB187</f>
        <v>-1024.8646999999983</v>
      </c>
      <c r="AC189" s="195"/>
      <c r="AD189" s="195"/>
      <c r="AE189" s="195"/>
      <c r="AF189" s="195"/>
      <c r="AG189" s="203">
        <f>+AG188-AG187</f>
        <v>-972.58522899999662</v>
      </c>
      <c r="AH189" s="195"/>
      <c r="AI189" s="195"/>
      <c r="AJ189" s="195"/>
      <c r="AK189" s="195"/>
      <c r="AL189" s="203">
        <f>+AL188-AL187</f>
        <v>-925.64619502999631</v>
      </c>
      <c r="AM189" s="195"/>
      <c r="AN189" s="195"/>
      <c r="AO189" s="195"/>
      <c r="AP189" s="195"/>
      <c r="AQ189" s="203">
        <f>+AQ188-AQ187</f>
        <v>-877.42142868209339</v>
      </c>
    </row>
    <row r="190" spans="2:43" s="202" customFormat="1" ht="15.6" customHeight="1" outlineLevel="1" x14ac:dyDescent="0.3">
      <c r="B190" s="706" t="s">
        <v>292</v>
      </c>
      <c r="C190" s="707"/>
      <c r="D190" s="195"/>
      <c r="E190" s="195"/>
      <c r="F190" s="195"/>
      <c r="G190" s="195"/>
      <c r="H190" s="210">
        <f>+H188/H187</f>
        <v>0.8199108168367002</v>
      </c>
      <c r="I190" s="144"/>
      <c r="J190" s="144"/>
      <c r="K190" s="144"/>
      <c r="L190" s="144"/>
      <c r="M190" s="210">
        <f>+M188/M187</f>
        <v>0.87961755758365923</v>
      </c>
      <c r="N190" s="195"/>
      <c r="O190" s="195"/>
      <c r="P190" s="195"/>
      <c r="Q190" s="195"/>
      <c r="R190" s="210">
        <f>+R188/R187</f>
        <v>0.94947622884770344</v>
      </c>
      <c r="S190" s="195"/>
      <c r="T190" s="195"/>
      <c r="U190" s="195"/>
      <c r="V190" s="195"/>
      <c r="W190" s="210">
        <f>+W188/W187</f>
        <v>0.96676162835102741</v>
      </c>
      <c r="X190" s="195"/>
      <c r="Y190" s="195"/>
      <c r="Z190" s="195"/>
      <c r="AA190" s="195"/>
      <c r="AB190" s="210">
        <f>+AB188/AB187</f>
        <v>0.9627132103616387</v>
      </c>
      <c r="AC190" s="195"/>
      <c r="AD190" s="195"/>
      <c r="AE190" s="195"/>
      <c r="AF190" s="195"/>
      <c r="AG190" s="210">
        <f>+AG188/AG187</f>
        <v>0.96621325543667069</v>
      </c>
      <c r="AH190" s="195"/>
      <c r="AI190" s="195"/>
      <c r="AJ190" s="195"/>
      <c r="AK190" s="195"/>
      <c r="AL190" s="210">
        <f>+AL188/AL187</f>
        <v>0.9693352482929174</v>
      </c>
      <c r="AM190" s="195"/>
      <c r="AN190" s="195"/>
      <c r="AO190" s="195"/>
      <c r="AP190" s="195"/>
      <c r="AQ190" s="210">
        <f>+AQ188/AQ187</f>
        <v>0.97230886105276482</v>
      </c>
    </row>
    <row r="191" spans="2:43" s="202" customFormat="1" ht="15.6" customHeight="1" outlineLevel="1" x14ac:dyDescent="0.3">
      <c r="B191" s="354" t="s">
        <v>319</v>
      </c>
      <c r="C191" s="416"/>
      <c r="D191" s="355"/>
      <c r="E191" s="355"/>
      <c r="F191" s="355"/>
      <c r="G191" s="355"/>
      <c r="H191" s="356"/>
      <c r="I191" s="357"/>
      <c r="J191" s="357"/>
      <c r="K191" s="357"/>
      <c r="L191" s="357"/>
      <c r="M191" s="356"/>
      <c r="N191" s="355"/>
      <c r="O191" s="355"/>
      <c r="P191" s="355"/>
      <c r="Q191" s="355"/>
      <c r="R191" s="356"/>
      <c r="S191" s="355"/>
      <c r="T191" s="355"/>
      <c r="U191" s="355"/>
      <c r="V191" s="355"/>
      <c r="W191" s="356"/>
      <c r="X191" s="355"/>
      <c r="Y191" s="355"/>
      <c r="Z191" s="355"/>
      <c r="AA191" s="355"/>
      <c r="AB191" s="356"/>
      <c r="AC191" s="355"/>
      <c r="AD191" s="355"/>
      <c r="AE191" s="355"/>
      <c r="AF191" s="355"/>
      <c r="AG191" s="356"/>
      <c r="AH191" s="355"/>
      <c r="AI191" s="355"/>
      <c r="AJ191" s="355"/>
      <c r="AK191" s="355"/>
      <c r="AL191" s="356"/>
      <c r="AM191" s="355"/>
      <c r="AN191" s="355"/>
      <c r="AO191" s="355"/>
      <c r="AP191" s="355"/>
      <c r="AQ191" s="356"/>
    </row>
    <row r="192" spans="2:43" s="58" customFormat="1" ht="15.6" customHeight="1" outlineLevel="1" x14ac:dyDescent="0.45">
      <c r="B192" s="704" t="s">
        <v>324</v>
      </c>
      <c r="C192" s="705"/>
      <c r="D192" s="173"/>
      <c r="E192" s="173"/>
      <c r="F192" s="173"/>
      <c r="G192" s="173"/>
      <c r="H192" s="342">
        <f>-118-3</f>
        <v>-121</v>
      </c>
      <c r="I192" s="358"/>
      <c r="J192" s="358"/>
      <c r="K192" s="358"/>
      <c r="L192" s="358"/>
      <c r="M192" s="342">
        <f>-118-3+3</f>
        <v>-118</v>
      </c>
      <c r="N192" s="173"/>
      <c r="O192" s="173"/>
      <c r="P192" s="173"/>
      <c r="Q192" s="173"/>
      <c r="R192" s="359">
        <f>-118-2-6</f>
        <v>-126</v>
      </c>
      <c r="S192" s="173"/>
      <c r="T192" s="173"/>
      <c r="U192" s="173"/>
      <c r="V192" s="173"/>
      <c r="W192" s="257">
        <f>+R192</f>
        <v>-126</v>
      </c>
      <c r="X192" s="173"/>
      <c r="Y192" s="173"/>
      <c r="Z192" s="173"/>
      <c r="AA192" s="173"/>
      <c r="AB192" s="257">
        <f>+W192</f>
        <v>-126</v>
      </c>
      <c r="AC192" s="173"/>
      <c r="AD192" s="173"/>
      <c r="AE192" s="173"/>
      <c r="AF192" s="173"/>
      <c r="AG192" s="257">
        <f>+AB192</f>
        <v>-126</v>
      </c>
      <c r="AH192" s="173"/>
      <c r="AI192" s="173"/>
      <c r="AJ192" s="173"/>
      <c r="AK192" s="173"/>
      <c r="AL192" s="257">
        <f>+AG192</f>
        <v>-126</v>
      </c>
      <c r="AM192" s="173"/>
      <c r="AN192" s="173"/>
      <c r="AO192" s="173"/>
      <c r="AP192" s="173"/>
      <c r="AQ192" s="257">
        <f>+AL192</f>
        <v>-126</v>
      </c>
    </row>
    <row r="193" spans="1:43" s="202" customFormat="1" ht="15.6" customHeight="1" outlineLevel="1" x14ac:dyDescent="0.45">
      <c r="B193" s="164" t="s">
        <v>320</v>
      </c>
      <c r="C193" s="299"/>
      <c r="D193" s="174"/>
      <c r="E193" s="174"/>
      <c r="F193" s="174"/>
      <c r="G193" s="174"/>
      <c r="H193" s="360">
        <f>+(-74-2)-H192</f>
        <v>45</v>
      </c>
      <c r="I193" s="358"/>
      <c r="J193" s="358"/>
      <c r="K193" s="358"/>
      <c r="L193" s="174"/>
      <c r="M193" s="360">
        <f>+(-74-3+2)-M192</f>
        <v>43</v>
      </c>
      <c r="N193" s="361"/>
      <c r="O193" s="361"/>
      <c r="P193" s="361"/>
      <c r="Q193" s="174"/>
      <c r="R193" s="360">
        <f>+(-83-1-5)-R192</f>
        <v>37</v>
      </c>
      <c r="S193" s="174"/>
      <c r="T193" s="174"/>
      <c r="U193" s="174"/>
      <c r="V193" s="174"/>
      <c r="W193" s="257">
        <f>+R193</f>
        <v>37</v>
      </c>
      <c r="X193" s="174"/>
      <c r="Y193" s="174"/>
      <c r="Z193" s="174"/>
      <c r="AA193" s="174"/>
      <c r="AB193" s="257">
        <f>+W193</f>
        <v>37</v>
      </c>
      <c r="AC193" s="174"/>
      <c r="AD193" s="174"/>
      <c r="AE193" s="174"/>
      <c r="AF193" s="174"/>
      <c r="AG193" s="257">
        <f>+AB193</f>
        <v>37</v>
      </c>
      <c r="AH193" s="174"/>
      <c r="AI193" s="174"/>
      <c r="AJ193" s="174"/>
      <c r="AK193" s="174"/>
      <c r="AL193" s="257">
        <f>+AG193</f>
        <v>37</v>
      </c>
      <c r="AM193" s="174"/>
      <c r="AN193" s="174"/>
      <c r="AO193" s="174"/>
      <c r="AP193" s="174"/>
      <c r="AQ193" s="257">
        <f>+AL193</f>
        <v>37</v>
      </c>
    </row>
    <row r="194" spans="1:43" s="202" customFormat="1" ht="15.6" customHeight="1" outlineLevel="1" x14ac:dyDescent="0.3">
      <c r="B194" s="150" t="s">
        <v>313</v>
      </c>
      <c r="C194" s="299"/>
      <c r="D194" s="173">
        <v>-31</v>
      </c>
      <c r="E194" s="173">
        <v>-29</v>
      </c>
      <c r="F194" s="173">
        <v>-29</v>
      </c>
      <c r="G194" s="173">
        <f>+H194-F194-E194-D194</f>
        <v>13</v>
      </c>
      <c r="H194" s="342">
        <f>SUM(H192:H193)</f>
        <v>-76</v>
      </c>
      <c r="I194" s="173">
        <f>-30+1</f>
        <v>-29</v>
      </c>
      <c r="J194" s="173">
        <f>-30+1</f>
        <v>-29</v>
      </c>
      <c r="K194" s="173">
        <f>-30-2</f>
        <v>-32</v>
      </c>
      <c r="L194" s="173">
        <f>+M194-K194-J194-I194</f>
        <v>15</v>
      </c>
      <c r="M194" s="342">
        <f>SUM(M192:M193)</f>
        <v>-75</v>
      </c>
      <c r="N194" s="173">
        <v>-30</v>
      </c>
      <c r="O194" s="173">
        <f>-29-1</f>
        <v>-30</v>
      </c>
      <c r="P194" s="173">
        <f>-29+1</f>
        <v>-28</v>
      </c>
      <c r="Q194" s="173">
        <f>+R194-P194-O194-N194</f>
        <v>-1</v>
      </c>
      <c r="R194" s="359">
        <f>SUM(R192:R193)</f>
        <v>-89</v>
      </c>
      <c r="S194" s="173">
        <f>+S282-R282</f>
        <v>-23</v>
      </c>
      <c r="T194" s="145">
        <f>+R194/4</f>
        <v>-22.25</v>
      </c>
      <c r="U194" s="145">
        <f>+R194/4</f>
        <v>-22.25</v>
      </c>
      <c r="V194" s="145">
        <f>+R194/4</f>
        <v>-22.25</v>
      </c>
      <c r="W194" s="342">
        <f>SUM(S194:V194)</f>
        <v>-89.75</v>
      </c>
      <c r="X194" s="145">
        <f>+W194/4</f>
        <v>-22.4375</v>
      </c>
      <c r="Y194" s="145">
        <f>+W194/4</f>
        <v>-22.4375</v>
      </c>
      <c r="Z194" s="145">
        <f>+W194/4</f>
        <v>-22.4375</v>
      </c>
      <c r="AA194" s="145">
        <f>+W194/4</f>
        <v>-22.4375</v>
      </c>
      <c r="AB194" s="342">
        <f>SUM(X194:AA194)</f>
        <v>-89.75</v>
      </c>
      <c r="AC194" s="145">
        <f>+AB194/4</f>
        <v>-22.4375</v>
      </c>
      <c r="AD194" s="145">
        <f>+AB194/4</f>
        <v>-22.4375</v>
      </c>
      <c r="AE194" s="145">
        <f>+AB194/4</f>
        <v>-22.4375</v>
      </c>
      <c r="AF194" s="145">
        <f>+AB194/4</f>
        <v>-22.4375</v>
      </c>
      <c r="AG194" s="342">
        <f>SUM(AC194:AF194)</f>
        <v>-89.75</v>
      </c>
      <c r="AH194" s="145">
        <f>+AG194/4</f>
        <v>-22.4375</v>
      </c>
      <c r="AI194" s="145">
        <f>+AG194/4</f>
        <v>-22.4375</v>
      </c>
      <c r="AJ194" s="145">
        <f>+AG194/4</f>
        <v>-22.4375</v>
      </c>
      <c r="AK194" s="145">
        <f>+AG194/4</f>
        <v>-22.4375</v>
      </c>
      <c r="AL194" s="342">
        <f>SUM(AH194:AK194)</f>
        <v>-89.75</v>
      </c>
      <c r="AM194" s="145">
        <f>+AL194/4</f>
        <v>-22.4375</v>
      </c>
      <c r="AN194" s="145">
        <f>+AL194/4</f>
        <v>-22.4375</v>
      </c>
      <c r="AO194" s="145">
        <f>+AL194/4</f>
        <v>-22.4375</v>
      </c>
      <c r="AP194" s="145">
        <f>+AL194/4</f>
        <v>-22.4375</v>
      </c>
      <c r="AQ194" s="342">
        <f>SUM(AM194:AP194)</f>
        <v>-89.75</v>
      </c>
    </row>
    <row r="195" spans="1:43" s="202" customFormat="1" ht="15.6" customHeight="1" outlineLevel="1" x14ac:dyDescent="0.45">
      <c r="B195" s="164" t="s">
        <v>322</v>
      </c>
      <c r="C195" s="299"/>
      <c r="D195" s="174"/>
      <c r="E195" s="174"/>
      <c r="F195" s="174"/>
      <c r="G195" s="174"/>
      <c r="H195" s="342">
        <f>+(H189+H192+H193)+H268</f>
        <v>820</v>
      </c>
      <c r="I195" s="358"/>
      <c r="J195" s="358"/>
      <c r="K195" s="358"/>
      <c r="L195" s="358"/>
      <c r="M195" s="342">
        <f>+(M189+M192+M193)+M268</f>
        <v>811</v>
      </c>
      <c r="N195" s="174"/>
      <c r="O195" s="174"/>
      <c r="P195" s="174"/>
      <c r="Q195" s="174"/>
      <c r="R195" s="342">
        <f>+(R189+R192+R193)+R268</f>
        <v>844</v>
      </c>
      <c r="S195" s="174"/>
      <c r="T195" s="174"/>
      <c r="U195" s="174"/>
      <c r="V195" s="174"/>
      <c r="W195" s="257">
        <f>+R195</f>
        <v>844</v>
      </c>
      <c r="X195" s="174"/>
      <c r="Y195" s="174"/>
      <c r="Z195" s="174"/>
      <c r="AA195" s="174"/>
      <c r="AB195" s="257">
        <f>+W195</f>
        <v>844</v>
      </c>
      <c r="AC195" s="174"/>
      <c r="AD195" s="174"/>
      <c r="AE195" s="174"/>
      <c r="AF195" s="174"/>
      <c r="AG195" s="257">
        <f>+AB195</f>
        <v>844</v>
      </c>
      <c r="AH195" s="174"/>
      <c r="AI195" s="174"/>
      <c r="AJ195" s="174"/>
      <c r="AK195" s="174"/>
      <c r="AL195" s="257">
        <f>+AG195</f>
        <v>844</v>
      </c>
      <c r="AM195" s="174"/>
      <c r="AN195" s="174"/>
      <c r="AO195" s="174"/>
      <c r="AP195" s="174"/>
      <c r="AQ195" s="257">
        <f>+AL195</f>
        <v>844</v>
      </c>
    </row>
    <row r="196" spans="1:43" s="202" customFormat="1" ht="15.6" customHeight="1" outlineLevel="1" x14ac:dyDescent="0.45">
      <c r="B196" s="362" t="s">
        <v>321</v>
      </c>
      <c r="C196" s="299"/>
      <c r="D196" s="174"/>
      <c r="E196" s="174"/>
      <c r="F196" s="174"/>
      <c r="G196" s="174"/>
      <c r="H196" s="363">
        <f>+(H189+H192+H193-H195)+H268</f>
        <v>0</v>
      </c>
      <c r="I196" s="358"/>
      <c r="J196" s="358"/>
      <c r="K196" s="358"/>
      <c r="L196" s="358"/>
      <c r="M196" s="363">
        <f>+(M189+M192+M193-M195)+M268</f>
        <v>0</v>
      </c>
      <c r="N196" s="174"/>
      <c r="O196" s="174"/>
      <c r="P196" s="174"/>
      <c r="Q196" s="174"/>
      <c r="R196" s="364">
        <f>+(R189+R192+R193-R195)+R268</f>
        <v>0</v>
      </c>
      <c r="S196" s="174"/>
      <c r="T196" s="174"/>
      <c r="U196" s="174"/>
      <c r="V196" s="174"/>
      <c r="W196" s="364">
        <f>+(W189+W192+W193-W195)+W268</f>
        <v>0</v>
      </c>
      <c r="X196" s="174"/>
      <c r="Y196" s="174"/>
      <c r="Z196" s="174"/>
      <c r="AA196" s="174"/>
      <c r="AB196" s="364">
        <f>+(AB189+AB192+AB193-AB195)+AB268</f>
        <v>0</v>
      </c>
      <c r="AC196" s="174"/>
      <c r="AD196" s="174"/>
      <c r="AE196" s="174"/>
      <c r="AF196" s="174"/>
      <c r="AG196" s="364">
        <f>+(AG189+AG192+AG193-AG195)+AG268</f>
        <v>0</v>
      </c>
      <c r="AH196" s="174"/>
      <c r="AI196" s="174"/>
      <c r="AJ196" s="174"/>
      <c r="AK196" s="174"/>
      <c r="AL196" s="364">
        <f>+(AL189+AL192+AL193-AL195)+AL268</f>
        <v>0</v>
      </c>
      <c r="AM196" s="174"/>
      <c r="AN196" s="174"/>
      <c r="AO196" s="174"/>
      <c r="AP196" s="174"/>
      <c r="AQ196" s="364">
        <f>+(AQ189+AQ192+AQ193-AQ195)+AQ268</f>
        <v>0</v>
      </c>
    </row>
    <row r="197" spans="1:43" s="58" customFormat="1" ht="15.6" customHeight="1" outlineLevel="1" x14ac:dyDescent="0.3">
      <c r="B197" s="258" t="s">
        <v>290</v>
      </c>
      <c r="C197" s="417"/>
      <c r="D197" s="208">
        <v>165</v>
      </c>
      <c r="E197" s="208">
        <f>330-D197</f>
        <v>165</v>
      </c>
      <c r="F197" s="208">
        <f>330-E197-D197</f>
        <v>0</v>
      </c>
      <c r="G197" s="208">
        <f>+H197-F197-E197-D197</f>
        <v>396</v>
      </c>
      <c r="H197" s="209">
        <v>726</v>
      </c>
      <c r="I197" s="208">
        <v>250</v>
      </c>
      <c r="J197" s="208">
        <v>250</v>
      </c>
      <c r="K197" s="208">
        <f>1750-J197-I197</f>
        <v>1250</v>
      </c>
      <c r="L197" s="208">
        <f>+M197-K197-J197-I197</f>
        <v>365</v>
      </c>
      <c r="M197" s="209">
        <v>2115</v>
      </c>
      <c r="N197" s="208">
        <v>250</v>
      </c>
      <c r="O197" s="208">
        <f>750-N197</f>
        <v>500</v>
      </c>
      <c r="P197" s="208">
        <f>2500-O197-N197</f>
        <v>1750</v>
      </c>
      <c r="Q197" s="208">
        <f>+R197-P197-O197-N197</f>
        <v>173</v>
      </c>
      <c r="R197" s="209">
        <f>2547+84+42</f>
        <v>2673</v>
      </c>
      <c r="S197" s="208">
        <v>250</v>
      </c>
      <c r="T197" s="260">
        <v>250</v>
      </c>
      <c r="U197" s="260">
        <v>250</v>
      </c>
      <c r="V197" s="260">
        <v>250</v>
      </c>
      <c r="W197" s="209">
        <f>SUM(S197:V197)</f>
        <v>1000</v>
      </c>
      <c r="X197" s="260">
        <v>100</v>
      </c>
      <c r="Y197" s="260">
        <v>100</v>
      </c>
      <c r="Z197" s="260">
        <v>100</v>
      </c>
      <c r="AA197" s="260">
        <v>100</v>
      </c>
      <c r="AB197" s="209">
        <f>SUM(X197:AA197)</f>
        <v>400</v>
      </c>
      <c r="AC197" s="260">
        <v>100</v>
      </c>
      <c r="AD197" s="260">
        <v>100</v>
      </c>
      <c r="AE197" s="260">
        <v>100</v>
      </c>
      <c r="AF197" s="260">
        <v>100</v>
      </c>
      <c r="AG197" s="209">
        <f>SUM(AC197:AF197)</f>
        <v>400</v>
      </c>
      <c r="AH197" s="260">
        <v>100</v>
      </c>
      <c r="AI197" s="260">
        <v>100</v>
      </c>
      <c r="AJ197" s="260">
        <v>100</v>
      </c>
      <c r="AK197" s="260">
        <v>100</v>
      </c>
      <c r="AL197" s="209">
        <f>SUM(AH197:AK197)</f>
        <v>400</v>
      </c>
      <c r="AM197" s="260">
        <v>100</v>
      </c>
      <c r="AN197" s="260">
        <v>100</v>
      </c>
      <c r="AO197" s="260">
        <v>100</v>
      </c>
      <c r="AP197" s="260">
        <v>100</v>
      </c>
      <c r="AQ197" s="209">
        <f>SUM(AM197:AP197)</f>
        <v>400</v>
      </c>
    </row>
    <row r="198" spans="1:43" s="58" customFormat="1" ht="15.6" customHeight="1" outlineLevel="1" x14ac:dyDescent="0.3">
      <c r="B198" s="128" t="s">
        <v>339</v>
      </c>
      <c r="C198" s="418"/>
      <c r="D198" s="144"/>
      <c r="E198" s="144"/>
      <c r="F198" s="144"/>
      <c r="G198" s="144"/>
      <c r="H198" s="175"/>
      <c r="I198" s="144"/>
      <c r="J198" s="144"/>
      <c r="K198" s="144"/>
      <c r="L198" s="144"/>
      <c r="M198" s="175"/>
      <c r="N198" s="144"/>
      <c r="O198" s="144"/>
      <c r="P198" s="144"/>
      <c r="Q198" s="144">
        <f>-6178-5</f>
        <v>-6183</v>
      </c>
      <c r="R198" s="175">
        <f>+Q198</f>
        <v>-6183</v>
      </c>
      <c r="S198" s="144"/>
      <c r="T198" s="144"/>
      <c r="U198" s="144"/>
      <c r="V198" s="144"/>
      <c r="W198" s="175"/>
      <c r="X198" s="145"/>
      <c r="Y198" s="145"/>
      <c r="Z198" s="145"/>
      <c r="AA198" s="145"/>
      <c r="AB198" s="175"/>
      <c r="AC198" s="145"/>
      <c r="AD198" s="145"/>
      <c r="AE198" s="145"/>
      <c r="AF198" s="145"/>
      <c r="AG198" s="175"/>
      <c r="AH198" s="145"/>
      <c r="AI198" s="145"/>
      <c r="AJ198" s="145"/>
      <c r="AK198" s="145"/>
      <c r="AL198" s="175"/>
      <c r="AM198" s="145"/>
      <c r="AN198" s="145"/>
      <c r="AO198" s="145"/>
      <c r="AP198" s="145"/>
      <c r="AQ198" s="175"/>
    </row>
    <row r="199" spans="1:43" s="58" customFormat="1" ht="15.6" customHeight="1" outlineLevel="1" x14ac:dyDescent="0.3">
      <c r="B199" s="128" t="s">
        <v>291</v>
      </c>
      <c r="C199" s="418"/>
      <c r="D199" s="144"/>
      <c r="E199" s="144"/>
      <c r="F199" s="144"/>
      <c r="G199" s="144"/>
      <c r="H199" s="175">
        <v>912</v>
      </c>
      <c r="I199" s="144"/>
      <c r="J199" s="144"/>
      <c r="K199" s="144"/>
      <c r="L199" s="144"/>
      <c r="M199" s="175">
        <v>2310</v>
      </c>
      <c r="N199" s="144"/>
      <c r="O199" s="144"/>
      <c r="P199" s="144"/>
      <c r="Q199" s="144"/>
      <c r="R199" s="175">
        <f>854+46</f>
        <v>900</v>
      </c>
      <c r="S199" s="144"/>
      <c r="T199" s="144"/>
      <c r="U199" s="144"/>
      <c r="V199" s="144"/>
      <c r="W199" s="223">
        <f>+R199</f>
        <v>900</v>
      </c>
      <c r="X199" s="144"/>
      <c r="Y199" s="144"/>
      <c r="Z199" s="144"/>
      <c r="AA199" s="144"/>
      <c r="AB199" s="223">
        <f>+W199</f>
        <v>900</v>
      </c>
      <c r="AC199" s="144"/>
      <c r="AD199" s="144"/>
      <c r="AE199" s="144"/>
      <c r="AF199" s="144"/>
      <c r="AG199" s="223">
        <f>+AB199</f>
        <v>900</v>
      </c>
      <c r="AH199" s="144"/>
      <c r="AI199" s="144"/>
      <c r="AJ199" s="144"/>
      <c r="AK199" s="144"/>
      <c r="AL199" s="223">
        <f>+AG199</f>
        <v>900</v>
      </c>
      <c r="AM199" s="144"/>
      <c r="AN199" s="144"/>
      <c r="AO199" s="144"/>
      <c r="AP199" s="144"/>
      <c r="AQ199" s="223">
        <f>+AL199</f>
        <v>900</v>
      </c>
    </row>
    <row r="200" spans="1:43" s="58" customFormat="1" ht="15.6" customHeight="1" outlineLevel="1" x14ac:dyDescent="0.3">
      <c r="B200" s="365" t="s">
        <v>323</v>
      </c>
      <c r="C200" s="419"/>
      <c r="D200" s="221">
        <f>166+10+11+295</f>
        <v>482</v>
      </c>
      <c r="E200" s="221">
        <f>165+295+10+10</f>
        <v>480</v>
      </c>
      <c r="F200" s="221">
        <f>165+295+10+10</f>
        <v>480</v>
      </c>
      <c r="G200" s="221">
        <f>+H200-F200-E200-D200</f>
        <v>1614</v>
      </c>
      <c r="H200" s="181">
        <f>622+1155+284+40+25-7+907-24+40+42-64+36</f>
        <v>3056</v>
      </c>
      <c r="I200" s="221">
        <f>160+20+9+282+11+10</f>
        <v>492</v>
      </c>
      <c r="J200" s="221">
        <f>160+20+9+282+11+10</f>
        <v>492</v>
      </c>
      <c r="K200" s="221">
        <f>160+20+9+282+11+10</f>
        <v>492</v>
      </c>
      <c r="L200" s="221">
        <f>+M200-K200-J200-I200</f>
        <v>1166</v>
      </c>
      <c r="M200" s="181">
        <f>638+1128+571+83+43+161+26-30+36+39-14-72+33</f>
        <v>2642</v>
      </c>
      <c r="N200" s="221">
        <f>170+23+9+279+12+10</f>
        <v>503</v>
      </c>
      <c r="O200" s="221">
        <f>170+23+9+278+13+9</f>
        <v>502</v>
      </c>
      <c r="P200" s="221">
        <f>169+23+9+279+12+10</f>
        <v>502</v>
      </c>
      <c r="Q200" s="221">
        <f>+R200-P200-O200-N200</f>
        <v>591</v>
      </c>
      <c r="R200" s="181">
        <f>679+97+36+1115+49+39+21-34-9+63+42</f>
        <v>2098</v>
      </c>
      <c r="S200" s="221">
        <f>238+13+10+172+24+9</f>
        <v>466</v>
      </c>
      <c r="T200" s="336">
        <v>600</v>
      </c>
      <c r="U200" s="336">
        <v>600</v>
      </c>
      <c r="V200" s="336">
        <v>600</v>
      </c>
      <c r="W200" s="181">
        <f>SUM(S200:V200)</f>
        <v>2266</v>
      </c>
      <c r="X200" s="336">
        <v>550</v>
      </c>
      <c r="Y200" s="336">
        <v>550</v>
      </c>
      <c r="Z200" s="336">
        <v>550</v>
      </c>
      <c r="AA200" s="336">
        <v>550</v>
      </c>
      <c r="AB200" s="181">
        <f>SUM(X200:AA200)</f>
        <v>2200</v>
      </c>
      <c r="AC200" s="336">
        <v>550</v>
      </c>
      <c r="AD200" s="336">
        <v>550</v>
      </c>
      <c r="AE200" s="336">
        <v>550</v>
      </c>
      <c r="AF200" s="336">
        <v>550</v>
      </c>
      <c r="AG200" s="181">
        <f>SUM(AC200:AF200)</f>
        <v>2200</v>
      </c>
      <c r="AH200" s="336">
        <v>575</v>
      </c>
      <c r="AI200" s="336">
        <v>575</v>
      </c>
      <c r="AJ200" s="336">
        <v>575</v>
      </c>
      <c r="AK200" s="336">
        <v>575</v>
      </c>
      <c r="AL200" s="181">
        <f>SUM(AH200:AK200)</f>
        <v>2300</v>
      </c>
      <c r="AM200" s="336">
        <v>600</v>
      </c>
      <c r="AN200" s="336">
        <v>600</v>
      </c>
      <c r="AO200" s="336">
        <v>600</v>
      </c>
      <c r="AP200" s="336">
        <v>600</v>
      </c>
      <c r="AQ200" s="181">
        <f>SUM(AM200:AP200)</f>
        <v>2400</v>
      </c>
    </row>
    <row r="201" spans="1:43" s="58" customFormat="1" ht="15.6" customHeight="1" outlineLevel="1" x14ac:dyDescent="0.3">
      <c r="A201" s="235"/>
      <c r="B201" s="366" t="s">
        <v>278</v>
      </c>
      <c r="C201" s="299"/>
      <c r="D201" s="173"/>
      <c r="E201" s="173"/>
      <c r="F201" s="173"/>
      <c r="G201" s="173"/>
      <c r="H201" s="342"/>
      <c r="I201" s="173"/>
      <c r="J201" s="173"/>
      <c r="K201" s="173"/>
      <c r="L201" s="173"/>
      <c r="M201" s="342"/>
      <c r="N201" s="173"/>
      <c r="O201" s="173"/>
      <c r="P201" s="173"/>
      <c r="Q201" s="173"/>
      <c r="R201" s="141"/>
      <c r="S201" s="163"/>
      <c r="T201" s="173"/>
      <c r="U201" s="173"/>
      <c r="V201" s="173"/>
      <c r="W201" s="141"/>
      <c r="X201" s="173"/>
      <c r="Y201" s="173"/>
      <c r="Z201" s="173"/>
      <c r="AA201" s="173"/>
      <c r="AB201" s="141"/>
      <c r="AC201" s="173"/>
      <c r="AD201" s="173"/>
      <c r="AE201" s="173"/>
      <c r="AF201" s="173"/>
      <c r="AG201" s="141"/>
      <c r="AH201" s="173"/>
      <c r="AI201" s="173"/>
      <c r="AJ201" s="173"/>
      <c r="AK201" s="173"/>
      <c r="AL201" s="141"/>
      <c r="AM201" s="173"/>
      <c r="AN201" s="173"/>
      <c r="AO201" s="173"/>
      <c r="AP201" s="173"/>
      <c r="AQ201" s="141"/>
    </row>
    <row r="202" spans="1:43" s="58" customFormat="1" ht="15.6" customHeight="1" outlineLevel="1" x14ac:dyDescent="0.3">
      <c r="A202" s="235"/>
      <c r="B202" s="132" t="s">
        <v>279</v>
      </c>
      <c r="C202" s="299"/>
      <c r="D202" s="173"/>
      <c r="E202" s="173"/>
      <c r="F202" s="173"/>
      <c r="G202" s="173">
        <v>1285</v>
      </c>
      <c r="H202" s="342">
        <f>+SUM(D202:G202)</f>
        <v>1285</v>
      </c>
      <c r="I202" s="173"/>
      <c r="J202" s="173"/>
      <c r="K202" s="173"/>
      <c r="L202" s="173">
        <v>-740</v>
      </c>
      <c r="M202" s="342">
        <f>+SUM(I202:L202)</f>
        <v>-740</v>
      </c>
      <c r="N202" s="173"/>
      <c r="O202" s="173"/>
      <c r="P202" s="173"/>
      <c r="Q202" s="173">
        <v>11</v>
      </c>
      <c r="R202" s="342">
        <f>+SUM(N202:Q202)</f>
        <v>11</v>
      </c>
      <c r="S202" s="173"/>
      <c r="T202" s="173"/>
      <c r="U202" s="173"/>
      <c r="V202" s="145">
        <f>-W213*10000*W209</f>
        <v>-55.00000000000005</v>
      </c>
      <c r="W202" s="342">
        <f>SUM(S202:V202)</f>
        <v>-55.00000000000005</v>
      </c>
      <c r="X202" s="173"/>
      <c r="Y202" s="173"/>
      <c r="Z202" s="173"/>
      <c r="AA202" s="145">
        <f>-AB213*10000*AB209</f>
        <v>55.00000000000005</v>
      </c>
      <c r="AB202" s="342">
        <f>SUM(X202:AA202)</f>
        <v>55.00000000000005</v>
      </c>
      <c r="AC202" s="173"/>
      <c r="AD202" s="173"/>
      <c r="AE202" s="173"/>
      <c r="AF202" s="145">
        <f>-AG213*10000*AG209</f>
        <v>-55.00000000000005</v>
      </c>
      <c r="AG202" s="342">
        <f>SUM(AC202:AF202)</f>
        <v>-55.00000000000005</v>
      </c>
      <c r="AH202" s="173"/>
      <c r="AI202" s="173"/>
      <c r="AJ202" s="173"/>
      <c r="AK202" s="145">
        <f>-AL213*10000*AL209</f>
        <v>-55.00000000000005</v>
      </c>
      <c r="AL202" s="342">
        <f>SUM(AH202:AK202)</f>
        <v>-55.00000000000005</v>
      </c>
      <c r="AM202" s="173"/>
      <c r="AN202" s="173"/>
      <c r="AO202" s="173"/>
      <c r="AP202" s="145">
        <f>-AQ213*10000*AQ209</f>
        <v>-55.00000000000005</v>
      </c>
      <c r="AQ202" s="342">
        <f>SUM(AM202:AP202)</f>
        <v>-55.00000000000005</v>
      </c>
    </row>
    <row r="203" spans="1:43" s="58" customFormat="1" ht="15.6" customHeight="1" outlineLevel="1" x14ac:dyDescent="0.3">
      <c r="A203" s="235"/>
      <c r="B203" s="132" t="s">
        <v>338</v>
      </c>
      <c r="C203" s="299"/>
      <c r="D203" s="173"/>
      <c r="E203" s="173"/>
      <c r="F203" s="173"/>
      <c r="G203" s="173"/>
      <c r="H203" s="342"/>
      <c r="I203" s="173"/>
      <c r="J203" s="173"/>
      <c r="K203" s="173"/>
      <c r="L203" s="173">
        <v>0</v>
      </c>
      <c r="M203" s="342">
        <v>0</v>
      </c>
      <c r="N203" s="173"/>
      <c r="O203" s="173"/>
      <c r="P203" s="173"/>
      <c r="Q203" s="173">
        <v>210</v>
      </c>
      <c r="R203" s="342">
        <f>+Q203</f>
        <v>210</v>
      </c>
      <c r="S203" s="173"/>
      <c r="T203" s="173"/>
      <c r="U203" s="173"/>
      <c r="V203" s="145"/>
      <c r="W203" s="342"/>
      <c r="X203" s="173"/>
      <c r="Y203" s="173"/>
      <c r="Z203" s="173"/>
      <c r="AA203" s="145"/>
      <c r="AB203" s="342"/>
      <c r="AC203" s="173"/>
      <c r="AD203" s="173"/>
      <c r="AE203" s="173"/>
      <c r="AF203" s="145"/>
      <c r="AG203" s="342"/>
      <c r="AH203" s="173"/>
      <c r="AI203" s="173"/>
      <c r="AJ203" s="173"/>
      <c r="AK203" s="145"/>
      <c r="AL203" s="342"/>
      <c r="AM203" s="173"/>
      <c r="AN203" s="173"/>
      <c r="AO203" s="173"/>
      <c r="AP203" s="145"/>
      <c r="AQ203" s="342"/>
    </row>
    <row r="204" spans="1:43" s="58" customFormat="1" ht="15.6" customHeight="1" outlineLevel="1" x14ac:dyDescent="0.3">
      <c r="A204" s="235"/>
      <c r="B204" s="367" t="s">
        <v>280</v>
      </c>
      <c r="C204" s="299"/>
      <c r="D204" s="173">
        <v>0</v>
      </c>
      <c r="E204" s="173">
        <v>0</v>
      </c>
      <c r="F204" s="173">
        <v>0</v>
      </c>
      <c r="G204" s="173">
        <v>1129</v>
      </c>
      <c r="H204" s="342">
        <f>+SUM(D204:G204)</f>
        <v>1129</v>
      </c>
      <c r="I204" s="173">
        <v>0</v>
      </c>
      <c r="J204" s="173">
        <v>0</v>
      </c>
      <c r="K204" s="173">
        <v>0</v>
      </c>
      <c r="L204" s="173">
        <v>266</v>
      </c>
      <c r="M204" s="342">
        <f>+SUM(I204:L204)</f>
        <v>266</v>
      </c>
      <c r="N204" s="173">
        <v>0</v>
      </c>
      <c r="O204" s="173">
        <v>0</v>
      </c>
      <c r="P204" s="173">
        <v>0</v>
      </c>
      <c r="Q204" s="173">
        <v>-613</v>
      </c>
      <c r="R204" s="342">
        <f>+SUM(N204:Q204)</f>
        <v>-613</v>
      </c>
      <c r="S204" s="173">
        <v>0</v>
      </c>
      <c r="T204" s="173">
        <v>0</v>
      </c>
      <c r="U204" s="173">
        <v>0</v>
      </c>
      <c r="V204" s="145">
        <f>-W214*10000*W212</f>
        <v>-172.23050661764714</v>
      </c>
      <c r="W204" s="223">
        <f>+SUM(S204:V204)</f>
        <v>-172.23050661764714</v>
      </c>
      <c r="X204" s="173">
        <v>0</v>
      </c>
      <c r="Y204" s="173">
        <v>0</v>
      </c>
      <c r="Z204" s="173">
        <v>0</v>
      </c>
      <c r="AA204" s="145">
        <f>-AB214*10000*AB212</f>
        <v>-155</v>
      </c>
      <c r="AB204" s="223">
        <f>+SUM(X204:AA204)</f>
        <v>-155</v>
      </c>
      <c r="AC204" s="173">
        <v>0</v>
      </c>
      <c r="AD204" s="173">
        <v>0</v>
      </c>
      <c r="AE204" s="173">
        <v>0</v>
      </c>
      <c r="AF204" s="145">
        <f>-AG214*10000*AG212</f>
        <v>0</v>
      </c>
      <c r="AG204" s="223">
        <f>+SUM(AC204:AF204)</f>
        <v>0</v>
      </c>
      <c r="AH204" s="173">
        <v>0</v>
      </c>
      <c r="AI204" s="173">
        <v>0</v>
      </c>
      <c r="AJ204" s="173">
        <v>0</v>
      </c>
      <c r="AK204" s="145">
        <f>-AL214*10000*AL212</f>
        <v>0</v>
      </c>
      <c r="AL204" s="223">
        <f>+SUM(AH204:AK204)</f>
        <v>0</v>
      </c>
      <c r="AM204" s="173">
        <v>0</v>
      </c>
      <c r="AN204" s="173">
        <v>0</v>
      </c>
      <c r="AO204" s="173">
        <v>0</v>
      </c>
      <c r="AP204" s="145">
        <f>-AQ214*10000*AQ212</f>
        <v>0</v>
      </c>
      <c r="AQ204" s="223">
        <f>+SUM(AM204:AP204)</f>
        <v>0</v>
      </c>
    </row>
    <row r="205" spans="1:43" s="58" customFormat="1" ht="15.6" customHeight="1" outlineLevel="1" x14ac:dyDescent="0.45">
      <c r="A205" s="235"/>
      <c r="B205" s="367" t="s">
        <v>281</v>
      </c>
      <c r="C205" s="299"/>
      <c r="D205" s="358">
        <v>0</v>
      </c>
      <c r="E205" s="358">
        <v>0</v>
      </c>
      <c r="F205" s="358">
        <v>0</v>
      </c>
      <c r="G205" s="358">
        <v>-916</v>
      </c>
      <c r="H205" s="360">
        <f>+SUM(D205:G205)</f>
        <v>-916</v>
      </c>
      <c r="I205" s="358">
        <v>0</v>
      </c>
      <c r="J205" s="358">
        <v>0</v>
      </c>
      <c r="K205" s="358">
        <v>0</v>
      </c>
      <c r="L205" s="358">
        <v>450</v>
      </c>
      <c r="M205" s="360">
        <f>+SUM(I205:L205)</f>
        <v>450</v>
      </c>
      <c r="N205" s="358">
        <v>0</v>
      </c>
      <c r="O205" s="358">
        <v>0</v>
      </c>
      <c r="P205" s="358">
        <v>0</v>
      </c>
      <c r="Q205" s="358">
        <v>382</v>
      </c>
      <c r="R205" s="360">
        <f>+SUM(N205:Q205)</f>
        <v>382</v>
      </c>
      <c r="S205" s="358">
        <v>0</v>
      </c>
      <c r="T205" s="358">
        <v>0</v>
      </c>
      <c r="U205" s="358">
        <v>0</v>
      </c>
      <c r="V205" s="224">
        <v>0</v>
      </c>
      <c r="W205" s="225">
        <f>+SUM(S205:V205)</f>
        <v>0</v>
      </c>
      <c r="X205" s="358">
        <v>0</v>
      </c>
      <c r="Y205" s="358">
        <v>0</v>
      </c>
      <c r="Z205" s="358">
        <v>0</v>
      </c>
      <c r="AA205" s="224">
        <f>+V205</f>
        <v>0</v>
      </c>
      <c r="AB205" s="225">
        <f>+SUM(X205:AA205)</f>
        <v>0</v>
      </c>
      <c r="AC205" s="358">
        <v>0</v>
      </c>
      <c r="AD205" s="358">
        <v>0</v>
      </c>
      <c r="AE205" s="358">
        <v>0</v>
      </c>
      <c r="AF205" s="224">
        <v>0</v>
      </c>
      <c r="AG205" s="225">
        <f>+SUM(AC205:AF205)</f>
        <v>0</v>
      </c>
      <c r="AH205" s="358">
        <v>0</v>
      </c>
      <c r="AI205" s="358">
        <v>0</v>
      </c>
      <c r="AJ205" s="358">
        <v>0</v>
      </c>
      <c r="AK205" s="224">
        <v>0</v>
      </c>
      <c r="AL205" s="225">
        <f>+SUM(AH205:AK205)</f>
        <v>0</v>
      </c>
      <c r="AM205" s="358">
        <v>0</v>
      </c>
      <c r="AN205" s="358">
        <v>0</v>
      </c>
      <c r="AO205" s="358">
        <v>0</v>
      </c>
      <c r="AP205" s="224">
        <v>0</v>
      </c>
      <c r="AQ205" s="225">
        <f>+SUM(AM205:AP205)</f>
        <v>0</v>
      </c>
    </row>
    <row r="206" spans="1:43" s="202" customFormat="1" ht="15.6" customHeight="1" outlineLevel="1" x14ac:dyDescent="0.3">
      <c r="A206" s="237"/>
      <c r="B206" s="169" t="s">
        <v>282</v>
      </c>
      <c r="C206" s="299"/>
      <c r="D206" s="368">
        <f t="shared" ref="D206:AQ206" si="44">SUM(D202:D205)</f>
        <v>0</v>
      </c>
      <c r="E206" s="368">
        <f t="shared" si="44"/>
        <v>0</v>
      </c>
      <c r="F206" s="368">
        <f t="shared" si="44"/>
        <v>0</v>
      </c>
      <c r="G206" s="368">
        <f t="shared" si="44"/>
        <v>1498</v>
      </c>
      <c r="H206" s="369">
        <f t="shared" si="44"/>
        <v>1498</v>
      </c>
      <c r="I206" s="368">
        <f t="shared" si="44"/>
        <v>0</v>
      </c>
      <c r="J206" s="368">
        <f t="shared" si="44"/>
        <v>0</v>
      </c>
      <c r="K206" s="368">
        <f t="shared" si="44"/>
        <v>0</v>
      </c>
      <c r="L206" s="368">
        <f t="shared" si="44"/>
        <v>-24</v>
      </c>
      <c r="M206" s="369">
        <f t="shared" si="44"/>
        <v>-24</v>
      </c>
      <c r="N206" s="368">
        <f t="shared" si="44"/>
        <v>0</v>
      </c>
      <c r="O206" s="368">
        <f t="shared" si="44"/>
        <v>0</v>
      </c>
      <c r="P206" s="368">
        <f t="shared" si="44"/>
        <v>0</v>
      </c>
      <c r="Q206" s="368">
        <f t="shared" si="44"/>
        <v>-10</v>
      </c>
      <c r="R206" s="369">
        <f t="shared" si="44"/>
        <v>-10</v>
      </c>
      <c r="S206" s="368">
        <f t="shared" si="44"/>
        <v>0</v>
      </c>
      <c r="T206" s="368">
        <f t="shared" si="44"/>
        <v>0</v>
      </c>
      <c r="U206" s="368">
        <f t="shared" si="44"/>
        <v>0</v>
      </c>
      <c r="V206" s="368">
        <f t="shared" si="44"/>
        <v>-227.23050661764719</v>
      </c>
      <c r="W206" s="369">
        <f t="shared" si="44"/>
        <v>-227.23050661764719</v>
      </c>
      <c r="X206" s="368">
        <f t="shared" si="44"/>
        <v>0</v>
      </c>
      <c r="Y206" s="368">
        <f t="shared" si="44"/>
        <v>0</v>
      </c>
      <c r="Z206" s="368">
        <f t="shared" si="44"/>
        <v>0</v>
      </c>
      <c r="AA206" s="368">
        <f t="shared" si="44"/>
        <v>-99.999999999999943</v>
      </c>
      <c r="AB206" s="369">
        <f t="shared" si="44"/>
        <v>-99.999999999999943</v>
      </c>
      <c r="AC206" s="368">
        <f t="shared" si="44"/>
        <v>0</v>
      </c>
      <c r="AD206" s="368">
        <f t="shared" si="44"/>
        <v>0</v>
      </c>
      <c r="AE206" s="368">
        <f t="shared" si="44"/>
        <v>0</v>
      </c>
      <c r="AF206" s="368">
        <f t="shared" si="44"/>
        <v>-55.00000000000005</v>
      </c>
      <c r="AG206" s="369">
        <f t="shared" si="44"/>
        <v>-55.00000000000005</v>
      </c>
      <c r="AH206" s="368">
        <f t="shared" si="44"/>
        <v>0</v>
      </c>
      <c r="AI206" s="368">
        <f t="shared" si="44"/>
        <v>0</v>
      </c>
      <c r="AJ206" s="368">
        <f t="shared" si="44"/>
        <v>0</v>
      </c>
      <c r="AK206" s="368">
        <f t="shared" si="44"/>
        <v>-55.00000000000005</v>
      </c>
      <c r="AL206" s="369">
        <f t="shared" si="44"/>
        <v>-55.00000000000005</v>
      </c>
      <c r="AM206" s="368">
        <f t="shared" si="44"/>
        <v>0</v>
      </c>
      <c r="AN206" s="368">
        <f t="shared" si="44"/>
        <v>0</v>
      </c>
      <c r="AO206" s="368">
        <f t="shared" si="44"/>
        <v>0</v>
      </c>
      <c r="AP206" s="368">
        <f t="shared" si="44"/>
        <v>-55.00000000000005</v>
      </c>
      <c r="AQ206" s="369">
        <f t="shared" si="44"/>
        <v>-55.00000000000005</v>
      </c>
    </row>
    <row r="207" spans="1:43" s="202" customFormat="1" ht="15.6" customHeight="1" outlineLevel="1" x14ac:dyDescent="0.3">
      <c r="A207" s="237"/>
      <c r="B207" s="350" t="s">
        <v>283</v>
      </c>
      <c r="C207" s="420"/>
      <c r="D207" s="351"/>
      <c r="E207" s="351"/>
      <c r="F207" s="351"/>
      <c r="G207" s="351"/>
      <c r="H207" s="352"/>
      <c r="I207" s="351"/>
      <c r="J207" s="351"/>
      <c r="K207" s="351"/>
      <c r="L207" s="351"/>
      <c r="M207" s="352"/>
      <c r="N207" s="351"/>
      <c r="O207" s="351"/>
      <c r="P207" s="351"/>
      <c r="Q207" s="349"/>
      <c r="R207" s="353"/>
      <c r="S207" s="349"/>
      <c r="T207" s="349"/>
      <c r="U207" s="349"/>
      <c r="V207" s="349"/>
      <c r="W207" s="353"/>
      <c r="X207" s="349"/>
      <c r="Y207" s="349"/>
      <c r="Z207" s="349"/>
      <c r="AA207" s="349"/>
      <c r="AB207" s="353"/>
      <c r="AC207" s="349"/>
      <c r="AD207" s="349"/>
      <c r="AE207" s="349"/>
      <c r="AF207" s="349"/>
      <c r="AG207" s="353"/>
      <c r="AH207" s="349"/>
      <c r="AI207" s="349"/>
      <c r="AJ207" s="349"/>
      <c r="AK207" s="349"/>
      <c r="AL207" s="353"/>
      <c r="AM207" s="349"/>
      <c r="AN207" s="349"/>
      <c r="AO207" s="349"/>
      <c r="AP207" s="349"/>
      <c r="AQ207" s="353"/>
    </row>
    <row r="208" spans="1:43" s="202" customFormat="1" ht="15.6" customHeight="1" outlineLevel="1" x14ac:dyDescent="0.3">
      <c r="A208" s="237"/>
      <c r="B208" s="291" t="s">
        <v>284</v>
      </c>
      <c r="C208" s="293"/>
      <c r="D208" s="211"/>
      <c r="E208" s="211"/>
      <c r="F208" s="211"/>
      <c r="G208" s="213"/>
      <c r="H208" s="212">
        <v>6.5000000000000002E-2</v>
      </c>
      <c r="I208" s="213"/>
      <c r="J208" s="213"/>
      <c r="K208" s="213"/>
      <c r="L208" s="213"/>
      <c r="M208" s="212">
        <v>6.5000000000000002E-2</v>
      </c>
      <c r="N208" s="114"/>
      <c r="O208" s="114"/>
      <c r="P208" s="114"/>
      <c r="Q208" s="195"/>
      <c r="R208" s="266">
        <v>6.5000000000000002E-2</v>
      </c>
      <c r="S208" s="195"/>
      <c r="T208" s="195"/>
      <c r="U208" s="195"/>
      <c r="V208" s="195"/>
      <c r="W208" s="266">
        <v>6.7500000000000004E-2</v>
      </c>
      <c r="X208" s="195"/>
      <c r="Y208" s="195"/>
      <c r="Z208" s="195"/>
      <c r="AA208" s="195"/>
      <c r="AB208" s="226">
        <f>W208</f>
        <v>6.7500000000000004E-2</v>
      </c>
      <c r="AC208" s="195"/>
      <c r="AD208" s="195"/>
      <c r="AE208" s="195"/>
      <c r="AF208" s="195"/>
      <c r="AG208" s="226">
        <f>AB208</f>
        <v>6.7500000000000004E-2</v>
      </c>
      <c r="AH208" s="195"/>
      <c r="AI208" s="195"/>
      <c r="AJ208" s="195"/>
      <c r="AK208" s="195"/>
      <c r="AL208" s="226">
        <f>AG208</f>
        <v>6.7500000000000004E-2</v>
      </c>
      <c r="AM208" s="195"/>
      <c r="AN208" s="195"/>
      <c r="AO208" s="195"/>
      <c r="AP208" s="195"/>
      <c r="AQ208" s="226">
        <f>AL208</f>
        <v>6.7500000000000004E-2</v>
      </c>
    </row>
    <row r="209" spans="1:43" s="202" customFormat="1" ht="15.6" customHeight="1" outlineLevel="1" x14ac:dyDescent="0.3">
      <c r="A209" s="235"/>
      <c r="B209" s="128" t="s">
        <v>293</v>
      </c>
      <c r="C209" s="293"/>
      <c r="D209" s="230"/>
      <c r="E209" s="230"/>
      <c r="F209" s="230"/>
      <c r="G209" s="231"/>
      <c r="H209" s="219">
        <v>2.2999999999999998</v>
      </c>
      <c r="I209" s="231"/>
      <c r="J209" s="231"/>
      <c r="K209" s="231"/>
      <c r="L209" s="231"/>
      <c r="M209" s="219">
        <v>2.5</v>
      </c>
      <c r="N209" s="229"/>
      <c r="O209" s="229"/>
      <c r="P209" s="229"/>
      <c r="Q209" s="232"/>
      <c r="R209" s="267">
        <v>2.2000000000000002</v>
      </c>
      <c r="S209" s="195"/>
      <c r="T209" s="195"/>
      <c r="U209" s="195"/>
      <c r="V209" s="195"/>
      <c r="W209" s="423">
        <v>2.2000000000000002</v>
      </c>
      <c r="X209" s="195"/>
      <c r="Y209" s="195"/>
      <c r="Z209" s="195"/>
      <c r="AA209" s="195"/>
      <c r="AB209" s="233">
        <f>W209</f>
        <v>2.2000000000000002</v>
      </c>
      <c r="AC209" s="195"/>
      <c r="AD209" s="195"/>
      <c r="AE209" s="195"/>
      <c r="AF209" s="195"/>
      <c r="AG209" s="233">
        <f>AB209</f>
        <v>2.2000000000000002</v>
      </c>
      <c r="AH209" s="195"/>
      <c r="AI209" s="195"/>
      <c r="AJ209" s="195"/>
      <c r="AK209" s="195"/>
      <c r="AL209" s="233">
        <f>AG209</f>
        <v>2.2000000000000002</v>
      </c>
      <c r="AM209" s="195"/>
      <c r="AN209" s="195"/>
      <c r="AO209" s="195"/>
      <c r="AP209" s="195"/>
      <c r="AQ209" s="233">
        <f>AL209</f>
        <v>2.2000000000000002</v>
      </c>
    </row>
    <row r="210" spans="1:43" s="202" customFormat="1" ht="15.6" customHeight="1" outlineLevel="1" x14ac:dyDescent="0.3">
      <c r="A210" s="237"/>
      <c r="B210" s="291" t="s">
        <v>285</v>
      </c>
      <c r="C210" s="293"/>
      <c r="D210" s="114"/>
      <c r="E210" s="114"/>
      <c r="F210" s="114"/>
      <c r="G210" s="114"/>
      <c r="H210" s="212">
        <v>1.2E-2</v>
      </c>
      <c r="I210" s="211"/>
      <c r="J210" s="105"/>
      <c r="K210" s="105"/>
      <c r="L210" s="105"/>
      <c r="M210" s="212">
        <v>9.6000000000000002E-2</v>
      </c>
      <c r="N210" s="211"/>
      <c r="O210" s="114"/>
      <c r="P210" s="114"/>
      <c r="Q210" s="195"/>
      <c r="R210" s="266">
        <v>6.3E-2</v>
      </c>
      <c r="S210" s="195"/>
      <c r="T210" s="195"/>
      <c r="U210" s="195"/>
      <c r="V210" s="195"/>
      <c r="W210" s="226">
        <v>7.0000000000000007E-2</v>
      </c>
      <c r="X210" s="195"/>
      <c r="Y210" s="195"/>
      <c r="Z210" s="195"/>
      <c r="AA210" s="195"/>
      <c r="AB210" s="226">
        <v>6.5000000000000002E-2</v>
      </c>
      <c r="AC210" s="195"/>
      <c r="AD210" s="195"/>
      <c r="AE210" s="195"/>
      <c r="AF210" s="195"/>
      <c r="AG210" s="226">
        <v>7.0000000000000007E-2</v>
      </c>
      <c r="AH210" s="195"/>
      <c r="AI210" s="195"/>
      <c r="AJ210" s="195"/>
      <c r="AK210" s="195"/>
      <c r="AL210" s="226">
        <v>7.0000000000000007E-2</v>
      </c>
      <c r="AM210" s="195"/>
      <c r="AN210" s="195"/>
      <c r="AO210" s="195"/>
      <c r="AP210" s="195"/>
      <c r="AQ210" s="226">
        <v>7.0000000000000007E-2</v>
      </c>
    </row>
    <row r="211" spans="1:43" s="58" customFormat="1" ht="15.6" customHeight="1" outlineLevel="1" x14ac:dyDescent="0.3">
      <c r="A211" s="235"/>
      <c r="B211" s="628" t="s">
        <v>294</v>
      </c>
      <c r="C211" s="629"/>
      <c r="D211" s="218"/>
      <c r="E211" s="218"/>
      <c r="F211" s="218"/>
      <c r="G211" s="218"/>
      <c r="H211" s="217">
        <v>4.0399999999999998E-2</v>
      </c>
      <c r="I211" s="218"/>
      <c r="J211" s="218"/>
      <c r="K211" s="218"/>
      <c r="L211" s="218"/>
      <c r="M211" s="217">
        <v>3.9800000000000002E-2</v>
      </c>
      <c r="N211" s="144"/>
      <c r="O211" s="144"/>
      <c r="P211" s="144"/>
      <c r="Q211" s="144"/>
      <c r="R211" s="217">
        <v>4.1099999999999998E-2</v>
      </c>
      <c r="S211" s="144"/>
      <c r="T211" s="144"/>
      <c r="U211" s="144"/>
      <c r="V211" s="144"/>
      <c r="W211" s="227">
        <f>R211+W214</f>
        <v>4.1655582279411761E-2</v>
      </c>
      <c r="X211" s="144"/>
      <c r="Y211" s="144"/>
      <c r="Z211" s="144"/>
      <c r="AA211" s="144"/>
      <c r="AB211" s="227">
        <f>W211+AB214</f>
        <v>4.2155582279411762E-2</v>
      </c>
      <c r="AC211" s="144"/>
      <c r="AD211" s="144"/>
      <c r="AE211" s="144"/>
      <c r="AF211" s="144"/>
      <c r="AG211" s="227">
        <f>AB211+AG214</f>
        <v>4.2155582279411762E-2</v>
      </c>
      <c r="AH211" s="144"/>
      <c r="AI211" s="144"/>
      <c r="AJ211" s="144"/>
      <c r="AK211" s="144"/>
      <c r="AL211" s="227">
        <f>AG211+AL214</f>
        <v>4.2155582279411762E-2</v>
      </c>
      <c r="AM211" s="144"/>
      <c r="AN211" s="144"/>
      <c r="AO211" s="144"/>
      <c r="AP211" s="144"/>
      <c r="AQ211" s="227">
        <f>AL211+AQ214</f>
        <v>4.2155582279411762E-2</v>
      </c>
    </row>
    <row r="212" spans="1:43" s="58" customFormat="1" ht="15.6" customHeight="1" outlineLevel="1" x14ac:dyDescent="0.3">
      <c r="A212" s="235"/>
      <c r="B212" s="128" t="s">
        <v>299</v>
      </c>
      <c r="C212" s="293"/>
      <c r="D212" s="218"/>
      <c r="E212" s="218"/>
      <c r="F212" s="218"/>
      <c r="G212" s="218"/>
      <c r="H212" s="220">
        <v>38</v>
      </c>
      <c r="I212" s="218"/>
      <c r="J212" s="218"/>
      <c r="K212" s="218"/>
      <c r="L212" s="218"/>
      <c r="M212" s="220">
        <v>34</v>
      </c>
      <c r="N212" s="144"/>
      <c r="O212" s="144"/>
      <c r="P212" s="144"/>
      <c r="Q212" s="144"/>
      <c r="R212" s="238">
        <v>31</v>
      </c>
      <c r="S212" s="144"/>
      <c r="T212" s="144"/>
      <c r="U212" s="144"/>
      <c r="V212" s="144"/>
      <c r="W212" s="424">
        <v>31</v>
      </c>
      <c r="X212" s="144"/>
      <c r="Y212" s="144"/>
      <c r="Z212" s="144"/>
      <c r="AA212" s="144"/>
      <c r="AB212" s="228">
        <f>W212</f>
        <v>31</v>
      </c>
      <c r="AC212" s="144"/>
      <c r="AD212" s="144"/>
      <c r="AE212" s="144"/>
      <c r="AF212" s="144"/>
      <c r="AG212" s="228">
        <f>AB212</f>
        <v>31</v>
      </c>
      <c r="AH212" s="144"/>
      <c r="AI212" s="144"/>
      <c r="AJ212" s="144"/>
      <c r="AK212" s="144"/>
      <c r="AL212" s="228">
        <f>AG212</f>
        <v>31</v>
      </c>
      <c r="AM212" s="144"/>
      <c r="AN212" s="144"/>
      <c r="AO212" s="144"/>
      <c r="AP212" s="144"/>
      <c r="AQ212" s="228">
        <f>AL212</f>
        <v>31</v>
      </c>
    </row>
    <row r="213" spans="1:43" s="58" customFormat="1" ht="15.6" customHeight="1" outlineLevel="1" x14ac:dyDescent="0.3">
      <c r="B213" s="291" t="s">
        <v>297</v>
      </c>
      <c r="C213" s="293"/>
      <c r="D213" s="218"/>
      <c r="E213" s="218"/>
      <c r="F213" s="218"/>
      <c r="G213" s="218"/>
      <c r="H213" s="220"/>
      <c r="I213" s="197"/>
      <c r="J213" s="218"/>
      <c r="K213" s="218"/>
      <c r="L213" s="197"/>
      <c r="M213" s="220"/>
      <c r="N213" s="144"/>
      <c r="O213" s="144"/>
      <c r="P213" s="144"/>
      <c r="Q213" s="144"/>
      <c r="R213" s="238"/>
      <c r="S213" s="144"/>
      <c r="T213" s="144"/>
      <c r="U213" s="144"/>
      <c r="V213" s="144"/>
      <c r="W213" s="217">
        <f>+W210-W208</f>
        <v>2.5000000000000022E-3</v>
      </c>
      <c r="X213" s="144"/>
      <c r="Y213" s="144"/>
      <c r="Z213" s="144"/>
      <c r="AA213" s="144"/>
      <c r="AB213" s="217">
        <f>+AB210-AB208</f>
        <v>-2.5000000000000022E-3</v>
      </c>
      <c r="AC213" s="144"/>
      <c r="AD213" s="144"/>
      <c r="AE213" s="144"/>
      <c r="AF213" s="144"/>
      <c r="AG213" s="217">
        <f>+AG210-AG208</f>
        <v>2.5000000000000022E-3</v>
      </c>
      <c r="AH213" s="144"/>
      <c r="AI213" s="144"/>
      <c r="AJ213" s="144"/>
      <c r="AK213" s="144"/>
      <c r="AL213" s="217">
        <f>+AL210-AL208</f>
        <v>2.5000000000000022E-3</v>
      </c>
      <c r="AM213" s="144"/>
      <c r="AN213" s="144"/>
      <c r="AO213" s="144"/>
      <c r="AP213" s="144"/>
      <c r="AQ213" s="217">
        <f>+AQ210-AQ208</f>
        <v>2.5000000000000022E-3</v>
      </c>
    </row>
    <row r="214" spans="1:43" s="58" customFormat="1" ht="15.6" customHeight="1" outlineLevel="1" x14ac:dyDescent="0.3">
      <c r="B214" s="291" t="s">
        <v>298</v>
      </c>
      <c r="C214" s="293"/>
      <c r="D214" s="218"/>
      <c r="E214" s="218"/>
      <c r="F214" s="218"/>
      <c r="G214" s="218"/>
      <c r="H214" s="220"/>
      <c r="I214" s="144"/>
      <c r="J214" s="144"/>
      <c r="K214" s="197"/>
      <c r="L214" s="144"/>
      <c r="M214" s="220"/>
      <c r="N214" s="144"/>
      <c r="O214" s="144"/>
      <c r="P214" s="144"/>
      <c r="Q214" s="144"/>
      <c r="R214" s="238"/>
      <c r="S214" s="144"/>
      <c r="T214" s="144"/>
      <c r="U214" s="144"/>
      <c r="V214" s="503"/>
      <c r="W214" s="227">
        <v>5.5558227941176499E-4</v>
      </c>
      <c r="X214" s="438"/>
      <c r="Y214" s="144"/>
      <c r="Z214" s="144"/>
      <c r="AA214" s="144"/>
      <c r="AB214" s="227">
        <v>5.0000000000000001E-4</v>
      </c>
      <c r="AC214" s="144"/>
      <c r="AD214" s="144"/>
      <c r="AE214" s="144"/>
      <c r="AF214" s="144"/>
      <c r="AG214" s="227">
        <v>0</v>
      </c>
      <c r="AH214" s="144"/>
      <c r="AI214" s="144"/>
      <c r="AJ214" s="144"/>
      <c r="AK214" s="144"/>
      <c r="AL214" s="227">
        <f>+AG214</f>
        <v>0</v>
      </c>
      <c r="AM214" s="144"/>
      <c r="AN214" s="144"/>
      <c r="AO214" s="144"/>
      <c r="AP214" s="144"/>
      <c r="AQ214" s="227">
        <f>+AL214</f>
        <v>0</v>
      </c>
    </row>
    <row r="215" spans="1:43" s="58" customFormat="1" ht="15.6" customHeight="1" outlineLevel="1" x14ac:dyDescent="0.3">
      <c r="A215" s="235"/>
      <c r="B215" s="676" t="s">
        <v>296</v>
      </c>
      <c r="C215" s="677"/>
      <c r="D215" s="221"/>
      <c r="E215" s="221"/>
      <c r="F215" s="221"/>
      <c r="G215" s="221"/>
      <c r="H215" s="181"/>
      <c r="I215" s="221"/>
      <c r="J215" s="221"/>
      <c r="K215" s="221"/>
      <c r="L215" s="221"/>
      <c r="M215" s="181"/>
      <c r="N215" s="221"/>
      <c r="O215" s="221"/>
      <c r="P215" s="221"/>
      <c r="Q215" s="221"/>
      <c r="R215" s="222"/>
      <c r="S215" s="221"/>
      <c r="T215" s="221"/>
      <c r="U215" s="221"/>
      <c r="V215" s="221"/>
      <c r="W215" s="234" t="s">
        <v>295</v>
      </c>
      <c r="X215" s="437"/>
      <c r="Y215" s="221"/>
      <c r="Z215" s="221"/>
      <c r="AA215" s="221"/>
      <c r="AB215" s="234" t="s">
        <v>295</v>
      </c>
      <c r="AC215" s="221"/>
      <c r="AD215" s="221"/>
      <c r="AE215" s="221"/>
      <c r="AF215" s="221"/>
      <c r="AG215" s="234" t="s">
        <v>295</v>
      </c>
      <c r="AH215" s="221"/>
      <c r="AI215" s="221"/>
      <c r="AJ215" s="221"/>
      <c r="AK215" s="221"/>
      <c r="AL215" s="234" t="s">
        <v>295</v>
      </c>
      <c r="AM215" s="221"/>
      <c r="AN215" s="221"/>
      <c r="AO215" s="221"/>
      <c r="AP215" s="221"/>
      <c r="AQ215" s="234" t="s">
        <v>295</v>
      </c>
    </row>
    <row r="216" spans="1:43" ht="15" customHeight="1" x14ac:dyDescent="0.3">
      <c r="B216" s="630" t="s">
        <v>76</v>
      </c>
      <c r="C216" s="638"/>
      <c r="D216" s="95" t="s">
        <v>71</v>
      </c>
      <c r="E216" s="95" t="s">
        <v>74</v>
      </c>
      <c r="F216" s="95" t="s">
        <v>75</v>
      </c>
      <c r="G216" s="95" t="s">
        <v>79</v>
      </c>
      <c r="H216" s="408" t="s">
        <v>80</v>
      </c>
      <c r="I216" s="95" t="s">
        <v>81</v>
      </c>
      <c r="J216" s="95" t="s">
        <v>92</v>
      </c>
      <c r="K216" s="95" t="s">
        <v>110</v>
      </c>
      <c r="L216" s="95" t="s">
        <v>114</v>
      </c>
      <c r="M216" s="408" t="s">
        <v>115</v>
      </c>
      <c r="N216" s="95" t="s">
        <v>116</v>
      </c>
      <c r="O216" s="95" t="s">
        <v>117</v>
      </c>
      <c r="P216" s="95" t="s">
        <v>118</v>
      </c>
      <c r="Q216" s="95" t="s">
        <v>119</v>
      </c>
      <c r="R216" s="408" t="s">
        <v>120</v>
      </c>
      <c r="S216" s="95" t="s">
        <v>518</v>
      </c>
      <c r="T216" s="97" t="s">
        <v>378</v>
      </c>
      <c r="U216" s="97" t="s">
        <v>379</v>
      </c>
      <c r="V216" s="97" t="s">
        <v>380</v>
      </c>
      <c r="W216" s="412" t="s">
        <v>381</v>
      </c>
      <c r="X216" s="97" t="s">
        <v>382</v>
      </c>
      <c r="Y216" s="97" t="s">
        <v>383</v>
      </c>
      <c r="Z216" s="97" t="s">
        <v>384</v>
      </c>
      <c r="AA216" s="97" t="s">
        <v>385</v>
      </c>
      <c r="AB216" s="412" t="s">
        <v>386</v>
      </c>
      <c r="AC216" s="97" t="s">
        <v>387</v>
      </c>
      <c r="AD216" s="97" t="s">
        <v>388</v>
      </c>
      <c r="AE216" s="97" t="s">
        <v>389</v>
      </c>
      <c r="AF216" s="97" t="s">
        <v>390</v>
      </c>
      <c r="AG216" s="412" t="s">
        <v>391</v>
      </c>
      <c r="AH216" s="97" t="s">
        <v>392</v>
      </c>
      <c r="AI216" s="97" t="s">
        <v>393</v>
      </c>
      <c r="AJ216" s="97" t="s">
        <v>394</v>
      </c>
      <c r="AK216" s="97" t="s">
        <v>395</v>
      </c>
      <c r="AL216" s="412" t="s">
        <v>396</v>
      </c>
      <c r="AM216" s="97" t="s">
        <v>397</v>
      </c>
      <c r="AN216" s="97" t="s">
        <v>398</v>
      </c>
      <c r="AO216" s="97" t="s">
        <v>399</v>
      </c>
      <c r="AP216" s="97" t="s">
        <v>400</v>
      </c>
      <c r="AQ216" s="412" t="s">
        <v>401</v>
      </c>
    </row>
    <row r="217" spans="1:43" s="116" customFormat="1" outlineLevel="1" x14ac:dyDescent="0.3">
      <c r="B217" s="628" t="s">
        <v>543</v>
      </c>
      <c r="C217" s="629"/>
      <c r="D217" s="239">
        <f>D13/11684-1</f>
        <v>5.0924340979116689E-2</v>
      </c>
      <c r="E217" s="239">
        <f>E13/11939-1</f>
        <v>4.3052181924784216E-2</v>
      </c>
      <c r="F217" s="239">
        <f>F13/11716-1</f>
        <v>8.0061454421304301E-2</v>
      </c>
      <c r="G217" s="239">
        <f>G13/12114-1</f>
        <v>7.1404985966650125E-2</v>
      </c>
      <c r="H217" s="214">
        <f>H13/47453-1</f>
        <v>6.1365983183360395E-2</v>
      </c>
      <c r="I217" s="239">
        <f t="shared" ref="I217:AQ217" si="45">I13/D13-1</f>
        <v>0.19415261829139174</v>
      </c>
      <c r="J217" s="239">
        <f t="shared" si="45"/>
        <v>0.1989881956155144</v>
      </c>
      <c r="K217" s="239">
        <f t="shared" si="45"/>
        <v>0.18515884305357999</v>
      </c>
      <c r="L217" s="239">
        <f t="shared" si="45"/>
        <v>0.2118036828723322</v>
      </c>
      <c r="M217" s="214">
        <f t="shared" si="45"/>
        <v>0.19763724808895056</v>
      </c>
      <c r="N217" s="239">
        <f t="shared" si="45"/>
        <v>4.3238082247834653E-2</v>
      </c>
      <c r="O217" s="239">
        <f t="shared" si="45"/>
        <v>9.2559105217333126E-2</v>
      </c>
      <c r="P217" s="239">
        <f t="shared" si="45"/>
        <v>0.10195372407814896</v>
      </c>
      <c r="Q217" s="239">
        <f t="shared" si="45"/>
        <v>0.10084726513224807</v>
      </c>
      <c r="R217" s="215">
        <f t="shared" si="45"/>
        <v>8.5066492912680758E-2</v>
      </c>
      <c r="S217" s="239">
        <f t="shared" si="45"/>
        <v>0.11472837811335546</v>
      </c>
      <c r="T217" s="239">
        <f t="shared" si="45"/>
        <v>8.9468522037638776E-2</v>
      </c>
      <c r="U217" s="239">
        <f t="shared" si="45"/>
        <v>8.2463996127314587E-2</v>
      </c>
      <c r="V217" s="239">
        <f t="shared" si="45"/>
        <v>7.959825584231206E-2</v>
      </c>
      <c r="W217" s="428">
        <f t="shared" si="45"/>
        <v>9.099255566708031E-2</v>
      </c>
      <c r="X217" s="239">
        <f t="shared" si="45"/>
        <v>5.7054304480413043E-2</v>
      </c>
      <c r="Y217" s="239">
        <f t="shared" si="45"/>
        <v>4.8783818459810835E-2</v>
      </c>
      <c r="Z217" s="239">
        <f t="shared" si="45"/>
        <v>5.3991696960726365E-2</v>
      </c>
      <c r="AA217" s="239">
        <f t="shared" si="45"/>
        <v>5.527183715123174E-2</v>
      </c>
      <c r="AB217" s="214">
        <f t="shared" si="45"/>
        <v>5.3761957658082782E-2</v>
      </c>
      <c r="AC217" s="239">
        <f t="shared" si="45"/>
        <v>5.5688116528382459E-2</v>
      </c>
      <c r="AD217" s="239">
        <f t="shared" si="45"/>
        <v>5.4337416392882032E-2</v>
      </c>
      <c r="AE217" s="239">
        <f t="shared" si="45"/>
        <v>5.7060447011942239E-2</v>
      </c>
      <c r="AF217" s="239">
        <f t="shared" si="45"/>
        <v>5.77083088183592E-2</v>
      </c>
      <c r="AG217" s="214">
        <f t="shared" si="45"/>
        <v>5.6226994881149572E-2</v>
      </c>
      <c r="AH217" s="239">
        <f t="shared" si="45"/>
        <v>5.3128595416364277E-2</v>
      </c>
      <c r="AI217" s="239">
        <f t="shared" si="45"/>
        <v>5.1641732795512096E-2</v>
      </c>
      <c r="AJ217" s="239">
        <f t="shared" si="45"/>
        <v>5.2192739159926615E-2</v>
      </c>
      <c r="AK217" s="239">
        <f t="shared" si="45"/>
        <v>5.0866605078172089E-2</v>
      </c>
      <c r="AL217" s="214">
        <f t="shared" si="45"/>
        <v>5.193242375924001E-2</v>
      </c>
      <c r="AM217" s="239">
        <f t="shared" si="45"/>
        <v>4.88301890803573E-2</v>
      </c>
      <c r="AN217" s="239">
        <f t="shared" si="45"/>
        <v>4.6945501550974544E-2</v>
      </c>
      <c r="AO217" s="239">
        <f t="shared" si="45"/>
        <v>4.6906457880574459E-2</v>
      </c>
      <c r="AP217" s="239">
        <f t="shared" si="45"/>
        <v>4.5529486111351769E-2</v>
      </c>
      <c r="AQ217" s="214">
        <f t="shared" si="45"/>
        <v>4.7016114810749521E-2</v>
      </c>
    </row>
    <row r="218" spans="1:43" s="116" customFormat="1" outlineLevel="1" x14ac:dyDescent="0.3">
      <c r="B218" s="645" t="s">
        <v>28</v>
      </c>
      <c r="C218" s="646"/>
      <c r="D218" s="199">
        <f t="shared" ref="D218:AQ218" si="46">D25/D13</f>
        <v>9.3167196025734991E-2</v>
      </c>
      <c r="E218" s="199">
        <f t="shared" si="46"/>
        <v>9.1303300409539864E-2</v>
      </c>
      <c r="F218" s="199">
        <f t="shared" si="46"/>
        <v>6.8278805120910391E-2</v>
      </c>
      <c r="G218" s="199">
        <f t="shared" si="46"/>
        <v>-5.2392326065182218E-3</v>
      </c>
      <c r="H218" s="241">
        <f t="shared" si="46"/>
        <v>6.1094013699990075E-2</v>
      </c>
      <c r="I218" s="199">
        <f t="shared" si="46"/>
        <v>7.8565095819409403E-2</v>
      </c>
      <c r="J218" s="199">
        <f t="shared" si="46"/>
        <v>7.0658361797602307E-2</v>
      </c>
      <c r="K218" s="199">
        <f t="shared" si="46"/>
        <v>6.0812162432486494E-2</v>
      </c>
      <c r="L218" s="199">
        <f t="shared" si="46"/>
        <v>9.2001525940996948E-2</v>
      </c>
      <c r="M218" s="241">
        <f t="shared" si="46"/>
        <v>7.5697541404864135E-2</v>
      </c>
      <c r="N218" s="199">
        <f t="shared" si="46"/>
        <v>6.3476498659867944E-2</v>
      </c>
      <c r="O218" s="199">
        <f t="shared" si="46"/>
        <v>6.8350395390179605E-2</v>
      </c>
      <c r="P218" s="199">
        <f t="shared" si="46"/>
        <v>5.1918189519544959E-2</v>
      </c>
      <c r="Q218" s="199">
        <f t="shared" si="46"/>
        <v>7.6707643366776518E-2</v>
      </c>
      <c r="R218" s="241">
        <f t="shared" si="46"/>
        <v>6.5272995807042725E-2</v>
      </c>
      <c r="S218" s="199">
        <f t="shared" si="46"/>
        <v>6.2807881773399021E-2</v>
      </c>
      <c r="T218" s="199">
        <f t="shared" si="46"/>
        <v>7.3702305348279429E-2</v>
      </c>
      <c r="U218" s="199">
        <f t="shared" si="46"/>
        <v>7.0552416003479917E-2</v>
      </c>
      <c r="V218" s="199">
        <f t="shared" si="46"/>
        <v>0.12215300962343212</v>
      </c>
      <c r="W218" s="241">
        <f t="shared" si="46"/>
        <v>8.299479288724472E-2</v>
      </c>
      <c r="X218" s="199">
        <f t="shared" si="46"/>
        <v>8.4555256097337425E-2</v>
      </c>
      <c r="Y218" s="199">
        <f t="shared" si="46"/>
        <v>8.4120222952054777E-2</v>
      </c>
      <c r="Z218" s="199">
        <f t="shared" si="46"/>
        <v>7.7973821923700254E-2</v>
      </c>
      <c r="AA218" s="199">
        <f t="shared" si="46"/>
        <v>0.12812792777081339</v>
      </c>
      <c r="AB218" s="215">
        <f t="shared" si="46"/>
        <v>9.4220964914299252E-2</v>
      </c>
      <c r="AC218" s="199">
        <f t="shared" si="46"/>
        <v>9.5991217673878526E-2</v>
      </c>
      <c r="AD218" s="199">
        <f t="shared" si="46"/>
        <v>9.4272249841315922E-2</v>
      </c>
      <c r="AE218" s="199">
        <f t="shared" si="46"/>
        <v>8.8689209774412123E-2</v>
      </c>
      <c r="AF218" s="199">
        <f t="shared" si="46"/>
        <v>0.13654204172080692</v>
      </c>
      <c r="AG218" s="215">
        <f t="shared" si="46"/>
        <v>0.10438035593036132</v>
      </c>
      <c r="AH218" s="199">
        <f t="shared" si="46"/>
        <v>9.0829579525776596E-2</v>
      </c>
      <c r="AI218" s="199">
        <f t="shared" si="46"/>
        <v>8.798735108280055E-2</v>
      </c>
      <c r="AJ218" s="199">
        <f t="shared" si="46"/>
        <v>8.2820990089968544E-2</v>
      </c>
      <c r="AK218" s="199">
        <f t="shared" si="46"/>
        <v>0.1307110312333942</v>
      </c>
      <c r="AL218" s="215">
        <f t="shared" si="46"/>
        <v>9.8577134878206116E-2</v>
      </c>
      <c r="AM218" s="199">
        <f t="shared" si="46"/>
        <v>8.7022464118345813E-2</v>
      </c>
      <c r="AN218" s="199">
        <f t="shared" si="46"/>
        <v>8.3089058982517089E-2</v>
      </c>
      <c r="AO218" s="199">
        <f t="shared" si="46"/>
        <v>7.8332036455330933E-2</v>
      </c>
      <c r="AP218" s="199">
        <f t="shared" si="46"/>
        <v>0.12611722874232098</v>
      </c>
      <c r="AQ218" s="215">
        <f t="shared" si="46"/>
        <v>9.410866627522442E-2</v>
      </c>
    </row>
    <row r="219" spans="1:43" s="116" customFormat="1" outlineLevel="1" x14ac:dyDescent="0.3">
      <c r="B219" s="645" t="s">
        <v>542</v>
      </c>
      <c r="C219" s="646"/>
      <c r="D219" s="199">
        <f>+D27/D13</f>
        <v>9.3167196025734991E-2</v>
      </c>
      <c r="E219" s="199">
        <f t="shared" ref="E219:AQ219" si="47">+E27/E13</f>
        <v>9.1303300409539864E-2</v>
      </c>
      <c r="F219" s="199">
        <f t="shared" si="47"/>
        <v>6.8278805120910391E-2</v>
      </c>
      <c r="G219" s="199">
        <f t="shared" si="47"/>
        <v>-5.2392326065182218E-3</v>
      </c>
      <c r="H219" s="241">
        <f t="shared" si="47"/>
        <v>6.1094013699990075E-2</v>
      </c>
      <c r="I219" s="199">
        <f t="shared" si="47"/>
        <v>8.3168519402577912E-2</v>
      </c>
      <c r="J219" s="199">
        <f t="shared" si="47"/>
        <v>7.4509409952447925E-2</v>
      </c>
      <c r="K219" s="199">
        <f t="shared" si="47"/>
        <v>6.601320264052811E-2</v>
      </c>
      <c r="L219" s="199">
        <f t="shared" si="47"/>
        <v>0.10376398779247202</v>
      </c>
      <c r="M219" s="241">
        <f t="shared" si="47"/>
        <v>8.2130008786617817E-2</v>
      </c>
      <c r="N219" s="199">
        <f t="shared" si="47"/>
        <v>7.125580179120089E-2</v>
      </c>
      <c r="O219" s="199">
        <f t="shared" si="47"/>
        <v>7.5829093361123034E-2</v>
      </c>
      <c r="P219" s="199">
        <f t="shared" si="47"/>
        <v>5.8332324821493406E-2</v>
      </c>
      <c r="Q219" s="199">
        <f t="shared" si="47"/>
        <v>0.10599009206019853</v>
      </c>
      <c r="R219" s="241">
        <f t="shared" si="47"/>
        <v>7.8336377882052999E-2</v>
      </c>
      <c r="S219" s="199">
        <f t="shared" si="47"/>
        <v>6.9903823598404885E-2</v>
      </c>
      <c r="T219" s="199">
        <f t="shared" si="47"/>
        <v>7.9985420648134076E-2</v>
      </c>
      <c r="U219" s="199">
        <f t="shared" si="47"/>
        <v>7.679468304580063E-2</v>
      </c>
      <c r="V219" s="199">
        <f t="shared" si="47"/>
        <v>0.11597057942752362</v>
      </c>
      <c r="W219" s="428">
        <f t="shared" si="47"/>
        <v>8.6198596137723016E-2</v>
      </c>
      <c r="X219" s="199">
        <f t="shared" si="47"/>
        <v>8.8369426391857936E-2</v>
      </c>
      <c r="Y219" s="199">
        <f t="shared" si="47"/>
        <v>8.7808624550302902E-2</v>
      </c>
      <c r="Z219" s="199">
        <f t="shared" si="47"/>
        <v>8.1620137933139297E-2</v>
      </c>
      <c r="AA219" s="199">
        <f t="shared" si="47"/>
        <v>0.12654368063304286</v>
      </c>
      <c r="AB219" s="215">
        <f t="shared" si="47"/>
        <v>9.654671614840464E-2</v>
      </c>
      <c r="AC219" s="199">
        <f t="shared" si="47"/>
        <v>9.5991217673878526E-2</v>
      </c>
      <c r="AD219" s="199">
        <f t="shared" si="47"/>
        <v>9.4272249841315922E-2</v>
      </c>
      <c r="AE219" s="199">
        <f t="shared" si="47"/>
        <v>8.8689209774412123E-2</v>
      </c>
      <c r="AF219" s="199">
        <f t="shared" si="47"/>
        <v>0.13390589436408326</v>
      </c>
      <c r="AG219" s="215">
        <f t="shared" si="47"/>
        <v>0.10368831682190818</v>
      </c>
      <c r="AH219" s="199">
        <f t="shared" si="47"/>
        <v>9.0829579525776596E-2</v>
      </c>
      <c r="AI219" s="199">
        <f t="shared" si="47"/>
        <v>8.798735108280055E-2</v>
      </c>
      <c r="AJ219" s="199">
        <f t="shared" si="47"/>
        <v>8.2820990089968544E-2</v>
      </c>
      <c r="AK219" s="199">
        <f t="shared" si="47"/>
        <v>0.12820248510205381</v>
      </c>
      <c r="AL219" s="215">
        <f t="shared" si="47"/>
        <v>9.7919260766882468E-2</v>
      </c>
      <c r="AM219" s="199">
        <f t="shared" si="47"/>
        <v>8.7022464118345813E-2</v>
      </c>
      <c r="AN219" s="199">
        <f t="shared" si="47"/>
        <v>8.3089058982517089E-2</v>
      </c>
      <c r="AO219" s="199">
        <f t="shared" si="47"/>
        <v>7.8332036455330933E-2</v>
      </c>
      <c r="AP219" s="199">
        <f t="shared" si="47"/>
        <v>0.12371792182208247</v>
      </c>
      <c r="AQ219" s="215">
        <f t="shared" si="47"/>
        <v>9.3480333910499966E-2</v>
      </c>
    </row>
    <row r="220" spans="1:43" s="116" customFormat="1" outlineLevel="1" x14ac:dyDescent="0.3">
      <c r="B220" s="542" t="s">
        <v>544</v>
      </c>
      <c r="C220" s="543"/>
      <c r="D220" s="199"/>
      <c r="E220" s="199"/>
      <c r="F220" s="199"/>
      <c r="G220" s="199"/>
      <c r="H220" s="241"/>
      <c r="I220" s="199"/>
      <c r="J220" s="199"/>
      <c r="K220" s="199"/>
      <c r="L220" s="199"/>
      <c r="M220" s="241">
        <f>+M45/H45-1</f>
        <v>0.85705339645100276</v>
      </c>
      <c r="N220" s="199"/>
      <c r="O220" s="199"/>
      <c r="P220" s="199"/>
      <c r="Q220" s="199"/>
      <c r="R220" s="241">
        <f>+R45/M45-1</f>
        <v>0.26678573434812791</v>
      </c>
      <c r="S220" s="199"/>
      <c r="T220" s="199"/>
      <c r="U220" s="199"/>
      <c r="V220" s="199"/>
      <c r="W220" s="241">
        <f>+W45/R45-1</f>
        <v>0.13393369555119561</v>
      </c>
      <c r="X220" s="199"/>
      <c r="Y220" s="199"/>
      <c r="Z220" s="199"/>
      <c r="AA220" s="199"/>
      <c r="AB220" s="241">
        <f>+AB45/W45-1</f>
        <v>0.15976578653359663</v>
      </c>
      <c r="AC220" s="199"/>
      <c r="AD220" s="199"/>
      <c r="AE220" s="199"/>
      <c r="AF220" s="199"/>
      <c r="AG220" s="241">
        <f>+AG45/AB45-1</f>
        <v>0.12438325920295012</v>
      </c>
      <c r="AH220" s="199"/>
      <c r="AI220" s="199"/>
      <c r="AJ220" s="199"/>
      <c r="AK220" s="199"/>
      <c r="AL220" s="241">
        <f>+AL45/AG45-1</f>
        <v>-1.9733335084246129E-2</v>
      </c>
      <c r="AM220" s="199"/>
      <c r="AN220" s="199"/>
      <c r="AO220" s="199"/>
      <c r="AP220" s="199"/>
      <c r="AQ220" s="241">
        <f>+AQ45/AL45-1</f>
        <v>-1.9937128016347505E-2</v>
      </c>
    </row>
    <row r="221" spans="1:43" outlineLevel="1" x14ac:dyDescent="0.3">
      <c r="B221" s="242" t="s">
        <v>303</v>
      </c>
      <c r="C221" s="101"/>
      <c r="D221" s="240">
        <f t="shared" ref="D221:AQ221" si="48">+D15/D13</f>
        <v>0.36851535141298153</v>
      </c>
      <c r="E221" s="240">
        <f t="shared" si="48"/>
        <v>0.36697984421424557</v>
      </c>
      <c r="F221" s="240">
        <f t="shared" si="48"/>
        <v>0.37237237237237236</v>
      </c>
      <c r="G221" s="240">
        <f t="shared" si="48"/>
        <v>0.3678249479929116</v>
      </c>
      <c r="H221" s="215">
        <f t="shared" si="48"/>
        <v>0.36892683411098975</v>
      </c>
      <c r="I221" s="240">
        <f t="shared" si="48"/>
        <v>0.36220418741048899</v>
      </c>
      <c r="J221" s="240">
        <f t="shared" si="48"/>
        <v>0.35851583952849775</v>
      </c>
      <c r="K221" s="240">
        <f t="shared" si="48"/>
        <v>0.35973861438954458</v>
      </c>
      <c r="L221" s="240">
        <f t="shared" si="48"/>
        <v>0.34861393692777215</v>
      </c>
      <c r="M221" s="215">
        <f t="shared" si="48"/>
        <v>0.35713456788076725</v>
      </c>
      <c r="N221" s="240">
        <f t="shared" si="48"/>
        <v>0.36072432503105184</v>
      </c>
      <c r="O221" s="240">
        <f t="shared" si="48"/>
        <v>0.35198921105866487</v>
      </c>
      <c r="P221" s="240">
        <f t="shared" si="48"/>
        <v>0.3619145588769212</v>
      </c>
      <c r="Q221" s="240">
        <f t="shared" si="48"/>
        <v>0.34457413985198371</v>
      </c>
      <c r="R221" s="215">
        <f t="shared" si="48"/>
        <v>0.35457533077750103</v>
      </c>
      <c r="S221" s="240">
        <f t="shared" si="48"/>
        <v>0.36711236218625382</v>
      </c>
      <c r="T221" s="240">
        <f t="shared" si="48"/>
        <v>0.34925825203316618</v>
      </c>
      <c r="U221" s="240">
        <f t="shared" si="48"/>
        <v>0.3579015976836008</v>
      </c>
      <c r="V221" s="240">
        <f t="shared" si="48"/>
        <v>0.34145544798768673</v>
      </c>
      <c r="W221" s="215">
        <f t="shared" si="48"/>
        <v>0.35364467290131413</v>
      </c>
      <c r="X221" s="240">
        <f t="shared" si="48"/>
        <v>0.36136374214755695</v>
      </c>
      <c r="Y221" s="240">
        <f t="shared" si="48"/>
        <v>0.3456993714830805</v>
      </c>
      <c r="Z221" s="240">
        <f t="shared" si="48"/>
        <v>0.35410479329032379</v>
      </c>
      <c r="AA221" s="240">
        <f t="shared" si="48"/>
        <v>0.33749067499864871</v>
      </c>
      <c r="AB221" s="215">
        <f t="shared" si="48"/>
        <v>0.34940608097927989</v>
      </c>
      <c r="AC221" s="240">
        <f t="shared" si="48"/>
        <v>0.35559525459495767</v>
      </c>
      <c r="AD221" s="240">
        <f t="shared" si="48"/>
        <v>0.34073714207304234</v>
      </c>
      <c r="AE221" s="240">
        <f t="shared" si="48"/>
        <v>0.34886255717117054</v>
      </c>
      <c r="AF221" s="240">
        <f t="shared" si="48"/>
        <v>0.33214714005180879</v>
      </c>
      <c r="AG221" s="215">
        <f t="shared" si="48"/>
        <v>0.34407722079145342</v>
      </c>
      <c r="AH221" s="240">
        <f t="shared" si="48"/>
        <v>0.35624159227813101</v>
      </c>
      <c r="AI221" s="240">
        <f t="shared" si="48"/>
        <v>0.34184334228689445</v>
      </c>
      <c r="AJ221" s="240">
        <f t="shared" si="48"/>
        <v>0.34982647620041113</v>
      </c>
      <c r="AK221" s="240">
        <f t="shared" si="48"/>
        <v>0.33304756062518481</v>
      </c>
      <c r="AL221" s="215">
        <f t="shared" si="48"/>
        <v>0.34499036991325754</v>
      </c>
      <c r="AM221" s="240">
        <f t="shared" si="48"/>
        <v>0.35694341074451669</v>
      </c>
      <c r="AN221" s="240">
        <f t="shared" si="48"/>
        <v>0.34296170442227808</v>
      </c>
      <c r="AO221" s="240">
        <f t="shared" si="48"/>
        <v>0.35079561343085625</v>
      </c>
      <c r="AP221" s="240">
        <f t="shared" si="48"/>
        <v>0.33398119403910675</v>
      </c>
      <c r="AQ221" s="215">
        <f t="shared" si="48"/>
        <v>0.34593195410298622</v>
      </c>
    </row>
    <row r="222" spans="1:43" outlineLevel="1" x14ac:dyDescent="0.3">
      <c r="B222" s="291" t="s">
        <v>302</v>
      </c>
      <c r="C222" s="290"/>
      <c r="D222" s="240">
        <f t="shared" ref="D222:AQ222" si="49">+D16/D13</f>
        <v>0.19089502402475772</v>
      </c>
      <c r="E222" s="240">
        <f t="shared" si="49"/>
        <v>0.20380631173211275</v>
      </c>
      <c r="F222" s="240">
        <f t="shared" si="49"/>
        <v>0.20728623360202308</v>
      </c>
      <c r="G222" s="240">
        <f t="shared" si="49"/>
        <v>0.18961399183296093</v>
      </c>
      <c r="H222" s="215">
        <f t="shared" si="49"/>
        <v>0.19787550878586319</v>
      </c>
      <c r="I222" s="240">
        <f t="shared" si="49"/>
        <v>0.22096433199208892</v>
      </c>
      <c r="J222" s="240">
        <f t="shared" si="49"/>
        <v>0.22979036903087535</v>
      </c>
      <c r="K222" s="240">
        <f t="shared" si="49"/>
        <v>0.23324664932986597</v>
      </c>
      <c r="L222" s="240">
        <f t="shared" si="49"/>
        <v>0.2200534079348932</v>
      </c>
      <c r="M222" s="215">
        <f t="shared" si="49"/>
        <v>0.22596528457036755</v>
      </c>
      <c r="N222" s="240">
        <f t="shared" si="49"/>
        <v>0.22520755703732759</v>
      </c>
      <c r="O222" s="240">
        <f t="shared" si="49"/>
        <v>0.23539508367559614</v>
      </c>
      <c r="P222" s="240">
        <f t="shared" si="49"/>
        <v>0.23810964540723709</v>
      </c>
      <c r="Q222" s="240">
        <f t="shared" si="49"/>
        <v>0.2241522354618754</v>
      </c>
      <c r="R222" s="215">
        <f t="shared" si="49"/>
        <v>0.23072530142073699</v>
      </c>
      <c r="S222" s="240">
        <f t="shared" si="49"/>
        <v>0.23264133239502699</v>
      </c>
      <c r="T222" s="240">
        <f t="shared" si="49"/>
        <v>0.23356873699187708</v>
      </c>
      <c r="U222" s="240">
        <f t="shared" si="49"/>
        <v>0.23546945107590189</v>
      </c>
      <c r="V222" s="240">
        <f t="shared" si="49"/>
        <v>0.22212346524307949</v>
      </c>
      <c r="W222" s="215">
        <f t="shared" si="49"/>
        <v>0.23082734048811218</v>
      </c>
      <c r="X222" s="240">
        <f t="shared" si="49"/>
        <v>0.22899839698072821</v>
      </c>
      <c r="Y222" s="240">
        <f t="shared" si="49"/>
        <v>0.2311887123815794</v>
      </c>
      <c r="Z222" s="240">
        <f t="shared" si="49"/>
        <v>0.23297146992098711</v>
      </c>
      <c r="AA222" s="240">
        <f t="shared" si="49"/>
        <v>0.2195443026600328</v>
      </c>
      <c r="AB222" s="215">
        <f t="shared" si="49"/>
        <v>0.22805814167379912</v>
      </c>
      <c r="AC222" s="240">
        <f t="shared" si="49"/>
        <v>0.22534287140226791</v>
      </c>
      <c r="AD222" s="240">
        <f t="shared" si="49"/>
        <v>0.22787018905616208</v>
      </c>
      <c r="AE222" s="240">
        <f t="shared" si="49"/>
        <v>0.2295225150423936</v>
      </c>
      <c r="AF222" s="240">
        <f t="shared" si="49"/>
        <v>0.21606822838435635</v>
      </c>
      <c r="AG222" s="215">
        <f t="shared" si="49"/>
        <v>0.22458120013300678</v>
      </c>
      <c r="AH222" s="240">
        <f t="shared" si="49"/>
        <v>0.22575245951555048</v>
      </c>
      <c r="AI222" s="240">
        <f t="shared" si="49"/>
        <v>0.22860996767357625</v>
      </c>
      <c r="AJ222" s="240">
        <f t="shared" si="49"/>
        <v>0.23015669350419959</v>
      </c>
      <c r="AK222" s="240">
        <f t="shared" si="49"/>
        <v>0.2166539696256021</v>
      </c>
      <c r="AL222" s="215">
        <f t="shared" si="49"/>
        <v>0.22517750002938822</v>
      </c>
      <c r="AM222" s="240">
        <f t="shared" si="49"/>
        <v>0.22619720613793898</v>
      </c>
      <c r="AN222" s="240">
        <f t="shared" si="49"/>
        <v>0.22935787965544197</v>
      </c>
      <c r="AO222" s="240">
        <f t="shared" si="49"/>
        <v>0.2307943051079116</v>
      </c>
      <c r="AP222" s="240">
        <f t="shared" si="49"/>
        <v>0.21726131647096436</v>
      </c>
      <c r="AQ222" s="215">
        <f t="shared" si="49"/>
        <v>0.22579136574432135</v>
      </c>
    </row>
    <row r="223" spans="1:43" outlineLevel="1" x14ac:dyDescent="0.3">
      <c r="B223" s="242" t="s">
        <v>301</v>
      </c>
      <c r="C223" s="101"/>
      <c r="D223" s="240">
        <f t="shared" ref="D223:AQ223" si="50">+D19/D13</f>
        <v>5.7985177946086812E-2</v>
      </c>
      <c r="E223" s="240">
        <f t="shared" si="50"/>
        <v>4.9385690195133704E-2</v>
      </c>
      <c r="F223" s="240">
        <f t="shared" si="50"/>
        <v>4.2437174016121383E-2</v>
      </c>
      <c r="G223" s="240">
        <f t="shared" si="50"/>
        <v>4.1220433007165422E-2</v>
      </c>
      <c r="H223" s="215">
        <f t="shared" si="50"/>
        <v>4.7632284324431652E-2</v>
      </c>
      <c r="I223" s="240">
        <f t="shared" si="50"/>
        <v>4.4329264134215375E-2</v>
      </c>
      <c r="J223" s="240">
        <f t="shared" si="50"/>
        <v>4.4069385841537738E-2</v>
      </c>
      <c r="K223" s="240">
        <f t="shared" si="50"/>
        <v>4.9009801960392077E-2</v>
      </c>
      <c r="L223" s="240">
        <f t="shared" si="50"/>
        <v>4.6414038657171926E-2</v>
      </c>
      <c r="M223" s="215">
        <f t="shared" si="50"/>
        <v>4.5972247550523052E-2</v>
      </c>
      <c r="N223" s="240">
        <f t="shared" si="50"/>
        <v>4.5956723540563509E-2</v>
      </c>
      <c r="O223" s="240">
        <f t="shared" si="50"/>
        <v>5.0144056887145225E-2</v>
      </c>
      <c r="P223" s="240">
        <f t="shared" si="50"/>
        <v>5.5306789301706405E-2</v>
      </c>
      <c r="Q223" s="240">
        <f t="shared" si="50"/>
        <v>5.4233174207343728E-2</v>
      </c>
      <c r="R223" s="215">
        <f t="shared" si="50"/>
        <v>5.1550703065596094E-2</v>
      </c>
      <c r="S223" s="240">
        <f t="shared" si="50"/>
        <v>5.7823129251700682E-2</v>
      </c>
      <c r="T223" s="240">
        <f t="shared" si="50"/>
        <v>5.5776599775378508E-2</v>
      </c>
      <c r="U223" s="240">
        <f t="shared" si="50"/>
        <v>5.1511249386243005E-2</v>
      </c>
      <c r="V223" s="240">
        <f t="shared" si="50"/>
        <v>5.4566286674538729E-2</v>
      </c>
      <c r="W223" s="215">
        <f t="shared" si="50"/>
        <v>5.4879917792652368E-2</v>
      </c>
      <c r="X223" s="240">
        <f t="shared" si="50"/>
        <v>5.2048715767618957E-2</v>
      </c>
      <c r="Y223" s="240">
        <f t="shared" si="50"/>
        <v>5.1648830852858298E-2</v>
      </c>
      <c r="Z223" s="240">
        <f t="shared" si="50"/>
        <v>5.1036402958231565E-2</v>
      </c>
      <c r="AA223" s="240">
        <f t="shared" si="50"/>
        <v>4.8955133771760501E-2</v>
      </c>
      <c r="AB223" s="215">
        <f t="shared" si="50"/>
        <v>5.0885005799095294E-2</v>
      </c>
      <c r="AC223" s="240">
        <f t="shared" si="50"/>
        <v>5.1872863187461683E-2</v>
      </c>
      <c r="AD223" s="240">
        <f t="shared" si="50"/>
        <v>5.1450910167560128E-2</v>
      </c>
      <c r="AE223" s="240">
        <f t="shared" si="50"/>
        <v>5.0882757087789436E-2</v>
      </c>
      <c r="AF223" s="240">
        <f t="shared" si="50"/>
        <v>4.8958875393920465E-2</v>
      </c>
      <c r="AG223" s="215">
        <f t="shared" si="50"/>
        <v>5.075525180934308E-2</v>
      </c>
      <c r="AH223" s="240">
        <f t="shared" si="50"/>
        <v>5.373078598979928E-2</v>
      </c>
      <c r="AI223" s="240">
        <f t="shared" si="50"/>
        <v>5.3262906295139842E-2</v>
      </c>
      <c r="AJ223" s="240">
        <f t="shared" si="50"/>
        <v>5.2702269747257974E-2</v>
      </c>
      <c r="AK223" s="240">
        <f t="shared" si="50"/>
        <v>5.0793884238202268E-2</v>
      </c>
      <c r="AL223" s="215">
        <f t="shared" si="50"/>
        <v>5.258691965998722E-2</v>
      </c>
      <c r="AM223" s="240">
        <f t="shared" si="50"/>
        <v>5.4003471523483872E-2</v>
      </c>
      <c r="AN223" s="240">
        <f t="shared" si="50"/>
        <v>5.3534444846290233E-2</v>
      </c>
      <c r="AO223" s="240">
        <f t="shared" si="50"/>
        <v>5.2981443790434686E-2</v>
      </c>
      <c r="AP223" s="240">
        <f t="shared" si="50"/>
        <v>5.118252616123152E-2</v>
      </c>
      <c r="AQ223" s="215">
        <f t="shared" si="50"/>
        <v>5.2892444237485826E-2</v>
      </c>
    </row>
    <row r="224" spans="1:43" s="116" customFormat="1" outlineLevel="1" x14ac:dyDescent="0.3">
      <c r="B224" s="655" t="s">
        <v>2</v>
      </c>
      <c r="C224" s="656"/>
      <c r="D224" s="371">
        <f t="shared" ref="D224:S224" si="51">+D37/D35</f>
        <v>0.36162361623616235</v>
      </c>
      <c r="E224" s="371">
        <f t="shared" si="51"/>
        <v>0.34502369668246446</v>
      </c>
      <c r="F224" s="371">
        <f t="shared" si="51"/>
        <v>0.35166240409207161</v>
      </c>
      <c r="G224" s="371">
        <f t="shared" si="51"/>
        <v>0.61325966850828728</v>
      </c>
      <c r="H224" s="372">
        <f t="shared" si="51"/>
        <v>0.33576642335766421</v>
      </c>
      <c r="I224" s="371">
        <f t="shared" si="51"/>
        <v>0.37390542907180385</v>
      </c>
      <c r="J224" s="371">
        <f t="shared" si="51"/>
        <v>0.35064935064935066</v>
      </c>
      <c r="K224" s="371">
        <f t="shared" si="51"/>
        <v>0.37486095661846497</v>
      </c>
      <c r="L224" s="371">
        <f t="shared" si="51"/>
        <v>0.30136986301369861</v>
      </c>
      <c r="M224" s="372">
        <f t="shared" si="51"/>
        <v>0.34549028172089974</v>
      </c>
      <c r="N224" s="371">
        <f t="shared" si="51"/>
        <v>0.39307535641547864</v>
      </c>
      <c r="O224" s="371">
        <f t="shared" si="51"/>
        <v>0.31957857769973663</v>
      </c>
      <c r="P224" s="371">
        <f t="shared" si="51"/>
        <v>-1.3729977116704806</v>
      </c>
      <c r="Q224" s="371">
        <f t="shared" si="51"/>
        <v>0.17008733828723618</v>
      </c>
      <c r="R224" s="372">
        <f t="shared" si="51"/>
        <v>-5.0308677204853956E-2</v>
      </c>
      <c r="S224" s="371">
        <f t="shared" si="51"/>
        <v>0.24159854677565848</v>
      </c>
      <c r="T224" s="370">
        <v>0.25</v>
      </c>
      <c r="U224" s="370">
        <v>0.25</v>
      </c>
      <c r="V224" s="370">
        <v>0.25</v>
      </c>
      <c r="W224" s="372">
        <f>+W37/W35</f>
        <v>0.24845273634256348</v>
      </c>
      <c r="X224" s="315">
        <v>0.25</v>
      </c>
      <c r="Y224" s="315">
        <f>X224</f>
        <v>0.25</v>
      </c>
      <c r="Z224" s="315">
        <f>Y224</f>
        <v>0.25</v>
      </c>
      <c r="AA224" s="315">
        <f>Z224</f>
        <v>0.25</v>
      </c>
      <c r="AB224" s="372">
        <f>+AB37/AB35</f>
        <v>0.25</v>
      </c>
      <c r="AC224" s="315">
        <f>AA224</f>
        <v>0.25</v>
      </c>
      <c r="AD224" s="315">
        <f>AC224</f>
        <v>0.25</v>
      </c>
      <c r="AE224" s="315">
        <f>AD224</f>
        <v>0.25</v>
      </c>
      <c r="AF224" s="315">
        <f>AE224</f>
        <v>0.25</v>
      </c>
      <c r="AG224" s="372">
        <f>+AG37/AG35</f>
        <v>0.24999999999999978</v>
      </c>
      <c r="AH224" s="315">
        <f>AF224</f>
        <v>0.25</v>
      </c>
      <c r="AI224" s="315">
        <f>AH224</f>
        <v>0.25</v>
      </c>
      <c r="AJ224" s="315">
        <f>AI224</f>
        <v>0.25</v>
      </c>
      <c r="AK224" s="315">
        <f>AJ224</f>
        <v>0.25</v>
      </c>
      <c r="AL224" s="372">
        <f>+AL37/AL35</f>
        <v>0.25000000000000033</v>
      </c>
      <c r="AM224" s="315">
        <f>AK224</f>
        <v>0.25</v>
      </c>
      <c r="AN224" s="315">
        <f>AM224</f>
        <v>0.25</v>
      </c>
      <c r="AO224" s="315">
        <f>AN224</f>
        <v>0.25</v>
      </c>
      <c r="AP224" s="315">
        <f>AO224</f>
        <v>0.25</v>
      </c>
      <c r="AQ224" s="372">
        <f>+AQ37/AQ35</f>
        <v>0.24999999999999967</v>
      </c>
    </row>
    <row r="225" spans="2:43" outlineLevel="1" x14ac:dyDescent="0.3">
      <c r="B225" s="649" t="s">
        <v>408</v>
      </c>
      <c r="C225" s="650"/>
      <c r="D225" s="373"/>
      <c r="E225" s="374"/>
      <c r="F225" s="374"/>
      <c r="G225" s="374"/>
      <c r="H225" s="375"/>
      <c r="I225" s="374"/>
      <c r="J225" s="374"/>
      <c r="K225" s="374"/>
      <c r="L225" s="374"/>
      <c r="M225" s="375">
        <f>+M30/((M247+H247)/2)</f>
        <v>8.7964814074370252E-3</v>
      </c>
      <c r="N225" s="374"/>
      <c r="O225" s="374"/>
      <c r="P225" s="374"/>
      <c r="Q225" s="374"/>
      <c r="R225" s="375">
        <f>+R30/((R247+M247)/2)</f>
        <v>1.3270435549487699E-2</v>
      </c>
      <c r="S225" s="251">
        <f t="shared" ref="S225:V226" si="52">+R225</f>
        <v>1.3270435549487699E-2</v>
      </c>
      <c r="T225" s="251">
        <v>1.2999999999999999E-2</v>
      </c>
      <c r="U225" s="251">
        <f t="shared" si="52"/>
        <v>1.2999999999999999E-2</v>
      </c>
      <c r="V225" s="251">
        <f t="shared" si="52"/>
        <v>1.2999999999999999E-2</v>
      </c>
      <c r="W225" s="375">
        <f>+W30/((W247+R247)/2)</f>
        <v>2.6743394559533732E-2</v>
      </c>
      <c r="X225" s="251">
        <f t="shared" ref="X225:AA226" si="53">+W225</f>
        <v>2.6743394559533732E-2</v>
      </c>
      <c r="Y225" s="251">
        <f t="shared" si="53"/>
        <v>2.6743394559533732E-2</v>
      </c>
      <c r="Z225" s="251">
        <f t="shared" si="53"/>
        <v>2.6743394559533732E-2</v>
      </c>
      <c r="AA225" s="251">
        <f t="shared" si="53"/>
        <v>2.6743394559533732E-2</v>
      </c>
      <c r="AB225" s="375">
        <f>+AB30/((AB247+W247)/2)</f>
        <v>2.2169584081938077E-2</v>
      </c>
      <c r="AC225" s="251">
        <f t="shared" ref="AC225:AF226" si="54">+AB225</f>
        <v>2.2169584081938077E-2</v>
      </c>
      <c r="AD225" s="251">
        <f t="shared" si="54"/>
        <v>2.2169584081938077E-2</v>
      </c>
      <c r="AE225" s="251">
        <f t="shared" si="54"/>
        <v>2.2169584081938077E-2</v>
      </c>
      <c r="AF225" s="251">
        <f t="shared" si="54"/>
        <v>2.2169584081938077E-2</v>
      </c>
      <c r="AG225" s="375">
        <f>+AG30/((AG247+AB247)/2)</f>
        <v>1.9596664526845581E-2</v>
      </c>
      <c r="AH225" s="251">
        <f t="shared" ref="AH225:AK226" si="55">+AG225</f>
        <v>1.9596664526845581E-2</v>
      </c>
      <c r="AI225" s="251">
        <f t="shared" si="55"/>
        <v>1.9596664526845581E-2</v>
      </c>
      <c r="AJ225" s="251">
        <f t="shared" si="55"/>
        <v>1.9596664526845581E-2</v>
      </c>
      <c r="AK225" s="251">
        <f t="shared" si="55"/>
        <v>1.9596664526845581E-2</v>
      </c>
      <c r="AL225" s="375">
        <f>+AL30/((AL247+AG247)/2)</f>
        <v>1.8001033096915715E-2</v>
      </c>
      <c r="AM225" s="251">
        <f t="shared" ref="AM225:AP226" si="56">+AL225</f>
        <v>1.8001033096915715E-2</v>
      </c>
      <c r="AN225" s="251">
        <f t="shared" si="56"/>
        <v>1.8001033096915715E-2</v>
      </c>
      <c r="AO225" s="251">
        <f t="shared" si="56"/>
        <v>1.8001033096915715E-2</v>
      </c>
      <c r="AP225" s="251">
        <f t="shared" si="56"/>
        <v>1.8001033096915715E-2</v>
      </c>
      <c r="AQ225" s="375">
        <f>+AQ30/((AQ247+AL247)/2)</f>
        <v>1.6817031004896042E-2</v>
      </c>
    </row>
    <row r="226" spans="2:43" outlineLevel="1" x14ac:dyDescent="0.3">
      <c r="B226" s="183" t="s">
        <v>407</v>
      </c>
      <c r="C226" s="133"/>
      <c r="D226" s="373"/>
      <c r="E226" s="374"/>
      <c r="F226" s="374"/>
      <c r="G226" s="374"/>
      <c r="H226" s="376"/>
      <c r="I226" s="374"/>
      <c r="J226" s="374"/>
      <c r="K226" s="374"/>
      <c r="L226" s="374"/>
      <c r="M226" s="375">
        <f>+M29/((M261+M266+H261+H266)/2)</f>
        <v>-3.5688146934792456E-2</v>
      </c>
      <c r="N226" s="374"/>
      <c r="O226" s="374"/>
      <c r="P226" s="374"/>
      <c r="Q226" s="374"/>
      <c r="R226" s="375">
        <f>+R29/((R261+R266+M261+M266)/2)</f>
        <v>-3.5410585099631936E-2</v>
      </c>
      <c r="S226" s="251">
        <f t="shared" si="52"/>
        <v>-3.5410585099631936E-2</v>
      </c>
      <c r="T226" s="251">
        <v>-3.5000000000000003E-2</v>
      </c>
      <c r="U226" s="251">
        <f t="shared" si="52"/>
        <v>-3.5000000000000003E-2</v>
      </c>
      <c r="V226" s="251">
        <f t="shared" si="52"/>
        <v>-3.5000000000000003E-2</v>
      </c>
      <c r="W226" s="375">
        <f>+W29/((W261+W266+R261+R266)/2)</f>
        <v>-3.7223187354209847E-2</v>
      </c>
      <c r="X226" s="251">
        <f t="shared" si="53"/>
        <v>-3.7223187354209847E-2</v>
      </c>
      <c r="Y226" s="251">
        <f t="shared" si="53"/>
        <v>-3.7223187354209847E-2</v>
      </c>
      <c r="Z226" s="251">
        <f t="shared" si="53"/>
        <v>-3.7223187354209847E-2</v>
      </c>
      <c r="AA226" s="251">
        <f t="shared" si="53"/>
        <v>-3.7223187354209847E-2</v>
      </c>
      <c r="AB226" s="375">
        <f>+AB29/((AB261+AB266+W261+W266)/2)</f>
        <v>-3.6662289209040202E-2</v>
      </c>
      <c r="AC226" s="251">
        <f t="shared" si="54"/>
        <v>-3.6662289209040202E-2</v>
      </c>
      <c r="AD226" s="251">
        <f t="shared" si="54"/>
        <v>-3.6662289209040202E-2</v>
      </c>
      <c r="AE226" s="251">
        <f t="shared" si="54"/>
        <v>-3.6662289209040202E-2</v>
      </c>
      <c r="AF226" s="251">
        <f t="shared" si="54"/>
        <v>-3.6662289209040202E-2</v>
      </c>
      <c r="AG226" s="375">
        <f>+AG29/((AG261+AG266+AB261+AB266)/2)</f>
        <v>-3.6197858397952559E-2</v>
      </c>
      <c r="AH226" s="251">
        <f t="shared" si="55"/>
        <v>-3.6197858397952559E-2</v>
      </c>
      <c r="AI226" s="251">
        <f t="shared" si="55"/>
        <v>-3.6197858397952559E-2</v>
      </c>
      <c r="AJ226" s="251">
        <f t="shared" si="55"/>
        <v>-3.6197858397952559E-2</v>
      </c>
      <c r="AK226" s="251">
        <f t="shared" si="55"/>
        <v>-3.6197858397952559E-2</v>
      </c>
      <c r="AL226" s="375">
        <f>+AL29/((AL261+AL266+AG261+AG266)/2)</f>
        <v>-3.5960833411101394E-2</v>
      </c>
      <c r="AM226" s="251">
        <f t="shared" si="56"/>
        <v>-3.5960833411101394E-2</v>
      </c>
      <c r="AN226" s="251">
        <f t="shared" si="56"/>
        <v>-3.5960833411101394E-2</v>
      </c>
      <c r="AO226" s="251">
        <f t="shared" si="56"/>
        <v>-3.5960833411101394E-2</v>
      </c>
      <c r="AP226" s="251">
        <f t="shared" si="56"/>
        <v>-3.5960833411101394E-2</v>
      </c>
      <c r="AQ226" s="375">
        <f>+AQ29/((AQ261+AQ266+AL261+AL266)/2)</f>
        <v>-3.5816628757924095E-2</v>
      </c>
    </row>
    <row r="227" spans="2:43" ht="15.6" x14ac:dyDescent="0.3">
      <c r="B227" s="630" t="s">
        <v>89</v>
      </c>
      <c r="C227" s="638"/>
      <c r="D227" s="95" t="s">
        <v>71</v>
      </c>
      <c r="E227" s="95" t="s">
        <v>74</v>
      </c>
      <c r="F227" s="95" t="s">
        <v>75</v>
      </c>
      <c r="G227" s="95" t="s">
        <v>79</v>
      </c>
      <c r="H227" s="408" t="s">
        <v>80</v>
      </c>
      <c r="I227" s="95" t="s">
        <v>81</v>
      </c>
      <c r="J227" s="95" t="s">
        <v>92</v>
      </c>
      <c r="K227" s="95" t="s">
        <v>110</v>
      </c>
      <c r="L227" s="95" t="s">
        <v>114</v>
      </c>
      <c r="M227" s="408" t="s">
        <v>115</v>
      </c>
      <c r="N227" s="95" t="s">
        <v>116</v>
      </c>
      <c r="O227" s="95" t="s">
        <v>117</v>
      </c>
      <c r="P227" s="95" t="s">
        <v>118</v>
      </c>
      <c r="Q227" s="95" t="s">
        <v>119</v>
      </c>
      <c r="R227" s="408" t="s">
        <v>120</v>
      </c>
      <c r="S227" s="95" t="s">
        <v>518</v>
      </c>
      <c r="T227" s="97" t="s">
        <v>378</v>
      </c>
      <c r="U227" s="97" t="s">
        <v>379</v>
      </c>
      <c r="V227" s="97" t="s">
        <v>380</v>
      </c>
      <c r="W227" s="412" t="s">
        <v>381</v>
      </c>
      <c r="X227" s="97" t="s">
        <v>382</v>
      </c>
      <c r="Y227" s="97" t="s">
        <v>383</v>
      </c>
      <c r="Z227" s="97" t="s">
        <v>384</v>
      </c>
      <c r="AA227" s="97" t="s">
        <v>385</v>
      </c>
      <c r="AB227" s="412" t="s">
        <v>386</v>
      </c>
      <c r="AC227" s="97" t="s">
        <v>387</v>
      </c>
      <c r="AD227" s="97" t="s">
        <v>388</v>
      </c>
      <c r="AE227" s="97" t="s">
        <v>389</v>
      </c>
      <c r="AF227" s="97" t="s">
        <v>390</v>
      </c>
      <c r="AG227" s="412" t="s">
        <v>391</v>
      </c>
      <c r="AH227" s="97" t="s">
        <v>392</v>
      </c>
      <c r="AI227" s="97" t="s">
        <v>393</v>
      </c>
      <c r="AJ227" s="97" t="s">
        <v>394</v>
      </c>
      <c r="AK227" s="97" t="s">
        <v>395</v>
      </c>
      <c r="AL227" s="412" t="s">
        <v>396</v>
      </c>
      <c r="AM227" s="97" t="s">
        <v>397</v>
      </c>
      <c r="AN227" s="97" t="s">
        <v>398</v>
      </c>
      <c r="AO227" s="97" t="s">
        <v>399</v>
      </c>
      <c r="AP227" s="97" t="s">
        <v>400</v>
      </c>
      <c r="AQ227" s="412" t="s">
        <v>401</v>
      </c>
    </row>
    <row r="228" spans="2:43" outlineLevel="1" x14ac:dyDescent="0.3">
      <c r="B228" s="645" t="s">
        <v>68</v>
      </c>
      <c r="C228" s="646"/>
      <c r="D228" s="199">
        <f>(D41+D232)/283-1</f>
        <v>3.697920946665878E-4</v>
      </c>
      <c r="E228" s="199">
        <f>(E41+E232)/D41-1</f>
        <v>1.3352786723233923E-2</v>
      </c>
      <c r="F228" s="199">
        <f>(F41+F232)/E41-1</f>
        <v>-1.6534967987091864E-3</v>
      </c>
      <c r="G228" s="199">
        <f>(G41+G232)/F41-1</f>
        <v>2.9134173621392367E-3</v>
      </c>
      <c r="H228" s="214"/>
      <c r="I228" s="199">
        <f>(I41+I232)/G41-1</f>
        <v>-8.230703284084262E-3</v>
      </c>
      <c r="J228" s="199">
        <f>(J41+J232)/I41-1</f>
        <v>4.7106921884758624E-3</v>
      </c>
      <c r="K228" s="199">
        <f>(K41+K232)/J41-1</f>
        <v>4.8161398478585582E-4</v>
      </c>
      <c r="L228" s="199">
        <f>(L41+L232)/K41-1</f>
        <v>8.4050081076847416E-3</v>
      </c>
      <c r="M228" s="214"/>
      <c r="N228" s="199">
        <f>(N41+N232)/L41-1</f>
        <v>3.7397157816005944E-3</v>
      </c>
      <c r="O228" s="199">
        <f>(O41+O232)/N41-1</f>
        <v>2.9850746268658135E-3</v>
      </c>
      <c r="P228" s="199">
        <f>(P41+P232)/O41-1</f>
        <v>4.4776119402984982E-3</v>
      </c>
      <c r="Q228" s="199">
        <f>(Q41+Q232)/P41-1</f>
        <v>1.1194029850745135E-3</v>
      </c>
      <c r="R228" s="66"/>
      <c r="S228" s="199">
        <f>(S41+S232)/Q41-1</f>
        <v>4.5570570570570013E-3</v>
      </c>
      <c r="T228" s="251">
        <f>AVERAGE(S228,Q228,P228,O228)+0.21%</f>
        <v>5.384786652323956E-3</v>
      </c>
      <c r="U228" s="251">
        <f>AVERAGE(T228,S228,Q228,P228)+0.1%</f>
        <v>4.8847146586884927E-3</v>
      </c>
      <c r="V228" s="251">
        <f>AVERAGE(U228,T228,S228,Q228)+0.1%</f>
        <v>4.9864903382859909E-3</v>
      </c>
      <c r="W228" s="66"/>
      <c r="X228" s="251">
        <f>AVERAGE(V228,U228,T228,S228)</f>
        <v>4.9532621765888598E-3</v>
      </c>
      <c r="Y228" s="251">
        <f>AVERAGE(X228,V228,U228,T228)</f>
        <v>5.0523134564718249E-3</v>
      </c>
      <c r="Z228" s="251">
        <f>AVERAGE(Y228,X228,V228,U228)</f>
        <v>4.9691951575087916E-3</v>
      </c>
      <c r="AA228" s="251">
        <f>AVERAGE(Z228,Y228,X228,V228)</f>
        <v>4.9903152822138672E-3</v>
      </c>
      <c r="AB228" s="66"/>
      <c r="AC228" s="251">
        <f>AVERAGE(AA228,Z228,Y228,X228)</f>
        <v>4.9912715181958354E-3</v>
      </c>
      <c r="AD228" s="251">
        <f>AVERAGE(AC228,AA228,Z228,Y228)</f>
        <v>5.0007738535975798E-3</v>
      </c>
      <c r="AE228" s="251">
        <f>AVERAGE(AD228,AC228,AA228,Z228)</f>
        <v>4.9878889528790181E-3</v>
      </c>
      <c r="AF228" s="251">
        <f>AVERAGE(AE228,AD228,AC228,AA228)</f>
        <v>4.9925624017215751E-3</v>
      </c>
      <c r="AG228" s="66"/>
      <c r="AH228" s="251">
        <f>AVERAGE(AF228,AE228,AD228,AC228)</f>
        <v>4.9931241815985017E-3</v>
      </c>
      <c r="AI228" s="251">
        <f>AVERAGE(AH228,AF228,AE228,AD228)</f>
        <v>4.9935873474491691E-3</v>
      </c>
      <c r="AJ228" s="251">
        <f>AVERAGE(AI228,AH228,AF228,AE228)</f>
        <v>4.9917907209120656E-3</v>
      </c>
      <c r="AK228" s="251">
        <f>AVERAGE(AJ228,AI228,AH228,AF228)</f>
        <v>4.9927661629203274E-3</v>
      </c>
      <c r="AL228" s="66"/>
      <c r="AM228" s="251">
        <f>AVERAGE(AK228,AJ228,AI228,AH228)</f>
        <v>4.992817103220016E-3</v>
      </c>
      <c r="AN228" s="251">
        <f>AVERAGE(AM228,AK228,AJ228,AI228)</f>
        <v>4.9927403336253945E-3</v>
      </c>
      <c r="AO228" s="251">
        <f>AVERAGE(AN228,AM228,AK228,AJ228)</f>
        <v>4.9925285801694502E-3</v>
      </c>
      <c r="AP228" s="251">
        <f>AVERAGE(AO228,AN228,AM228,AK228)</f>
        <v>4.9927130449837973E-3</v>
      </c>
      <c r="AQ228" s="66"/>
    </row>
    <row r="229" spans="2:43" outlineLevel="1" x14ac:dyDescent="0.3">
      <c r="B229" s="645" t="s">
        <v>69</v>
      </c>
      <c r="C229" s="646"/>
      <c r="D229" s="199">
        <f>(D42+D232)/283-1</f>
        <v>1.4504067713041247E-2</v>
      </c>
      <c r="E229" s="199">
        <f>(E42+E232)/D42-1</f>
        <v>1.0499647953522429E-2</v>
      </c>
      <c r="F229" s="199">
        <f>(F42+F232)/E42-1</f>
        <v>-2.4734982332155209E-3</v>
      </c>
      <c r="G229" s="199">
        <f>(G42+G232)/F42-1</f>
        <v>-8.0274562818112294E-3</v>
      </c>
      <c r="H229" s="214"/>
      <c r="I229" s="199">
        <f>(I42+I232)/G42-1</f>
        <v>6.6391851917522171E-3</v>
      </c>
      <c r="J229" s="199">
        <f>(J42+J232)/I42-1</f>
        <v>4.6407487261377334E-3</v>
      </c>
      <c r="K229" s="199">
        <f>(K42+K232)/J42-1</f>
        <v>4.1781826664926136E-3</v>
      </c>
      <c r="L229" s="199">
        <f>(L42+L232)/K42-1</f>
        <v>5.6669083271001508E-3</v>
      </c>
      <c r="M229" s="214"/>
      <c r="N229" s="199">
        <f>(N42+N232)/L42-1</f>
        <v>2.5763709974235827E-3</v>
      </c>
      <c r="O229" s="199">
        <f>(O42+O232)/N42-1</f>
        <v>6.225305502846501E-3</v>
      </c>
      <c r="P229" s="199">
        <f>(P42+P232)/O42-1</f>
        <v>4.7883806021065123E-3</v>
      </c>
      <c r="Q229" s="199">
        <f>(Q42+Q232)/P42-1</f>
        <v>1.098901098900873E-3</v>
      </c>
      <c r="R229" s="66"/>
      <c r="S229" s="199">
        <f>(S42+S232)/Q42-1</f>
        <v>1.5254237288135908E-3</v>
      </c>
      <c r="T229" s="251">
        <f>AVERAGE(S229,Q229,P229,O229)+0.21%</f>
        <v>5.5095027331668687E-3</v>
      </c>
      <c r="U229" s="251">
        <f>AVERAGE(T229,S229,Q229,P229)+0.1%</f>
        <v>4.2305520407469616E-3</v>
      </c>
      <c r="V229" s="251">
        <f>AVERAGE(U229,T229,S229,Q229)+0.1%</f>
        <v>4.0910949004070735E-3</v>
      </c>
      <c r="W229" s="66"/>
      <c r="X229" s="251">
        <f>AVERAGE(V229,U229,T229,S229)</f>
        <v>3.8391433507836237E-3</v>
      </c>
      <c r="Y229" s="251">
        <f>AVERAGE(X229,V229,U229,T229)</f>
        <v>4.4175732562761316E-3</v>
      </c>
      <c r="Z229" s="251">
        <f>AVERAGE(Y229,X229,V229,U229)</f>
        <v>4.1445908870534481E-3</v>
      </c>
      <c r="AA229" s="251">
        <f>AVERAGE(Z229,Y229,X229,V229)</f>
        <v>4.1231005986300693E-3</v>
      </c>
      <c r="AB229" s="66"/>
      <c r="AC229" s="251">
        <f>AVERAGE(AA229,Z229,Y229,X229)</f>
        <v>4.1311020231858181E-3</v>
      </c>
      <c r="AD229" s="251">
        <f>AVERAGE(AC229,AA229,Z229,Y229)</f>
        <v>4.2040916912863668E-3</v>
      </c>
      <c r="AE229" s="251">
        <f>AVERAGE(AD229,AC229,AA229,Z229)</f>
        <v>4.1507213000389256E-3</v>
      </c>
      <c r="AF229" s="251">
        <f>AVERAGE(AE229,AD229,AC229,AA229)</f>
        <v>4.1522539032852954E-3</v>
      </c>
      <c r="AG229" s="66"/>
      <c r="AH229" s="251">
        <f>AVERAGE(AF229,AE229,AD229,AC229)</f>
        <v>4.1595422294491017E-3</v>
      </c>
      <c r="AI229" s="251">
        <f>AVERAGE(AH229,AF229,AE229,AD229)</f>
        <v>4.1666522810149221E-3</v>
      </c>
      <c r="AJ229" s="251">
        <f>AVERAGE(AI229,AH229,AF229,AE229)</f>
        <v>4.1572924284470607E-3</v>
      </c>
      <c r="AK229" s="251">
        <f>AVERAGE(AJ229,AI229,AH229,AF229)</f>
        <v>4.1589352105490945E-3</v>
      </c>
      <c r="AL229" s="66"/>
      <c r="AM229" s="251">
        <f>AVERAGE(AK229,AJ229,AI229,AH229)</f>
        <v>4.1606055373650443E-3</v>
      </c>
      <c r="AN229" s="251">
        <f>AVERAGE(AM229,AK229,AJ229,AI229)</f>
        <v>4.1608713643440307E-3</v>
      </c>
      <c r="AO229" s="251">
        <f>AVERAGE(AN229,AM229,AK229,AJ229)</f>
        <v>4.1594261351763076E-3</v>
      </c>
      <c r="AP229" s="251">
        <f>AVERAGE(AO229,AN229,AM229,AK229)</f>
        <v>4.1599595618586199E-3</v>
      </c>
      <c r="AQ229" s="66"/>
    </row>
    <row r="230" spans="2:43" outlineLevel="1" x14ac:dyDescent="0.3">
      <c r="B230" s="645" t="s">
        <v>29</v>
      </c>
      <c r="C230" s="646"/>
      <c r="D230" s="263">
        <v>172</v>
      </c>
      <c r="E230" s="263">
        <v>151.76</v>
      </c>
      <c r="F230" s="263">
        <v>140.41999999999999</v>
      </c>
      <c r="G230" s="263">
        <f>+G231/G232</f>
        <v>156.12706154342965</v>
      </c>
      <c r="H230" s="276">
        <v>149.35</v>
      </c>
      <c r="I230" s="263">
        <v>160.18</v>
      </c>
      <c r="J230" s="263">
        <v>172.25</v>
      </c>
      <c r="K230" s="263">
        <v>187.34</v>
      </c>
      <c r="L230" s="263">
        <f>+L231/L232</f>
        <v>189.52244297504288</v>
      </c>
      <c r="M230" s="276">
        <v>172.13</v>
      </c>
      <c r="N230" s="263">
        <v>207.92</v>
      </c>
      <c r="O230" s="263">
        <v>220.67</v>
      </c>
      <c r="P230" s="263">
        <v>248.73</v>
      </c>
      <c r="Q230" s="263">
        <f>+Q231/Q232</f>
        <v>243.60789473684207</v>
      </c>
      <c r="R230" s="276">
        <v>237.45</v>
      </c>
      <c r="S230" s="263">
        <v>238.95</v>
      </c>
      <c r="T230" s="265">
        <f>+S230</f>
        <v>238.95</v>
      </c>
      <c r="U230" s="265">
        <f>+T230</f>
        <v>238.95</v>
      </c>
      <c r="V230" s="265">
        <f>+U230</f>
        <v>238.95</v>
      </c>
      <c r="W230" s="264"/>
      <c r="X230" s="265">
        <f>+V230</f>
        <v>238.95</v>
      </c>
      <c r="Y230" s="265">
        <f>+X230</f>
        <v>238.95</v>
      </c>
      <c r="Z230" s="265">
        <f>+Y230</f>
        <v>238.95</v>
      </c>
      <c r="AA230" s="265">
        <f>+Z230</f>
        <v>238.95</v>
      </c>
      <c r="AB230" s="264"/>
      <c r="AC230" s="265">
        <f>+AA230</f>
        <v>238.95</v>
      </c>
      <c r="AD230" s="265">
        <f>+AC230</f>
        <v>238.95</v>
      </c>
      <c r="AE230" s="265">
        <f>+AD230</f>
        <v>238.95</v>
      </c>
      <c r="AF230" s="265">
        <f>+AE230</f>
        <v>238.95</v>
      </c>
      <c r="AG230" s="264"/>
      <c r="AH230" s="265">
        <f>+AF230</f>
        <v>238.95</v>
      </c>
      <c r="AI230" s="265">
        <f>+AH230</f>
        <v>238.95</v>
      </c>
      <c r="AJ230" s="265">
        <f>+AI230</f>
        <v>238.95</v>
      </c>
      <c r="AK230" s="265">
        <f>+AJ230</f>
        <v>238.95</v>
      </c>
      <c r="AL230" s="264"/>
      <c r="AM230" s="265">
        <f>+AK230</f>
        <v>238.95</v>
      </c>
      <c r="AN230" s="265">
        <f>+AM230</f>
        <v>238.95</v>
      </c>
      <c r="AO230" s="265">
        <f>+AN230</f>
        <v>238.95</v>
      </c>
      <c r="AP230" s="265">
        <f>+AO230</f>
        <v>238.95</v>
      </c>
      <c r="AQ230" s="47"/>
    </row>
    <row r="231" spans="2:43" outlineLevel="1" x14ac:dyDescent="0.3">
      <c r="B231" s="645" t="s">
        <v>30</v>
      </c>
      <c r="C231" s="646"/>
      <c r="D231" s="105">
        <v>190</v>
      </c>
      <c r="E231" s="105">
        <v>911</v>
      </c>
      <c r="F231" s="105">
        <v>1025.0659999999998</v>
      </c>
      <c r="G231" s="105">
        <f>+H231-F231-E231-D231</f>
        <v>592.10399999999981</v>
      </c>
      <c r="H231" s="117">
        <f>+H230*H232</f>
        <v>2718.1699999999996</v>
      </c>
      <c r="I231" s="105">
        <v>222</v>
      </c>
      <c r="J231" s="105">
        <v>112</v>
      </c>
      <c r="K231" s="105">
        <v>24</v>
      </c>
      <c r="L231" s="105">
        <f>+M231-K231-J231-I231</f>
        <v>158.38999999999999</v>
      </c>
      <c r="M231" s="117">
        <f>+M230*M232</f>
        <v>516.39</v>
      </c>
      <c r="N231" s="105">
        <f>+N230*N232</f>
        <v>83.168000000000006</v>
      </c>
      <c r="O231" s="105">
        <f>+O230*O232</f>
        <v>176.536</v>
      </c>
      <c r="P231" s="105">
        <f>+P230*P232</f>
        <v>298.476</v>
      </c>
      <c r="Q231" s="105">
        <f>+R231-P231-O231-N231</f>
        <v>462.8549999999999</v>
      </c>
      <c r="R231" s="117">
        <f>+R230*R232</f>
        <v>1021.0349999999999</v>
      </c>
      <c r="S231" s="105">
        <f>+S230*S232</f>
        <v>624.61529999999993</v>
      </c>
      <c r="T231" s="249">
        <v>200</v>
      </c>
      <c r="U231" s="249">
        <v>200</v>
      </c>
      <c r="V231" s="249">
        <v>100</v>
      </c>
      <c r="W231" s="115">
        <f>+SUM(S231:V231)</f>
        <v>1124.6152999999999</v>
      </c>
      <c r="X231" s="249">
        <f>AVERAGE(V231,U231,T231,S231)</f>
        <v>281.15382499999998</v>
      </c>
      <c r="Y231" s="249">
        <f>AVERAGE(X231,V231,U231,T231)</f>
        <v>195.28845625</v>
      </c>
      <c r="Z231" s="249">
        <f>AVERAGE(Y231,X231,V231,U231)</f>
        <v>194.11057031249999</v>
      </c>
      <c r="AA231" s="249">
        <f>AVERAGE(Z231,Y231,X231,V231)</f>
        <v>192.638212890625</v>
      </c>
      <c r="AB231" s="115">
        <f>+SUM(X231:AA231)</f>
        <v>863.19106445312491</v>
      </c>
      <c r="AC231" s="249">
        <f>AVERAGE(AA231,Z231,Y231,X231)</f>
        <v>215.79776611328123</v>
      </c>
      <c r="AD231" s="249">
        <f>AVERAGE(AC231,AA231,Z231,Y231)</f>
        <v>199.45875139160157</v>
      </c>
      <c r="AE231" s="249">
        <f>AVERAGE(AD231,AC231,AA231,Z231)</f>
        <v>200.50132517700195</v>
      </c>
      <c r="AF231" s="249">
        <f>AVERAGE(AE231,AD231,AC231,AA231)</f>
        <v>202.09901389312745</v>
      </c>
      <c r="AG231" s="115">
        <f>+SUM(AC231:AF231)</f>
        <v>817.85685657501222</v>
      </c>
      <c r="AH231" s="249">
        <f>AVERAGE(AF231,AE231,AD231,AC231)-75</f>
        <v>129.46421414375305</v>
      </c>
      <c r="AI231" s="249">
        <f>AVERAGE(AH231,AF231,AE231,AD231)-75</f>
        <v>107.880826151371</v>
      </c>
      <c r="AJ231" s="249">
        <f>AVERAGE(AI231,AH231,AF231,AE231)-75</f>
        <v>84.986344841313354</v>
      </c>
      <c r="AK231" s="249">
        <f>AVERAGE(AJ231,AI231,AH231,AF231)-75</f>
        <v>56.107599757391199</v>
      </c>
      <c r="AL231" s="115">
        <f>+SUM(AH231:AK231)</f>
        <v>378.4389848938286</v>
      </c>
      <c r="AM231" s="249">
        <f>AVERAGE(AK231,AJ231,AI231,AH231)-75</f>
        <v>19.609746223457151</v>
      </c>
      <c r="AN231" s="249">
        <f>AVERAGE(AM231,AK231,AJ231,AI231)-75</f>
        <v>-7.8538707566168284</v>
      </c>
      <c r="AO231" s="249">
        <f>AVERAGE(AN231,AM231,AK231,AJ231)-75</f>
        <v>-36.787544983613785</v>
      </c>
      <c r="AP231" s="249">
        <f>AVERAGE(AO231,AN231,AM231,AK231)-75</f>
        <v>-67.231017439845573</v>
      </c>
      <c r="AQ231" s="115">
        <f>+SUM(AM231:AP231)</f>
        <v>-92.262686956619035</v>
      </c>
    </row>
    <row r="232" spans="2:43" outlineLevel="1" x14ac:dyDescent="0.3">
      <c r="B232" s="680" t="s">
        <v>77</v>
      </c>
      <c r="C232" s="681"/>
      <c r="D232" s="277">
        <f>IF((D231)&gt;0,(D231/D230),0)</f>
        <v>1.1046511627906976</v>
      </c>
      <c r="E232" s="277">
        <f>IF((E231)&gt;0,(E231/E230),0)</f>
        <v>6.0028993147074328</v>
      </c>
      <c r="F232" s="277">
        <f>IF((F231)&gt;0,(F231/F230),0)</f>
        <v>7.2999999999999989</v>
      </c>
      <c r="G232" s="277">
        <f>+H232-F232-E232-D232</f>
        <v>3.7924495225018697</v>
      </c>
      <c r="H232" s="278">
        <v>18.2</v>
      </c>
      <c r="I232" s="277">
        <f>IF((I231)&gt;0,(I231/I230),0)</f>
        <v>1.3859408165813458</v>
      </c>
      <c r="J232" s="277">
        <f>IF((J231)&gt;0,(J231/J230),0)</f>
        <v>0.65021770682148039</v>
      </c>
      <c r="K232" s="277">
        <f>IF((K231)&gt;0,(K231/K230),0)</f>
        <v>0.12810931995302657</v>
      </c>
      <c r="L232" s="277">
        <f>+M232-K232-J232-I232</f>
        <v>0.83573215664414713</v>
      </c>
      <c r="M232" s="278">
        <v>3</v>
      </c>
      <c r="N232" s="277">
        <v>0.4</v>
      </c>
      <c r="O232" s="277">
        <v>0.8</v>
      </c>
      <c r="P232" s="277">
        <v>1.2</v>
      </c>
      <c r="Q232" s="277">
        <f>+R232-P232-O232-N232</f>
        <v>1.9</v>
      </c>
      <c r="R232" s="278">
        <v>4.3</v>
      </c>
      <c r="S232" s="277">
        <v>2.6139999999999999</v>
      </c>
      <c r="T232" s="277">
        <f>IF((T231)&gt;0,(T231/T230),0)</f>
        <v>0.83699518727767319</v>
      </c>
      <c r="U232" s="277">
        <f>IF((U231)&gt;0,(U231/U230),0)</f>
        <v>0.83699518727767319</v>
      </c>
      <c r="V232" s="277">
        <f>IF((V231)&gt;0,(V231/V230),0)</f>
        <v>0.4184975936388366</v>
      </c>
      <c r="W232" s="501">
        <f>+SUM(S232:V232)</f>
        <v>4.7064879681941827</v>
      </c>
      <c r="X232" s="277">
        <f>IF((X231)&gt;0,(X231/X230),0)</f>
        <v>1.1766219920485457</v>
      </c>
      <c r="Y232" s="277">
        <f>IF((Y231)&gt;0,(Y231/Y230),0)</f>
        <v>0.81727749006068218</v>
      </c>
      <c r="Z232" s="277">
        <f>IF((Z231)&gt;0,(Z231/Z230),0)</f>
        <v>0.81234806575643437</v>
      </c>
      <c r="AA232" s="277">
        <f>IF((AA231)&gt;0,(AA231/AA230),0)</f>
        <v>0.8061862853761248</v>
      </c>
      <c r="AB232" s="501">
        <f>+SUM(X232:AA232)</f>
        <v>3.6124338332417869</v>
      </c>
      <c r="AC232" s="277">
        <f>IF((AC231)&gt;0,(AC231/AC230),0)</f>
        <v>0.90310845831044673</v>
      </c>
      <c r="AD232" s="277">
        <f>IF((AD231)&gt;0,(AD231/AD230),0)</f>
        <v>0.8347300748759221</v>
      </c>
      <c r="AE232" s="277">
        <f>IF((AE231)&gt;0,(AE231/AE230),0)</f>
        <v>0.83909322107973194</v>
      </c>
      <c r="AF232" s="277">
        <f>IF((AF231)&gt;0,(AF231/AF230),0)</f>
        <v>0.84577950991055639</v>
      </c>
      <c r="AG232" s="501">
        <f>+SUM(AC232:AF232)</f>
        <v>3.4227112641766571</v>
      </c>
      <c r="AH232" s="277">
        <f>IF((AH231)&gt;0,(AH231/AH230),0)</f>
        <v>0.54180462081503689</v>
      </c>
      <c r="AI232" s="277">
        <f>IF((AI231)&gt;0,(AI231/AI230),0)</f>
        <v>0.45147866144118437</v>
      </c>
      <c r="AJ232" s="277">
        <f>IF((AJ231)&gt;0,(AJ231/AJ230),0)</f>
        <v>0.35566580808249992</v>
      </c>
      <c r="AK232" s="277">
        <f>IF((AK231)&gt;0,(AK231/AK230),0)</f>
        <v>0.23480895483319189</v>
      </c>
      <c r="AL232" s="501">
        <f>+SUM(AH232:AK232)</f>
        <v>1.5837580451719131</v>
      </c>
      <c r="AM232" s="277">
        <f>IF((AM231)&gt;0,(AM231/AM230),0)</f>
        <v>8.2066316063850814E-2</v>
      </c>
      <c r="AN232" s="277">
        <f>IF((AN231)&gt;0,(AN231/AN230),0)</f>
        <v>0</v>
      </c>
      <c r="AO232" s="277">
        <f>IF((AO231)&gt;0,(AO231/AO230),0)</f>
        <v>0</v>
      </c>
      <c r="AP232" s="277">
        <f>IF((AP231)&gt;0,(AP231/AP230),0)</f>
        <v>0</v>
      </c>
      <c r="AQ232" s="501">
        <f>+SUM(AM232:AP232)</f>
        <v>8.2066316063850814E-2</v>
      </c>
    </row>
    <row r="233" spans="2:43" ht="15.6" x14ac:dyDescent="0.3">
      <c r="B233" s="630" t="s">
        <v>348</v>
      </c>
      <c r="C233" s="638"/>
      <c r="D233" s="95" t="s">
        <v>71</v>
      </c>
      <c r="E233" s="95" t="s">
        <v>74</v>
      </c>
      <c r="F233" s="95" t="s">
        <v>75</v>
      </c>
      <c r="G233" s="95" t="s">
        <v>79</v>
      </c>
      <c r="H233" s="408" t="s">
        <v>80</v>
      </c>
      <c r="I233" s="95" t="s">
        <v>81</v>
      </c>
      <c r="J233" s="95" t="s">
        <v>92</v>
      </c>
      <c r="K233" s="95" t="s">
        <v>110</v>
      </c>
      <c r="L233" s="95" t="s">
        <v>114</v>
      </c>
      <c r="M233" s="408" t="s">
        <v>115</v>
      </c>
      <c r="N233" s="95" t="s">
        <v>116</v>
      </c>
      <c r="O233" s="95" t="s">
        <v>117</v>
      </c>
      <c r="P233" s="95" t="s">
        <v>118</v>
      </c>
      <c r="Q233" s="95" t="s">
        <v>119</v>
      </c>
      <c r="R233" s="408" t="s">
        <v>120</v>
      </c>
      <c r="S233" s="95" t="s">
        <v>518</v>
      </c>
      <c r="T233" s="97" t="s">
        <v>378</v>
      </c>
      <c r="U233" s="97" t="s">
        <v>379</v>
      </c>
      <c r="V233" s="97" t="s">
        <v>380</v>
      </c>
      <c r="W233" s="412" t="s">
        <v>381</v>
      </c>
      <c r="X233" s="97" t="s">
        <v>382</v>
      </c>
      <c r="Y233" s="97" t="s">
        <v>383</v>
      </c>
      <c r="Z233" s="97" t="s">
        <v>384</v>
      </c>
      <c r="AA233" s="97" t="s">
        <v>385</v>
      </c>
      <c r="AB233" s="412" t="s">
        <v>386</v>
      </c>
      <c r="AC233" s="97" t="s">
        <v>387</v>
      </c>
      <c r="AD233" s="97" t="s">
        <v>388</v>
      </c>
      <c r="AE233" s="97" t="s">
        <v>389</v>
      </c>
      <c r="AF233" s="97" t="s">
        <v>390</v>
      </c>
      <c r="AG233" s="412" t="s">
        <v>391</v>
      </c>
      <c r="AH233" s="97" t="s">
        <v>392</v>
      </c>
      <c r="AI233" s="97" t="s">
        <v>393</v>
      </c>
      <c r="AJ233" s="97" t="s">
        <v>394</v>
      </c>
      <c r="AK233" s="97" t="s">
        <v>395</v>
      </c>
      <c r="AL233" s="412" t="s">
        <v>396</v>
      </c>
      <c r="AM233" s="97" t="s">
        <v>397</v>
      </c>
      <c r="AN233" s="97" t="s">
        <v>398</v>
      </c>
      <c r="AO233" s="97" t="s">
        <v>399</v>
      </c>
      <c r="AP233" s="97" t="s">
        <v>400</v>
      </c>
      <c r="AQ233" s="412" t="s">
        <v>401</v>
      </c>
    </row>
    <row r="234" spans="2:43" outlineLevel="1" x14ac:dyDescent="0.3">
      <c r="B234" s="645" t="s">
        <v>349</v>
      </c>
      <c r="C234" s="646"/>
      <c r="D234" s="105"/>
      <c r="E234" s="105"/>
      <c r="F234" s="105"/>
      <c r="G234" s="105"/>
      <c r="H234" s="117"/>
      <c r="I234" s="105"/>
      <c r="J234" s="105"/>
      <c r="K234" s="105"/>
      <c r="L234" s="105">
        <v>0</v>
      </c>
      <c r="M234" s="117">
        <v>0</v>
      </c>
      <c r="N234" s="105">
        <v>0</v>
      </c>
      <c r="O234" s="105">
        <v>0</v>
      </c>
      <c r="P234" s="105">
        <v>0</v>
      </c>
      <c r="Q234" s="105">
        <v>380</v>
      </c>
      <c r="R234" s="117">
        <v>380</v>
      </c>
      <c r="S234" s="105">
        <v>0</v>
      </c>
      <c r="T234" s="249">
        <v>0</v>
      </c>
      <c r="U234" s="249">
        <v>0</v>
      </c>
      <c r="V234" s="249">
        <v>0</v>
      </c>
      <c r="W234" s="117">
        <f t="shared" ref="W234:W242" si="57">SUM(S234:V234)</f>
        <v>0</v>
      </c>
      <c r="X234" s="249">
        <v>0</v>
      </c>
      <c r="Y234" s="249">
        <v>0</v>
      </c>
      <c r="Z234" s="249">
        <v>0</v>
      </c>
      <c r="AA234" s="249">
        <v>0</v>
      </c>
      <c r="AB234" s="117">
        <f t="shared" ref="AB234:AB242" si="58">SUM(X234:AA234)</f>
        <v>0</v>
      </c>
      <c r="AC234" s="249">
        <v>0</v>
      </c>
      <c r="AD234" s="249">
        <v>0</v>
      </c>
      <c r="AE234" s="249">
        <v>0</v>
      </c>
      <c r="AF234" s="249">
        <v>0</v>
      </c>
      <c r="AG234" s="117">
        <f t="shared" ref="AG234:AG242" si="59">SUM(AC234:AF234)</f>
        <v>0</v>
      </c>
      <c r="AH234" s="249">
        <v>0</v>
      </c>
      <c r="AI234" s="249">
        <v>0</v>
      </c>
      <c r="AJ234" s="249">
        <v>0</v>
      </c>
      <c r="AK234" s="249">
        <v>0</v>
      </c>
      <c r="AL234" s="117">
        <f t="shared" ref="AL234:AL242" si="60">SUM(AH234:AK234)</f>
        <v>0</v>
      </c>
      <c r="AM234" s="249">
        <v>0</v>
      </c>
      <c r="AN234" s="249">
        <v>0</v>
      </c>
      <c r="AO234" s="249">
        <v>0</v>
      </c>
      <c r="AP234" s="249">
        <v>0</v>
      </c>
      <c r="AQ234" s="117">
        <f t="shared" ref="AQ234:AQ242" si="61">SUM(AM234:AP234)</f>
        <v>0</v>
      </c>
    </row>
    <row r="235" spans="2:43" outlineLevel="1" x14ac:dyDescent="0.3">
      <c r="B235" s="645" t="s">
        <v>350</v>
      </c>
      <c r="C235" s="646"/>
      <c r="D235" s="105"/>
      <c r="E235" s="105"/>
      <c r="F235" s="105"/>
      <c r="G235" s="105"/>
      <c r="H235" s="117"/>
      <c r="I235" s="105"/>
      <c r="J235" s="105"/>
      <c r="K235" s="105"/>
      <c r="L235" s="105">
        <v>0</v>
      </c>
      <c r="M235" s="117">
        <v>0</v>
      </c>
      <c r="N235" s="105">
        <v>0</v>
      </c>
      <c r="O235" s="105">
        <v>0</v>
      </c>
      <c r="P235" s="105">
        <v>0</v>
      </c>
      <c r="Q235" s="105">
        <v>1</v>
      </c>
      <c r="R235" s="117">
        <v>1</v>
      </c>
      <c r="S235" s="105">
        <v>0</v>
      </c>
      <c r="T235" s="105">
        <f>+T234*T224</f>
        <v>0</v>
      </c>
      <c r="U235" s="105">
        <f>+U234*U224</f>
        <v>0</v>
      </c>
      <c r="V235" s="105">
        <f>+V234*V224</f>
        <v>0</v>
      </c>
      <c r="W235" s="117">
        <f t="shared" si="57"/>
        <v>0</v>
      </c>
      <c r="X235" s="105">
        <f>+X234*X224</f>
        <v>0</v>
      </c>
      <c r="Y235" s="105">
        <f>+Y234*Y224</f>
        <v>0</v>
      </c>
      <c r="Z235" s="105">
        <f>+Z234*Z224</f>
        <v>0</v>
      </c>
      <c r="AA235" s="105">
        <f>+AA234*AA224</f>
        <v>0</v>
      </c>
      <c r="AB235" s="117">
        <f t="shared" si="58"/>
        <v>0</v>
      </c>
      <c r="AC235" s="105">
        <f>+AC234*AC224</f>
        <v>0</v>
      </c>
      <c r="AD235" s="105">
        <f>+AD234*AD224</f>
        <v>0</v>
      </c>
      <c r="AE235" s="105">
        <f>+AE234*AE224</f>
        <v>0</v>
      </c>
      <c r="AF235" s="105">
        <f>+AF234*AF224</f>
        <v>0</v>
      </c>
      <c r="AG235" s="117">
        <f t="shared" si="59"/>
        <v>0</v>
      </c>
      <c r="AH235" s="105">
        <f>+AH234*AH224</f>
        <v>0</v>
      </c>
      <c r="AI235" s="105">
        <f>+AI234*AI224</f>
        <v>0</v>
      </c>
      <c r="AJ235" s="105">
        <f>+AJ234*AJ224</f>
        <v>0</v>
      </c>
      <c r="AK235" s="105">
        <f>+AK234*AK224</f>
        <v>0</v>
      </c>
      <c r="AL235" s="117">
        <f t="shared" si="60"/>
        <v>0</v>
      </c>
      <c r="AM235" s="105">
        <f>+AM234*AM224</f>
        <v>0</v>
      </c>
      <c r="AN235" s="105">
        <f>+AN234*AN224</f>
        <v>0</v>
      </c>
      <c r="AO235" s="105">
        <f>+AO234*AO224</f>
        <v>0</v>
      </c>
      <c r="AP235" s="105">
        <f>+AP234*AP224</f>
        <v>0</v>
      </c>
      <c r="AQ235" s="117">
        <f t="shared" si="61"/>
        <v>0</v>
      </c>
    </row>
    <row r="236" spans="2:43" outlineLevel="1" x14ac:dyDescent="0.3">
      <c r="B236" s="296" t="s">
        <v>351</v>
      </c>
      <c r="C236" s="297"/>
      <c r="D236" s="105"/>
      <c r="E236" s="105"/>
      <c r="F236" s="105"/>
      <c r="G236" s="105"/>
      <c r="H236" s="117"/>
      <c r="I236" s="105">
        <v>67.5</v>
      </c>
      <c r="J236" s="105">
        <v>57.5</v>
      </c>
      <c r="K236" s="105">
        <v>78</v>
      </c>
      <c r="L236" s="105">
        <v>124</v>
      </c>
      <c r="M236" s="117">
        <v>327</v>
      </c>
      <c r="N236" s="105">
        <v>112</v>
      </c>
      <c r="O236" s="105">
        <v>122</v>
      </c>
      <c r="P236" s="105">
        <v>106</v>
      </c>
      <c r="Q236" s="105">
        <v>136</v>
      </c>
      <c r="R236" s="117">
        <v>477</v>
      </c>
      <c r="S236" s="105">
        <v>121</v>
      </c>
      <c r="T236" s="249">
        <f>(450-121)/3</f>
        <v>109.66666666666667</v>
      </c>
      <c r="U236" s="249">
        <f>(450-121)/3</f>
        <v>109.66666666666667</v>
      </c>
      <c r="V236" s="249">
        <f>(450-121)/3</f>
        <v>109.66666666666667</v>
      </c>
      <c r="W236" s="431">
        <f t="shared" si="57"/>
        <v>450.00000000000006</v>
      </c>
      <c r="X236" s="249">
        <v>68.75</v>
      </c>
      <c r="Y236" s="249">
        <v>68.75</v>
      </c>
      <c r="Z236" s="249">
        <v>68.75</v>
      </c>
      <c r="AA236" s="249">
        <v>68.75</v>
      </c>
      <c r="AB236" s="117">
        <f t="shared" si="58"/>
        <v>275</v>
      </c>
      <c r="AC236" s="249">
        <v>0</v>
      </c>
      <c r="AD236" s="249">
        <v>0</v>
      </c>
      <c r="AE236" s="249">
        <v>0</v>
      </c>
      <c r="AF236" s="249">
        <v>0</v>
      </c>
      <c r="AG236" s="117">
        <f t="shared" si="59"/>
        <v>0</v>
      </c>
      <c r="AH236" s="249">
        <v>0</v>
      </c>
      <c r="AI236" s="249">
        <v>0</v>
      </c>
      <c r="AJ236" s="249">
        <v>0</v>
      </c>
      <c r="AK236" s="249">
        <v>0</v>
      </c>
      <c r="AL236" s="117">
        <f t="shared" si="60"/>
        <v>0</v>
      </c>
      <c r="AM236" s="249">
        <v>0</v>
      </c>
      <c r="AN236" s="249">
        <v>0</v>
      </c>
      <c r="AO236" s="249">
        <v>0</v>
      </c>
      <c r="AP236" s="249">
        <v>0</v>
      </c>
      <c r="AQ236" s="117">
        <f t="shared" si="61"/>
        <v>0</v>
      </c>
    </row>
    <row r="237" spans="2:43" outlineLevel="1" x14ac:dyDescent="0.3">
      <c r="B237" s="296" t="s">
        <v>352</v>
      </c>
      <c r="C237" s="297"/>
      <c r="D237" s="105"/>
      <c r="E237" s="105"/>
      <c r="F237" s="105"/>
      <c r="G237" s="105"/>
      <c r="H237" s="117"/>
      <c r="I237" s="105">
        <v>22.5</v>
      </c>
      <c r="J237" s="105">
        <v>7.5</v>
      </c>
      <c r="K237" s="105">
        <v>15</v>
      </c>
      <c r="L237" s="105">
        <v>37</v>
      </c>
      <c r="M237" s="117">
        <v>82</v>
      </c>
      <c r="N237" s="105">
        <v>30</v>
      </c>
      <c r="O237" s="105">
        <v>31</v>
      </c>
      <c r="P237" s="105">
        <v>14</v>
      </c>
      <c r="Q237" s="105">
        <v>30</v>
      </c>
      <c r="R237" s="117">
        <v>105</v>
      </c>
      <c r="S237" s="105">
        <v>23.4</v>
      </c>
      <c r="T237" s="105">
        <f>(85-23)/3</f>
        <v>20.666666666666668</v>
      </c>
      <c r="U237" s="105">
        <f>(85-23)/3</f>
        <v>20.666666666666668</v>
      </c>
      <c r="V237" s="105">
        <f>(85-23)/3</f>
        <v>20.666666666666668</v>
      </c>
      <c r="W237" s="431">
        <f t="shared" si="57"/>
        <v>85.4</v>
      </c>
      <c r="X237" s="105">
        <f>+X236*X224</f>
        <v>17.1875</v>
      </c>
      <c r="Y237" s="105">
        <f>+Y236*Y224</f>
        <v>17.1875</v>
      </c>
      <c r="Z237" s="105">
        <f>+Z236*Z224</f>
        <v>17.1875</v>
      </c>
      <c r="AA237" s="105">
        <f>+AA236*AA224</f>
        <v>17.1875</v>
      </c>
      <c r="AB237" s="117">
        <f t="shared" si="58"/>
        <v>68.75</v>
      </c>
      <c r="AC237" s="105">
        <f>+AC236*AC224</f>
        <v>0</v>
      </c>
      <c r="AD237" s="105">
        <f>+AD236*AD224</f>
        <v>0</v>
      </c>
      <c r="AE237" s="105">
        <f>+AE236*AE224</f>
        <v>0</v>
      </c>
      <c r="AF237" s="105">
        <f>+AF236*AF224</f>
        <v>0</v>
      </c>
      <c r="AG237" s="117">
        <f t="shared" si="59"/>
        <v>0</v>
      </c>
      <c r="AH237" s="105">
        <f>+AH236*AH224</f>
        <v>0</v>
      </c>
      <c r="AI237" s="105">
        <f>+AI236*AI224</f>
        <v>0</v>
      </c>
      <c r="AJ237" s="105">
        <f>+AJ236*AJ224</f>
        <v>0</v>
      </c>
      <c r="AK237" s="105">
        <f>+AK236*AK224</f>
        <v>0</v>
      </c>
      <c r="AL237" s="117">
        <f t="shared" si="60"/>
        <v>0</v>
      </c>
      <c r="AM237" s="105">
        <f>+AM236*AM224</f>
        <v>0</v>
      </c>
      <c r="AN237" s="105">
        <f>+AN236*AN224</f>
        <v>0</v>
      </c>
      <c r="AO237" s="105">
        <f>+AO236*AO224</f>
        <v>0</v>
      </c>
      <c r="AP237" s="105">
        <f>+AP236*AP224</f>
        <v>0</v>
      </c>
      <c r="AQ237" s="117">
        <f t="shared" si="61"/>
        <v>0</v>
      </c>
    </row>
    <row r="238" spans="2:43" outlineLevel="1" x14ac:dyDescent="0.3">
      <c r="B238" s="296" t="s">
        <v>356</v>
      </c>
      <c r="C238" s="297"/>
      <c r="D238" s="105"/>
      <c r="E238" s="105"/>
      <c r="F238" s="105"/>
      <c r="G238" s="105"/>
      <c r="H238" s="117"/>
      <c r="I238" s="105"/>
      <c r="J238" s="105"/>
      <c r="K238" s="105"/>
      <c r="L238" s="105">
        <f>39+22</f>
        <v>61</v>
      </c>
      <c r="M238" s="117">
        <f>39+22</f>
        <v>61</v>
      </c>
      <c r="N238" s="105">
        <v>7</v>
      </c>
      <c r="O238" s="105">
        <v>0</v>
      </c>
      <c r="P238" s="105">
        <v>0</v>
      </c>
      <c r="Q238" s="105">
        <v>1</v>
      </c>
      <c r="R238" s="117">
        <v>8</v>
      </c>
      <c r="S238" s="105">
        <v>0</v>
      </c>
      <c r="T238" s="249">
        <v>2</v>
      </c>
      <c r="U238" s="249">
        <v>2</v>
      </c>
      <c r="V238" s="249">
        <v>2</v>
      </c>
      <c r="W238" s="117">
        <f t="shared" si="57"/>
        <v>6</v>
      </c>
      <c r="X238" s="249">
        <v>0</v>
      </c>
      <c r="Y238" s="249">
        <v>0</v>
      </c>
      <c r="Z238" s="249">
        <v>0</v>
      </c>
      <c r="AA238" s="249">
        <v>0</v>
      </c>
      <c r="AB238" s="117">
        <f t="shared" si="58"/>
        <v>0</v>
      </c>
      <c r="AC238" s="249">
        <v>0</v>
      </c>
      <c r="AD238" s="249">
        <v>0</v>
      </c>
      <c r="AE238" s="249">
        <v>0</v>
      </c>
      <c r="AF238" s="249">
        <v>0</v>
      </c>
      <c r="AG238" s="117">
        <f t="shared" si="59"/>
        <v>0</v>
      </c>
      <c r="AH238" s="249">
        <v>0</v>
      </c>
      <c r="AI238" s="249">
        <v>0</v>
      </c>
      <c r="AJ238" s="249">
        <v>0</v>
      </c>
      <c r="AK238" s="249">
        <v>0</v>
      </c>
      <c r="AL238" s="117">
        <f t="shared" si="60"/>
        <v>0</v>
      </c>
      <c r="AM238" s="249">
        <v>0</v>
      </c>
      <c r="AN238" s="249">
        <v>0</v>
      </c>
      <c r="AO238" s="249">
        <v>0</v>
      </c>
      <c r="AP238" s="249">
        <v>0</v>
      </c>
      <c r="AQ238" s="117">
        <f t="shared" si="61"/>
        <v>0</v>
      </c>
    </row>
    <row r="239" spans="2:43" outlineLevel="1" x14ac:dyDescent="0.3">
      <c r="B239" s="296" t="s">
        <v>357</v>
      </c>
      <c r="C239" s="297"/>
      <c r="D239" s="105"/>
      <c r="E239" s="105"/>
      <c r="F239" s="105"/>
      <c r="G239" s="105"/>
      <c r="H239" s="117"/>
      <c r="I239" s="105"/>
      <c r="J239" s="105"/>
      <c r="K239" s="105"/>
      <c r="L239" s="105">
        <f>15+9</f>
        <v>24</v>
      </c>
      <c r="M239" s="117">
        <f>15+9</f>
        <v>24</v>
      </c>
      <c r="N239" s="105">
        <v>2</v>
      </c>
      <c r="O239" s="105">
        <v>0</v>
      </c>
      <c r="P239" s="105">
        <v>0</v>
      </c>
      <c r="Q239" s="105">
        <v>-0.5</v>
      </c>
      <c r="R239" s="117">
        <v>2</v>
      </c>
      <c r="S239" s="105">
        <v>0</v>
      </c>
      <c r="T239" s="105">
        <f>+T238*T224</f>
        <v>0.5</v>
      </c>
      <c r="U239" s="105">
        <f>+U238*U224</f>
        <v>0.5</v>
      </c>
      <c r="V239" s="105">
        <f>+V238*V224</f>
        <v>0.5</v>
      </c>
      <c r="W239" s="117">
        <f t="shared" si="57"/>
        <v>1.5</v>
      </c>
      <c r="X239" s="105">
        <f>+X238*X224</f>
        <v>0</v>
      </c>
      <c r="Y239" s="105">
        <f>+Y238*Y224</f>
        <v>0</v>
      </c>
      <c r="Z239" s="105">
        <f>+Z238*Z224</f>
        <v>0</v>
      </c>
      <c r="AA239" s="105">
        <f>+AA238*AA224</f>
        <v>0</v>
      </c>
      <c r="AB239" s="117">
        <f t="shared" si="58"/>
        <v>0</v>
      </c>
      <c r="AC239" s="105">
        <f>+AC238*AC224</f>
        <v>0</v>
      </c>
      <c r="AD239" s="105">
        <f>+AD238*AD224</f>
        <v>0</v>
      </c>
      <c r="AE239" s="105">
        <f>+AE238*AE224</f>
        <v>0</v>
      </c>
      <c r="AF239" s="105">
        <f>+AF238*AF224</f>
        <v>0</v>
      </c>
      <c r="AG239" s="117">
        <f t="shared" si="59"/>
        <v>0</v>
      </c>
      <c r="AH239" s="105">
        <f>+AH238*AH224</f>
        <v>0</v>
      </c>
      <c r="AI239" s="105">
        <f>+AI238*AI224</f>
        <v>0</v>
      </c>
      <c r="AJ239" s="105">
        <f>+AJ238*AJ224</f>
        <v>0</v>
      </c>
      <c r="AK239" s="105">
        <f>+AK238*AK224</f>
        <v>0</v>
      </c>
      <c r="AL239" s="117">
        <f t="shared" si="60"/>
        <v>0</v>
      </c>
      <c r="AM239" s="105">
        <f>+AM238*AM224</f>
        <v>0</v>
      </c>
      <c r="AN239" s="105">
        <f>+AN238*AN224</f>
        <v>0</v>
      </c>
      <c r="AO239" s="105">
        <f>+AO238*AO224</f>
        <v>0</v>
      </c>
      <c r="AP239" s="105">
        <f>+AP238*AP224</f>
        <v>0</v>
      </c>
      <c r="AQ239" s="117">
        <f t="shared" si="61"/>
        <v>0</v>
      </c>
    </row>
    <row r="240" spans="2:43" outlineLevel="1" x14ac:dyDescent="0.3">
      <c r="B240" s="296" t="s">
        <v>353</v>
      </c>
      <c r="C240" s="297"/>
      <c r="D240" s="105"/>
      <c r="E240" s="105"/>
      <c r="F240" s="105"/>
      <c r="G240" s="105"/>
      <c r="H240" s="117"/>
      <c r="I240" s="105"/>
      <c r="J240" s="105"/>
      <c r="K240" s="105"/>
      <c r="L240" s="105">
        <v>0</v>
      </c>
      <c r="M240" s="117">
        <f>SUM(I240:L240)</f>
        <v>0</v>
      </c>
      <c r="N240" s="105">
        <v>0</v>
      </c>
      <c r="O240" s="105">
        <v>0</v>
      </c>
      <c r="P240" s="105">
        <v>0</v>
      </c>
      <c r="Q240" s="105">
        <v>-10</v>
      </c>
      <c r="R240" s="117">
        <v>-10</v>
      </c>
      <c r="S240" s="105">
        <v>0</v>
      </c>
      <c r="T240" s="249">
        <v>0</v>
      </c>
      <c r="U240" s="249">
        <v>0</v>
      </c>
      <c r="V240" s="249">
        <f>+V206</f>
        <v>-227.23050661764719</v>
      </c>
      <c r="W240" s="117">
        <f t="shared" si="57"/>
        <v>-227.23050661764719</v>
      </c>
      <c r="X240" s="249">
        <v>0</v>
      </c>
      <c r="Y240" s="249">
        <v>0</v>
      </c>
      <c r="Z240" s="249">
        <v>0</v>
      </c>
      <c r="AA240" s="249">
        <f>+AA206</f>
        <v>-99.999999999999943</v>
      </c>
      <c r="AB240" s="117">
        <f t="shared" si="58"/>
        <v>-99.999999999999943</v>
      </c>
      <c r="AC240" s="249">
        <v>0</v>
      </c>
      <c r="AD240" s="249">
        <v>0</v>
      </c>
      <c r="AE240" s="249">
        <v>0</v>
      </c>
      <c r="AF240" s="249">
        <f>+AF206</f>
        <v>-55.00000000000005</v>
      </c>
      <c r="AG240" s="117">
        <f t="shared" si="59"/>
        <v>-55.00000000000005</v>
      </c>
      <c r="AH240" s="249">
        <v>0</v>
      </c>
      <c r="AI240" s="249">
        <v>0</v>
      </c>
      <c r="AJ240" s="249">
        <v>0</v>
      </c>
      <c r="AK240" s="249">
        <f>+AK206</f>
        <v>-55.00000000000005</v>
      </c>
      <c r="AL240" s="117">
        <f t="shared" si="60"/>
        <v>-55.00000000000005</v>
      </c>
      <c r="AM240" s="249">
        <v>0</v>
      </c>
      <c r="AN240" s="249">
        <v>0</v>
      </c>
      <c r="AO240" s="249">
        <v>0</v>
      </c>
      <c r="AP240" s="249">
        <f>+AP206</f>
        <v>-55.00000000000005</v>
      </c>
      <c r="AQ240" s="117">
        <f t="shared" si="61"/>
        <v>-55.00000000000005</v>
      </c>
    </row>
    <row r="241" spans="1:43" outlineLevel="1" x14ac:dyDescent="0.3">
      <c r="B241" s="296" t="s">
        <v>354</v>
      </c>
      <c r="C241" s="297"/>
      <c r="D241" s="105"/>
      <c r="E241" s="105"/>
      <c r="F241" s="105"/>
      <c r="G241" s="105"/>
      <c r="H241" s="117"/>
      <c r="I241" s="105"/>
      <c r="J241" s="105"/>
      <c r="K241" s="105"/>
      <c r="L241" s="105">
        <v>6</v>
      </c>
      <c r="M241" s="117">
        <f>SUM(I241:L241)</f>
        <v>6</v>
      </c>
      <c r="N241" s="105">
        <v>0</v>
      </c>
      <c r="O241" s="105">
        <v>0</v>
      </c>
      <c r="P241" s="105">
        <v>0</v>
      </c>
      <c r="Q241" s="105">
        <v>-0.5</v>
      </c>
      <c r="R241" s="117">
        <v>-1</v>
      </c>
      <c r="S241" s="105">
        <v>0</v>
      </c>
      <c r="T241" s="105">
        <f>+T240*T224</f>
        <v>0</v>
      </c>
      <c r="U241" s="105">
        <f>+U240*U224</f>
        <v>0</v>
      </c>
      <c r="V241" s="105">
        <f>+V240*V224</f>
        <v>-56.807626654411798</v>
      </c>
      <c r="W241" s="117">
        <f t="shared" si="57"/>
        <v>-56.807626654411798</v>
      </c>
      <c r="X241" s="105">
        <f>+X240*X224</f>
        <v>0</v>
      </c>
      <c r="Y241" s="105">
        <f>+Y240*Y224</f>
        <v>0</v>
      </c>
      <c r="Z241" s="105">
        <f>+Z240*Z224</f>
        <v>0</v>
      </c>
      <c r="AA241" s="105">
        <f>+AA240*AA224</f>
        <v>-24.999999999999986</v>
      </c>
      <c r="AB241" s="117">
        <f t="shared" si="58"/>
        <v>-24.999999999999986</v>
      </c>
      <c r="AC241" s="105">
        <f>+AC240*AC224</f>
        <v>0</v>
      </c>
      <c r="AD241" s="105">
        <f>+AD240*AD224</f>
        <v>0</v>
      </c>
      <c r="AE241" s="105">
        <f>+AE240*AE224</f>
        <v>0</v>
      </c>
      <c r="AF241" s="105">
        <f>+AF240*AF224</f>
        <v>-13.750000000000012</v>
      </c>
      <c r="AG241" s="117">
        <f t="shared" si="59"/>
        <v>-13.750000000000012</v>
      </c>
      <c r="AH241" s="105">
        <f>+AH240*AH224</f>
        <v>0</v>
      </c>
      <c r="AI241" s="105">
        <f>+AI240*AI224</f>
        <v>0</v>
      </c>
      <c r="AJ241" s="105">
        <f>+AJ240*AJ224</f>
        <v>0</v>
      </c>
      <c r="AK241" s="105">
        <f>+AK240*AK224</f>
        <v>-13.750000000000012</v>
      </c>
      <c r="AL241" s="117">
        <f t="shared" si="60"/>
        <v>-13.750000000000012</v>
      </c>
      <c r="AM241" s="105">
        <f>+AM240*AM224</f>
        <v>0</v>
      </c>
      <c r="AN241" s="105">
        <f>+AN240*AN224</f>
        <v>0</v>
      </c>
      <c r="AO241" s="105">
        <f>+AO240*AO224</f>
        <v>0</v>
      </c>
      <c r="AP241" s="105">
        <f>+AP240*AP224</f>
        <v>-13.750000000000012</v>
      </c>
      <c r="AQ241" s="117">
        <f t="shared" si="61"/>
        <v>-13.750000000000012</v>
      </c>
    </row>
    <row r="242" spans="1:43" outlineLevel="1" x14ac:dyDescent="0.3">
      <c r="B242" s="680" t="s">
        <v>355</v>
      </c>
      <c r="C242" s="681"/>
      <c r="D242" s="288"/>
      <c r="E242" s="288"/>
      <c r="F242" s="288"/>
      <c r="G242" s="288"/>
      <c r="H242" s="289"/>
      <c r="I242" s="288"/>
      <c r="J242" s="288"/>
      <c r="K242" s="288"/>
      <c r="L242" s="288">
        <v>0</v>
      </c>
      <c r="M242" s="289">
        <v>0</v>
      </c>
      <c r="N242" s="288">
        <v>0</v>
      </c>
      <c r="O242" s="288">
        <v>0</v>
      </c>
      <c r="P242" s="288">
        <v>1150</v>
      </c>
      <c r="Q242" s="288"/>
      <c r="R242" s="289">
        <v>1150</v>
      </c>
      <c r="S242" s="288">
        <v>0</v>
      </c>
      <c r="T242" s="317">
        <v>0</v>
      </c>
      <c r="U242" s="317">
        <v>0</v>
      </c>
      <c r="V242" s="317">
        <v>0</v>
      </c>
      <c r="W242" s="289">
        <f t="shared" si="57"/>
        <v>0</v>
      </c>
      <c r="X242" s="317">
        <v>0</v>
      </c>
      <c r="Y242" s="317">
        <v>0</v>
      </c>
      <c r="Z242" s="317">
        <v>0</v>
      </c>
      <c r="AA242" s="317">
        <v>0</v>
      </c>
      <c r="AB242" s="289">
        <f t="shared" si="58"/>
        <v>0</v>
      </c>
      <c r="AC242" s="317">
        <v>0</v>
      </c>
      <c r="AD242" s="317">
        <v>0</v>
      </c>
      <c r="AE242" s="317">
        <v>0</v>
      </c>
      <c r="AF242" s="317">
        <v>0</v>
      </c>
      <c r="AG242" s="289">
        <f t="shared" si="59"/>
        <v>0</v>
      </c>
      <c r="AH242" s="317">
        <v>0</v>
      </c>
      <c r="AI242" s="317">
        <v>0</v>
      </c>
      <c r="AJ242" s="317">
        <v>0</v>
      </c>
      <c r="AK242" s="317">
        <v>0</v>
      </c>
      <c r="AL242" s="289">
        <f t="shared" si="60"/>
        <v>0</v>
      </c>
      <c r="AM242" s="317">
        <v>0</v>
      </c>
      <c r="AN242" s="317">
        <v>0</v>
      </c>
      <c r="AO242" s="317">
        <v>0</v>
      </c>
      <c r="AP242" s="317">
        <v>0</v>
      </c>
      <c r="AQ242" s="289">
        <f t="shared" si="61"/>
        <v>0</v>
      </c>
    </row>
    <row r="243" spans="1:43" x14ac:dyDescent="0.3">
      <c r="B243" s="57"/>
      <c r="C243" s="57"/>
      <c r="F243" s="3"/>
      <c r="G243" s="3"/>
      <c r="H243" s="3"/>
      <c r="J243" s="69"/>
      <c r="K243" s="69"/>
      <c r="L243" s="69"/>
      <c r="M243" s="500"/>
      <c r="P243" s="3"/>
      <c r="Q243" s="3"/>
      <c r="R243" s="500"/>
      <c r="U243" s="3"/>
      <c r="V243" s="3"/>
      <c r="W243" s="500"/>
      <c r="Z243" s="3"/>
      <c r="AA243" s="3"/>
      <c r="AB243" s="500"/>
      <c r="AE243" s="3"/>
      <c r="AF243" s="3"/>
      <c r="AG243" s="500"/>
      <c r="AJ243" s="3"/>
      <c r="AK243" s="3"/>
      <c r="AL243" s="500"/>
      <c r="AO243" s="3"/>
      <c r="AP243" s="3"/>
      <c r="AQ243" s="500"/>
    </row>
    <row r="244" spans="1:43" ht="15.6" x14ac:dyDescent="0.3">
      <c r="B244" s="630" t="s">
        <v>112</v>
      </c>
      <c r="C244" s="638"/>
      <c r="D244" s="95" t="s">
        <v>121</v>
      </c>
      <c r="E244" s="95" t="s">
        <v>122</v>
      </c>
      <c r="F244" s="95" t="s">
        <v>123</v>
      </c>
      <c r="G244" s="95" t="s">
        <v>124</v>
      </c>
      <c r="H244" s="408" t="s">
        <v>124</v>
      </c>
      <c r="I244" s="95" t="s">
        <v>125</v>
      </c>
      <c r="J244" s="95" t="s">
        <v>126</v>
      </c>
      <c r="K244" s="95" t="s">
        <v>127</v>
      </c>
      <c r="L244" s="95" t="s">
        <v>128</v>
      </c>
      <c r="M244" s="408" t="s">
        <v>128</v>
      </c>
      <c r="N244" s="95" t="s">
        <v>129</v>
      </c>
      <c r="O244" s="95" t="s">
        <v>130</v>
      </c>
      <c r="P244" s="95" t="s">
        <v>131</v>
      </c>
      <c r="Q244" s="95" t="s">
        <v>132</v>
      </c>
      <c r="R244" s="408" t="s">
        <v>132</v>
      </c>
      <c r="S244" s="95" t="s">
        <v>133</v>
      </c>
      <c r="T244" s="97" t="s">
        <v>134</v>
      </c>
      <c r="U244" s="97" t="s">
        <v>135</v>
      </c>
      <c r="V244" s="97" t="s">
        <v>136</v>
      </c>
      <c r="W244" s="412" t="s">
        <v>136</v>
      </c>
      <c r="X244" s="97" t="s">
        <v>137</v>
      </c>
      <c r="Y244" s="97" t="s">
        <v>138</v>
      </c>
      <c r="Z244" s="97" t="s">
        <v>139</v>
      </c>
      <c r="AA244" s="97" t="s">
        <v>140</v>
      </c>
      <c r="AB244" s="412" t="s">
        <v>140</v>
      </c>
      <c r="AC244" s="97" t="s">
        <v>141</v>
      </c>
      <c r="AD244" s="97" t="s">
        <v>142</v>
      </c>
      <c r="AE244" s="97" t="s">
        <v>143</v>
      </c>
      <c r="AF244" s="97" t="s">
        <v>144</v>
      </c>
      <c r="AG244" s="412" t="s">
        <v>144</v>
      </c>
      <c r="AH244" s="97" t="s">
        <v>145</v>
      </c>
      <c r="AI244" s="97" t="s">
        <v>146</v>
      </c>
      <c r="AJ244" s="97" t="s">
        <v>147</v>
      </c>
      <c r="AK244" s="97" t="s">
        <v>148</v>
      </c>
      <c r="AL244" s="412" t="s">
        <v>148</v>
      </c>
      <c r="AM244" s="97" t="s">
        <v>149</v>
      </c>
      <c r="AN244" s="97" t="s">
        <v>150</v>
      </c>
      <c r="AO244" s="97" t="s">
        <v>151</v>
      </c>
      <c r="AP244" s="97" t="s">
        <v>152</v>
      </c>
      <c r="AQ244" s="412" t="s">
        <v>152</v>
      </c>
    </row>
    <row r="245" spans="1:43" ht="16.2" x14ac:dyDescent="0.45">
      <c r="B245" s="298" t="s">
        <v>3</v>
      </c>
      <c r="C245" s="414"/>
      <c r="D245" s="96" t="s">
        <v>71</v>
      </c>
      <c r="E245" s="96" t="s">
        <v>74</v>
      </c>
      <c r="F245" s="96" t="s">
        <v>75</v>
      </c>
      <c r="G245" s="96" t="s">
        <v>79</v>
      </c>
      <c r="H245" s="409" t="s">
        <v>80</v>
      </c>
      <c r="I245" s="96" t="s">
        <v>81</v>
      </c>
      <c r="J245" s="96" t="s">
        <v>92</v>
      </c>
      <c r="K245" s="96" t="s">
        <v>110</v>
      </c>
      <c r="L245" s="96" t="s">
        <v>114</v>
      </c>
      <c r="M245" s="409" t="s">
        <v>115</v>
      </c>
      <c r="N245" s="96" t="s">
        <v>116</v>
      </c>
      <c r="O245" s="96" t="s">
        <v>117</v>
      </c>
      <c r="P245" s="96" t="s">
        <v>118</v>
      </c>
      <c r="Q245" s="96" t="s">
        <v>119</v>
      </c>
      <c r="R245" s="409" t="s">
        <v>120</v>
      </c>
      <c r="S245" s="96" t="s">
        <v>518</v>
      </c>
      <c r="T245" s="94" t="s">
        <v>378</v>
      </c>
      <c r="U245" s="94" t="s">
        <v>379</v>
      </c>
      <c r="V245" s="94" t="s">
        <v>380</v>
      </c>
      <c r="W245" s="413" t="s">
        <v>381</v>
      </c>
      <c r="X245" s="94" t="s">
        <v>382</v>
      </c>
      <c r="Y245" s="94" t="s">
        <v>383</v>
      </c>
      <c r="Z245" s="94" t="s">
        <v>384</v>
      </c>
      <c r="AA245" s="94" t="s">
        <v>385</v>
      </c>
      <c r="AB245" s="413" t="s">
        <v>386</v>
      </c>
      <c r="AC245" s="94" t="s">
        <v>387</v>
      </c>
      <c r="AD245" s="94" t="s">
        <v>388</v>
      </c>
      <c r="AE245" s="94" t="s">
        <v>389</v>
      </c>
      <c r="AF245" s="94" t="s">
        <v>390</v>
      </c>
      <c r="AG245" s="413" t="s">
        <v>391</v>
      </c>
      <c r="AH245" s="94" t="s">
        <v>392</v>
      </c>
      <c r="AI245" s="94" t="s">
        <v>393</v>
      </c>
      <c r="AJ245" s="94" t="s">
        <v>394</v>
      </c>
      <c r="AK245" s="94" t="s">
        <v>395</v>
      </c>
      <c r="AL245" s="413" t="s">
        <v>396</v>
      </c>
      <c r="AM245" s="94" t="s">
        <v>397</v>
      </c>
      <c r="AN245" s="94" t="s">
        <v>398</v>
      </c>
      <c r="AO245" s="94" t="s">
        <v>399</v>
      </c>
      <c r="AP245" s="94" t="s">
        <v>400</v>
      </c>
      <c r="AQ245" s="413" t="s">
        <v>401</v>
      </c>
    </row>
    <row r="246" spans="1:43" ht="14.4" customHeight="1" x14ac:dyDescent="0.3">
      <c r="B246" s="630" t="s">
        <v>6</v>
      </c>
      <c r="C246" s="638"/>
      <c r="D246" s="95"/>
      <c r="E246" s="95"/>
      <c r="F246" s="95"/>
      <c r="G246" s="95"/>
      <c r="H246" s="408"/>
      <c r="I246" s="95"/>
      <c r="J246" s="95"/>
      <c r="K246" s="95"/>
      <c r="L246" s="95"/>
      <c r="M246" s="408"/>
      <c r="N246" s="95"/>
      <c r="O246" s="95"/>
      <c r="P246" s="95"/>
      <c r="Q246" s="95"/>
      <c r="R246" s="408"/>
      <c r="S246" s="95"/>
      <c r="T246" s="97"/>
      <c r="U246" s="97"/>
      <c r="V246" s="97"/>
      <c r="W246" s="412"/>
      <c r="X246" s="97"/>
      <c r="Y246" s="97"/>
      <c r="Z246" s="97"/>
      <c r="AA246" s="97"/>
      <c r="AB246" s="412"/>
      <c r="AC246" s="97"/>
      <c r="AD246" s="97"/>
      <c r="AE246" s="97"/>
      <c r="AF246" s="97"/>
      <c r="AG246" s="412"/>
      <c r="AH246" s="97"/>
      <c r="AI246" s="97"/>
      <c r="AJ246" s="97"/>
      <c r="AK246" s="97"/>
      <c r="AL246" s="412"/>
      <c r="AM246" s="97"/>
      <c r="AN246" s="97"/>
      <c r="AO246" s="97"/>
      <c r="AP246" s="97"/>
      <c r="AQ246" s="412"/>
    </row>
    <row r="247" spans="1:43" ht="14.4" customHeight="1" outlineLevel="1" x14ac:dyDescent="0.3">
      <c r="B247" s="645" t="s">
        <v>43</v>
      </c>
      <c r="C247" s="646"/>
      <c r="D247" s="105">
        <f>D342</f>
        <v>3543</v>
      </c>
      <c r="E247" s="105">
        <f>E342</f>
        <v>3647</v>
      </c>
      <c r="F247" s="105">
        <f>F342</f>
        <v>2841</v>
      </c>
      <c r="G247" s="98">
        <f>G342</f>
        <v>3534</v>
      </c>
      <c r="H247" s="99">
        <f>G247</f>
        <v>3534</v>
      </c>
      <c r="I247" s="98">
        <f>I342</f>
        <v>2989</v>
      </c>
      <c r="J247" s="105">
        <f>J342</f>
        <v>3059</v>
      </c>
      <c r="K247" s="105">
        <f>K342</f>
        <v>3173</v>
      </c>
      <c r="L247" s="98">
        <f>L342</f>
        <v>3969</v>
      </c>
      <c r="M247" s="99">
        <f>L247</f>
        <v>3969</v>
      </c>
      <c r="N247" s="105">
        <f>N342</f>
        <v>3503</v>
      </c>
      <c r="O247" s="105">
        <f>O342</f>
        <v>2768</v>
      </c>
      <c r="P247" s="105">
        <f>P342</f>
        <v>2789</v>
      </c>
      <c r="Q247" s="98">
        <f>Q342</f>
        <v>3265.1257859999969</v>
      </c>
      <c r="R247" s="99">
        <f>Q247</f>
        <v>3265.1257859999969</v>
      </c>
      <c r="S247" s="105">
        <f>S342</f>
        <v>2369.1257859999969</v>
      </c>
      <c r="T247" s="98">
        <f>T342</f>
        <v>2864.789508197206</v>
      </c>
      <c r="U247" s="98">
        <f>U342</f>
        <v>2880.8194882034686</v>
      </c>
      <c r="V247" s="98">
        <f>V342</f>
        <v>5512.5847459608758</v>
      </c>
      <c r="W247" s="99">
        <f>V247</f>
        <v>5512.5847459608758</v>
      </c>
      <c r="X247" s="98">
        <f>X342</f>
        <v>6123.2540547137687</v>
      </c>
      <c r="Y247" s="98">
        <f>Y342</f>
        <v>6834.3655414252325</v>
      </c>
      <c r="Z247" s="98">
        <f>Z342</f>
        <v>7390.5968836984293</v>
      </c>
      <c r="AA247" s="98">
        <f>AA342</f>
        <v>10085.488908714951</v>
      </c>
      <c r="AB247" s="99">
        <f>AA247</f>
        <v>10085.488908714951</v>
      </c>
      <c r="AC247" s="98">
        <f>AC342</f>
        <v>10989.711012741633</v>
      </c>
      <c r="AD247" s="98">
        <f>AD342</f>
        <v>12090.8593744149</v>
      </c>
      <c r="AE247" s="98">
        <f>AE342</f>
        <v>12758.056566279063</v>
      </c>
      <c r="AF247" s="98">
        <f>AF342</f>
        <v>15891.343694606048</v>
      </c>
      <c r="AG247" s="99">
        <f>AF247</f>
        <v>15891.343694606048</v>
      </c>
      <c r="AH247" s="98">
        <f>AH342</f>
        <v>16734.855842331715</v>
      </c>
      <c r="AI247" s="98">
        <f>AI342</f>
        <v>17701.820034476357</v>
      </c>
      <c r="AJ247" s="98">
        <f>AJ342</f>
        <v>18254.884702327174</v>
      </c>
      <c r="AK247" s="98">
        <f>AK342</f>
        <v>21439.740585205414</v>
      </c>
      <c r="AL247" s="99">
        <f>AK247</f>
        <v>21439.740585205414</v>
      </c>
      <c r="AM247" s="98">
        <f>AM342</f>
        <v>22368.687455035015</v>
      </c>
      <c r="AN247" s="98">
        <f>AN342</f>
        <v>23431.784727158469</v>
      </c>
      <c r="AO247" s="98">
        <f>AO342</f>
        <v>24003.954348788797</v>
      </c>
      <c r="AP247" s="98">
        <f>AP342</f>
        <v>27394.363118379828</v>
      </c>
      <c r="AQ247" s="99">
        <f>AP247</f>
        <v>27394.363118379828</v>
      </c>
    </row>
    <row r="248" spans="1:43" s="116" customFormat="1" ht="14.4" customHeight="1" outlineLevel="1" x14ac:dyDescent="0.3">
      <c r="A248" s="235"/>
      <c r="B248" s="645" t="s">
        <v>210</v>
      </c>
      <c r="C248" s="646"/>
      <c r="D248" s="105">
        <v>5617</v>
      </c>
      <c r="E248" s="98">
        <v>5865</v>
      </c>
      <c r="F248" s="98">
        <v>5634</v>
      </c>
      <c r="G248" s="98">
        <v>7252</v>
      </c>
      <c r="H248" s="99">
        <f>G248</f>
        <v>7252</v>
      </c>
      <c r="I248" s="98">
        <v>7233</v>
      </c>
      <c r="J248" s="105">
        <v>7575</v>
      </c>
      <c r="K248" s="105">
        <v>7418</v>
      </c>
      <c r="L248" s="98">
        <v>7599</v>
      </c>
      <c r="M248" s="99">
        <f>L248</f>
        <v>7599</v>
      </c>
      <c r="N248" s="105">
        <v>8006</v>
      </c>
      <c r="O248" s="98">
        <v>8655</v>
      </c>
      <c r="P248" s="98">
        <v>8671</v>
      </c>
      <c r="Q248" s="98">
        <v>8522</v>
      </c>
      <c r="R248" s="99">
        <f>Q248</f>
        <v>8522</v>
      </c>
      <c r="S248" s="105">
        <v>8716</v>
      </c>
      <c r="T248" s="98">
        <f>(T13/T292*2)-S248</f>
        <v>9435.6350456690998</v>
      </c>
      <c r="U248" s="98">
        <f>(U13/U292*2)-T248</f>
        <v>9319.136151232753</v>
      </c>
      <c r="V248" s="98">
        <f>(V13/V292*2)-U248</f>
        <v>9242.3966614641176</v>
      </c>
      <c r="W248" s="99">
        <f>V248</f>
        <v>9242.3966614641176</v>
      </c>
      <c r="X248" s="98">
        <f>(X13/X292*2)-V248</f>
        <v>8979.1054391692414</v>
      </c>
      <c r="Y248" s="98">
        <f>(Y13/Y292*2)-X248</f>
        <v>10058.035675316518</v>
      </c>
      <c r="Z248" s="98">
        <f>(Z13/Z292*2)-Y248</f>
        <v>9709.3374446162197</v>
      </c>
      <c r="AA248" s="98">
        <f>(AA13/AA292*2)-Z248</f>
        <v>9878.1253869812754</v>
      </c>
      <c r="AB248" s="99">
        <f>AA248</f>
        <v>9878.1253869812754</v>
      </c>
      <c r="AC248" s="98">
        <f>(AC13/AC292*2)-AA248</f>
        <v>9358.0978459543185</v>
      </c>
      <c r="AD248" s="98">
        <f>(AD13/AD292*2)-AC248</f>
        <v>10713.472332199311</v>
      </c>
      <c r="AE248" s="98">
        <f>(AE13/AE292*2)-AD248</f>
        <v>10181.835934208641</v>
      </c>
      <c r="AF248" s="98">
        <f>(AF13/AF292*2)-AE248</f>
        <v>10535.986251442817</v>
      </c>
      <c r="AG248" s="99">
        <f>AF248</f>
        <v>10535.986251442817</v>
      </c>
      <c r="AH248" s="98">
        <f>(AH13/AH292*2)-AF248</f>
        <v>9722.2305029742784</v>
      </c>
      <c r="AI248" s="98">
        <f>(AI13/AI292*2)-AH248</f>
        <v>11385.870339105928</v>
      </c>
      <c r="AJ248" s="98">
        <f>(AJ13/AJ292*2)-AI248</f>
        <v>10600.021301316912</v>
      </c>
      <c r="AK248" s="98">
        <f>(AK13/AK292*2)-AJ248</f>
        <v>11171.64616353187</v>
      </c>
      <c r="AL248" s="99">
        <f>AK248</f>
        <v>11171.64616353187</v>
      </c>
      <c r="AM248" s="98">
        <f>(AM13/AM292*2)-AK248</f>
        <v>10075.783145434274</v>
      </c>
      <c r="AN248" s="98">
        <f>(AN13/AN292*2)-AM248</f>
        <v>12023.248077465934</v>
      </c>
      <c r="AO248" s="98">
        <f>(AO13/AO292*2)-AN248</f>
        <v>10993.923863155276</v>
      </c>
      <c r="AP248" s="98">
        <f>(AP13/AP292*2)-AO248</f>
        <v>11768.996433155309</v>
      </c>
      <c r="AQ248" s="99">
        <f>AP248</f>
        <v>11768.996433155309</v>
      </c>
    </row>
    <row r="249" spans="1:43" ht="14.4" customHeight="1" outlineLevel="1" x14ac:dyDescent="0.3">
      <c r="B249" s="296" t="s">
        <v>211</v>
      </c>
      <c r="C249" s="297"/>
      <c r="D249" s="105">
        <v>488</v>
      </c>
      <c r="E249" s="98">
        <v>493</v>
      </c>
      <c r="F249" s="98">
        <v>476</v>
      </c>
      <c r="G249" s="98">
        <v>496</v>
      </c>
      <c r="H249" s="99">
        <f>G249</f>
        <v>496</v>
      </c>
      <c r="I249" s="98">
        <v>512</v>
      </c>
      <c r="J249" s="105">
        <v>517</v>
      </c>
      <c r="K249" s="105">
        <v>527</v>
      </c>
      <c r="L249" s="98">
        <v>514</v>
      </c>
      <c r="M249" s="99">
        <f>L249</f>
        <v>514</v>
      </c>
      <c r="N249" s="105">
        <v>516</v>
      </c>
      <c r="O249" s="98">
        <v>533</v>
      </c>
      <c r="P249" s="98">
        <v>523</v>
      </c>
      <c r="Q249" s="144">
        <v>525</v>
      </c>
      <c r="R249" s="175">
        <f>Q249</f>
        <v>525</v>
      </c>
      <c r="S249" s="144">
        <v>523</v>
      </c>
      <c r="T249" s="144">
        <f>+T253*T294</f>
        <v>555.11328511211821</v>
      </c>
      <c r="U249" s="144">
        <f>+U253*U294</f>
        <v>563.09395143962638</v>
      </c>
      <c r="V249" s="144">
        <f>+V253*V294</f>
        <v>576.01634997911549</v>
      </c>
      <c r="W249" s="99">
        <f>V249</f>
        <v>576.01634997911549</v>
      </c>
      <c r="X249" s="144">
        <f>+X253*X294</f>
        <v>588.73876636841328</v>
      </c>
      <c r="Y249" s="144">
        <f>+Y253*Y294</f>
        <v>605.92919815044058</v>
      </c>
      <c r="Z249" s="144">
        <f>+Z253*Z294</f>
        <v>618.87727191346937</v>
      </c>
      <c r="AA249" s="144">
        <f>+AA253*AA294</f>
        <v>633.68775930283073</v>
      </c>
      <c r="AB249" s="99">
        <f>AA249</f>
        <v>633.68775930283073</v>
      </c>
      <c r="AC249" s="144">
        <f>+AC253*AC294</f>
        <v>648.28506896585225</v>
      </c>
      <c r="AD249" s="144">
        <f>+AD253*AD294</f>
        <v>663.66559798039236</v>
      </c>
      <c r="AE249" s="144">
        <f>+AE253*AE294</f>
        <v>678.5329048415839</v>
      </c>
      <c r="AF249" s="144">
        <f>+AF253*AF294</f>
        <v>694.42069480063117</v>
      </c>
      <c r="AG249" s="99">
        <f>AF249</f>
        <v>694.42069480063117</v>
      </c>
      <c r="AH249" s="144">
        <f>+AH253*AH294</f>
        <v>709.7403941797794</v>
      </c>
      <c r="AI249" s="144">
        <f>+AI253*AI294</f>
        <v>725.52407274114717</v>
      </c>
      <c r="AJ249" s="144">
        <f>+AJ253*AJ294</f>
        <v>741.43567231747068</v>
      </c>
      <c r="AK249" s="144">
        <f>+AK253*AK294</f>
        <v>758.14470807727355</v>
      </c>
      <c r="AL249" s="99">
        <f>AK249</f>
        <v>758.14470807727355</v>
      </c>
      <c r="AM249" s="144">
        <f>+AM253*AM294</f>
        <v>774.16661938710024</v>
      </c>
      <c r="AN249" s="144">
        <f>+AN253*AN294</f>
        <v>790.64809467784107</v>
      </c>
      <c r="AO249" s="144">
        <f>+AO253*AO294</f>
        <v>807.3595655472019</v>
      </c>
      <c r="AP249" s="144">
        <f>+AP253*AP294</f>
        <v>824.82311492049735</v>
      </c>
      <c r="AQ249" s="99">
        <f>AP249</f>
        <v>824.82311492049735</v>
      </c>
    </row>
    <row r="250" spans="1:43" ht="14.4" customHeight="1" outlineLevel="1" x14ac:dyDescent="0.3">
      <c r="B250" s="645" t="s">
        <v>212</v>
      </c>
      <c r="C250" s="646"/>
      <c r="D250" s="105">
        <v>606</v>
      </c>
      <c r="E250" s="105">
        <v>687</v>
      </c>
      <c r="F250" s="105">
        <v>608</v>
      </c>
      <c r="G250" s="105">
        <v>0</v>
      </c>
      <c r="H250" s="99">
        <f>G250</f>
        <v>0</v>
      </c>
      <c r="I250" s="105">
        <v>0</v>
      </c>
      <c r="J250" s="105">
        <f>I250</f>
        <v>0</v>
      </c>
      <c r="K250" s="105">
        <f>J250</f>
        <v>0</v>
      </c>
      <c r="L250" s="105">
        <f>K250</f>
        <v>0</v>
      </c>
      <c r="M250" s="99">
        <f>L250</f>
        <v>0</v>
      </c>
      <c r="N250" s="105">
        <f>M250</f>
        <v>0</v>
      </c>
      <c r="O250" s="105">
        <v>0</v>
      </c>
      <c r="P250" s="105">
        <v>0</v>
      </c>
      <c r="Q250" s="105">
        <v>0</v>
      </c>
      <c r="R250" s="99">
        <f>Q250</f>
        <v>0</v>
      </c>
      <c r="S250" s="105">
        <v>0</v>
      </c>
      <c r="T250" s="105">
        <v>0</v>
      </c>
      <c r="U250" s="105">
        <v>0</v>
      </c>
      <c r="V250" s="105">
        <v>0</v>
      </c>
      <c r="W250" s="99">
        <f>V250</f>
        <v>0</v>
      </c>
      <c r="X250" s="105">
        <v>0</v>
      </c>
      <c r="Y250" s="105">
        <v>0</v>
      </c>
      <c r="Z250" s="105">
        <v>0</v>
      </c>
      <c r="AA250" s="105">
        <v>0</v>
      </c>
      <c r="AB250" s="99">
        <f>AA250</f>
        <v>0</v>
      </c>
      <c r="AC250" s="105">
        <v>0</v>
      </c>
      <c r="AD250" s="105">
        <v>0</v>
      </c>
      <c r="AE250" s="105">
        <v>0</v>
      </c>
      <c r="AF250" s="105">
        <v>0</v>
      </c>
      <c r="AG250" s="99">
        <f>AF250</f>
        <v>0</v>
      </c>
      <c r="AH250" s="105">
        <v>0</v>
      </c>
      <c r="AI250" s="105">
        <v>0</v>
      </c>
      <c r="AJ250" s="105">
        <v>0</v>
      </c>
      <c r="AK250" s="105">
        <v>0</v>
      </c>
      <c r="AL250" s="99">
        <f>AK250</f>
        <v>0</v>
      </c>
      <c r="AM250" s="105">
        <v>0</v>
      </c>
      <c r="AN250" s="105">
        <v>0</v>
      </c>
      <c r="AO250" s="105">
        <v>0</v>
      </c>
      <c r="AP250" s="105">
        <v>0</v>
      </c>
      <c r="AQ250" s="99">
        <f>AP250</f>
        <v>0</v>
      </c>
    </row>
    <row r="251" spans="1:43" ht="16.2" customHeight="1" outlineLevel="1" x14ac:dyDescent="0.45">
      <c r="B251" s="645" t="s">
        <v>308</v>
      </c>
      <c r="C251" s="646"/>
      <c r="D251" s="106">
        <v>449</v>
      </c>
      <c r="E251" s="106">
        <v>460</v>
      </c>
      <c r="F251" s="106">
        <v>678</v>
      </c>
      <c r="G251" s="106">
        <v>707</v>
      </c>
      <c r="H251" s="104">
        <f>G251</f>
        <v>707</v>
      </c>
      <c r="I251" s="106">
        <v>667</v>
      </c>
      <c r="J251" s="106">
        <v>901</v>
      </c>
      <c r="K251" s="106">
        <v>820</v>
      </c>
      <c r="L251" s="106">
        <v>546</v>
      </c>
      <c r="M251" s="104">
        <f>L251</f>
        <v>546</v>
      </c>
      <c r="N251" s="106">
        <v>697</v>
      </c>
      <c r="O251" s="106">
        <v>925</v>
      </c>
      <c r="P251" s="106">
        <v>1592</v>
      </c>
      <c r="Q251" s="106">
        <v>1040</v>
      </c>
      <c r="R251" s="104">
        <f>Q251</f>
        <v>1040</v>
      </c>
      <c r="S251" s="106">
        <v>1033</v>
      </c>
      <c r="T251" s="247">
        <f>AVERAGE(O251,P251,Q251,S251)</f>
        <v>1147.5</v>
      </c>
      <c r="U251" s="247">
        <f>AVERAGE(P251,Q251,S251,T251)</f>
        <v>1203.125</v>
      </c>
      <c r="V251" s="247">
        <f>AVERAGE(Q251,S251,T251,U251)</f>
        <v>1105.90625</v>
      </c>
      <c r="W251" s="104">
        <f>V251</f>
        <v>1105.90625</v>
      </c>
      <c r="X251" s="247">
        <f>AVERAGE(S251,T251,U251,V251)</f>
        <v>1122.3828125</v>
      </c>
      <c r="Y251" s="247">
        <f>AVERAGE(T251,U251,V251,X251)</f>
        <v>1144.728515625</v>
      </c>
      <c r="Z251" s="247">
        <f>AVERAGE(U251,V251,X251,Y251)</f>
        <v>1144.03564453125</v>
      </c>
      <c r="AA251" s="247">
        <f>AVERAGE(V251,X251,Y251,Z251)</f>
        <v>1129.2633056640625</v>
      </c>
      <c r="AB251" s="104">
        <f>AA251</f>
        <v>1129.2633056640625</v>
      </c>
      <c r="AC251" s="247">
        <f>AVERAGE(X251,Y251,Z251,AA251)</f>
        <v>1135.1025695800781</v>
      </c>
      <c r="AD251" s="247">
        <f>AVERAGE(Y251,Z251,AA251,AC251)</f>
        <v>1138.2825088500977</v>
      </c>
      <c r="AE251" s="247">
        <f>AVERAGE(Z251,AA251,AC251,AD251)</f>
        <v>1136.6710071563721</v>
      </c>
      <c r="AF251" s="247">
        <f>AVERAGE(AA251,AC251,AD251,AE251)</f>
        <v>1134.8298478126526</v>
      </c>
      <c r="AG251" s="104">
        <f>AF251</f>
        <v>1134.8298478126526</v>
      </c>
      <c r="AH251" s="247">
        <f>AVERAGE(AC251,AD251,AE251,AF251)</f>
        <v>1136.2214833498001</v>
      </c>
      <c r="AI251" s="247">
        <f>AVERAGE(AD251,AE251,AF251,AH251)</f>
        <v>1136.5012117922306</v>
      </c>
      <c r="AJ251" s="247">
        <f>AVERAGE(AE251,AF251,AH251,AI251)</f>
        <v>1136.0558875277638</v>
      </c>
      <c r="AK251" s="247">
        <f>AVERAGE(AF251,AH251,AI251,AJ251)</f>
        <v>1135.9021076206118</v>
      </c>
      <c r="AL251" s="104">
        <f>AK251</f>
        <v>1135.9021076206118</v>
      </c>
      <c r="AM251" s="247">
        <f>AVERAGE(AH251,AI251,AJ251,AK251)</f>
        <v>1136.1701725726016</v>
      </c>
      <c r="AN251" s="247">
        <f>AVERAGE(AI251,AJ251,AK251,AM251)</f>
        <v>1136.157344878302</v>
      </c>
      <c r="AO251" s="247">
        <f>AVERAGE(AJ251,AK251,AM251,AN251)</f>
        <v>1136.0713781498198</v>
      </c>
      <c r="AP251" s="247">
        <f>AVERAGE(AK251,AM251,AN251,AO251)</f>
        <v>1136.0752508053338</v>
      </c>
      <c r="AQ251" s="104">
        <f>AP251</f>
        <v>1136.0752508053338</v>
      </c>
    </row>
    <row r="252" spans="1:43" ht="14.4" customHeight="1" outlineLevel="1" x14ac:dyDescent="0.3">
      <c r="B252" s="294" t="s">
        <v>4</v>
      </c>
      <c r="C252" s="295"/>
      <c r="D252" s="114">
        <f t="shared" ref="D252:AQ252" si="62">SUM(D247:D251)</f>
        <v>10703</v>
      </c>
      <c r="E252" s="112">
        <f t="shared" si="62"/>
        <v>11152</v>
      </c>
      <c r="F252" s="114">
        <f t="shared" si="62"/>
        <v>10237</v>
      </c>
      <c r="G252" s="114">
        <f t="shared" si="62"/>
        <v>11989</v>
      </c>
      <c r="H252" s="113">
        <f t="shared" si="62"/>
        <v>11989</v>
      </c>
      <c r="I252" s="112">
        <f t="shared" si="62"/>
        <v>11401</v>
      </c>
      <c r="J252" s="114">
        <f t="shared" si="62"/>
        <v>12052</v>
      </c>
      <c r="K252" s="114">
        <f t="shared" si="62"/>
        <v>11938</v>
      </c>
      <c r="L252" s="114">
        <f t="shared" si="62"/>
        <v>12628</v>
      </c>
      <c r="M252" s="113">
        <f t="shared" si="62"/>
        <v>12628</v>
      </c>
      <c r="N252" s="114">
        <f t="shared" si="62"/>
        <v>12722</v>
      </c>
      <c r="O252" s="112">
        <f t="shared" si="62"/>
        <v>12881</v>
      </c>
      <c r="P252" s="112">
        <f t="shared" si="62"/>
        <v>13575</v>
      </c>
      <c r="Q252" s="114">
        <f t="shared" si="62"/>
        <v>13352.125785999997</v>
      </c>
      <c r="R252" s="113">
        <f t="shared" si="62"/>
        <v>13352.125785999997</v>
      </c>
      <c r="S252" s="114">
        <f t="shared" si="62"/>
        <v>12641.125785999997</v>
      </c>
      <c r="T252" s="112">
        <f t="shared" si="62"/>
        <v>14003.037838978424</v>
      </c>
      <c r="U252" s="112">
        <f t="shared" si="62"/>
        <v>13966.174590875849</v>
      </c>
      <c r="V252" s="112">
        <f t="shared" si="62"/>
        <v>16436.904007404111</v>
      </c>
      <c r="W252" s="113">
        <f t="shared" si="62"/>
        <v>16436.904007404111</v>
      </c>
      <c r="X252" s="112">
        <f t="shared" si="62"/>
        <v>16813.481072751423</v>
      </c>
      <c r="Y252" s="112">
        <f t="shared" si="62"/>
        <v>18643.058930517189</v>
      </c>
      <c r="Z252" s="112">
        <f t="shared" si="62"/>
        <v>18862.847244759367</v>
      </c>
      <c r="AA252" s="112">
        <f t="shared" si="62"/>
        <v>21726.56536066312</v>
      </c>
      <c r="AB252" s="113">
        <f t="shared" si="62"/>
        <v>21726.56536066312</v>
      </c>
      <c r="AC252" s="112">
        <f t="shared" si="62"/>
        <v>22131.196497241879</v>
      </c>
      <c r="AD252" s="112">
        <f t="shared" si="62"/>
        <v>24606.2798134447</v>
      </c>
      <c r="AE252" s="112">
        <f t="shared" si="62"/>
        <v>24755.096412485658</v>
      </c>
      <c r="AF252" s="112">
        <f t="shared" si="62"/>
        <v>28256.580488662148</v>
      </c>
      <c r="AG252" s="113">
        <f t="shared" si="62"/>
        <v>28256.580488662148</v>
      </c>
      <c r="AH252" s="112">
        <f t="shared" si="62"/>
        <v>28303.048222835572</v>
      </c>
      <c r="AI252" s="112">
        <f t="shared" si="62"/>
        <v>30949.715658115663</v>
      </c>
      <c r="AJ252" s="112">
        <f t="shared" si="62"/>
        <v>30732.397563489321</v>
      </c>
      <c r="AK252" s="112">
        <f t="shared" si="62"/>
        <v>34505.433564435167</v>
      </c>
      <c r="AL252" s="113">
        <f t="shared" si="62"/>
        <v>34505.433564435167</v>
      </c>
      <c r="AM252" s="112">
        <f t="shared" si="62"/>
        <v>34354.807392428993</v>
      </c>
      <c r="AN252" s="112">
        <f t="shared" si="62"/>
        <v>37381.838244180544</v>
      </c>
      <c r="AO252" s="112">
        <f t="shared" si="62"/>
        <v>36941.309155641095</v>
      </c>
      <c r="AP252" s="112">
        <f t="shared" si="62"/>
        <v>41124.257917260962</v>
      </c>
      <c r="AQ252" s="113">
        <f t="shared" si="62"/>
        <v>41124.257917260962</v>
      </c>
    </row>
    <row r="253" spans="1:43" outlineLevel="1" x14ac:dyDescent="0.3">
      <c r="B253" s="300" t="s">
        <v>304</v>
      </c>
      <c r="C253" s="295"/>
      <c r="D253" s="105">
        <v>43989</v>
      </c>
      <c r="E253" s="105">
        <v>45242</v>
      </c>
      <c r="F253" s="105">
        <v>46032</v>
      </c>
      <c r="G253" s="105">
        <v>47018</v>
      </c>
      <c r="H253" s="99">
        <f>G253</f>
        <v>47018</v>
      </c>
      <c r="I253" s="105">
        <v>48121</v>
      </c>
      <c r="J253" s="105">
        <v>48918</v>
      </c>
      <c r="K253" s="105">
        <v>49752</v>
      </c>
      <c r="L253" s="105">
        <v>50626</v>
      </c>
      <c r="M253" s="99">
        <f>L253</f>
        <v>50626</v>
      </c>
      <c r="N253" s="105">
        <v>51540</v>
      </c>
      <c r="O253" s="105">
        <v>53240</v>
      </c>
      <c r="P253" s="105">
        <v>54377</v>
      </c>
      <c r="Q253" s="105">
        <v>55121</v>
      </c>
      <c r="R253" s="99">
        <f>Q253</f>
        <v>55121</v>
      </c>
      <c r="S253" s="105">
        <v>56326</v>
      </c>
      <c r="T253" s="105">
        <f>S253-T325</f>
        <v>57765.572500000002</v>
      </c>
      <c r="U253" s="105">
        <f>T253-U325</f>
        <v>59214.565300000002</v>
      </c>
      <c r="V253" s="105">
        <f>U253-V325</f>
        <v>60747</v>
      </c>
      <c r="W253" s="99">
        <f>V253</f>
        <v>60747</v>
      </c>
      <c r="X253" s="105">
        <f>V253-X325</f>
        <v>62158.004551726859</v>
      </c>
      <c r="Y253" s="105">
        <f>X253-Y325</f>
        <v>63659.710844904366</v>
      </c>
      <c r="Z253" s="105">
        <f>Y253-Z325</f>
        <v>65176.702885775216</v>
      </c>
      <c r="AA253" s="105">
        <f>Z253-AA325</f>
        <v>66761.081192890168</v>
      </c>
      <c r="AB253" s="99">
        <f>AA253</f>
        <v>66761.081192890168</v>
      </c>
      <c r="AC253" s="105">
        <f>AA253-AC325</f>
        <v>68281.591898037979</v>
      </c>
      <c r="AD253" s="105">
        <f>AC253-AD325</f>
        <v>69859.92380191783</v>
      </c>
      <c r="AE253" s="105">
        <f>AD253-AE325</f>
        <v>71459.33522132966</v>
      </c>
      <c r="AF253" s="105">
        <f>AE253-AF325</f>
        <v>73132.558085816097</v>
      </c>
      <c r="AG253" s="99">
        <f>AF253</f>
        <v>73132.558085816097</v>
      </c>
      <c r="AH253" s="105">
        <f>AF253-AH325</f>
        <v>74739.064744324118</v>
      </c>
      <c r="AI253" s="105">
        <f>AH253-AI325</f>
        <v>76397.226887392128</v>
      </c>
      <c r="AJ253" s="105">
        <f>AI253-AJ325</f>
        <v>78079.314946241648</v>
      </c>
      <c r="AK253" s="105">
        <f>AJ253-AK325</f>
        <v>79837.740948207444</v>
      </c>
      <c r="AL253" s="99">
        <f>AK253</f>
        <v>79837.740948207444</v>
      </c>
      <c r="AM253" s="105">
        <f>AK253-AM325</f>
        <v>81523.455433948417</v>
      </c>
      <c r="AN253" s="105">
        <f>AM253-AN325</f>
        <v>83259.033884031727</v>
      </c>
      <c r="AO253" s="105">
        <f>AN253-AO325</f>
        <v>85019.926743958393</v>
      </c>
      <c r="AP253" s="105">
        <f>AO253-AP325</f>
        <v>86858.506594718798</v>
      </c>
      <c r="AQ253" s="99">
        <f>AP253</f>
        <v>86858.506594718798</v>
      </c>
    </row>
    <row r="254" spans="1:43" ht="16.2" outlineLevel="1" x14ac:dyDescent="0.45">
      <c r="B254" s="128" t="s">
        <v>213</v>
      </c>
      <c r="C254" s="295"/>
      <c r="D254" s="106">
        <v>22506</v>
      </c>
      <c r="E254" s="106">
        <v>22964</v>
      </c>
      <c r="F254" s="106">
        <v>23480</v>
      </c>
      <c r="G254" s="106">
        <v>22734</v>
      </c>
      <c r="H254" s="104">
        <f>G254</f>
        <v>22734</v>
      </c>
      <c r="I254" s="106">
        <v>23317</v>
      </c>
      <c r="J254" s="106">
        <v>23611</v>
      </c>
      <c r="K254" s="106">
        <v>24139</v>
      </c>
      <c r="L254" s="106">
        <v>24645</v>
      </c>
      <c r="M254" s="104">
        <f>L254</f>
        <v>24645</v>
      </c>
      <c r="N254" s="106">
        <v>25305</v>
      </c>
      <c r="O254" s="106">
        <v>25950</v>
      </c>
      <c r="P254" s="106">
        <v>26680</v>
      </c>
      <c r="Q254" s="106">
        <v>26967</v>
      </c>
      <c r="R254" s="104">
        <f>Q254</f>
        <v>26967</v>
      </c>
      <c r="S254" s="106">
        <v>27547</v>
      </c>
      <c r="T254" s="106">
        <f>+S254+T310</f>
        <v>28290.577941909807</v>
      </c>
      <c r="U254" s="106">
        <f>+T254+U310</f>
        <v>29043.599518090374</v>
      </c>
      <c r="V254" s="106">
        <f>+U254+V310</f>
        <v>29815.990789584037</v>
      </c>
      <c r="W254" s="104">
        <f>V254</f>
        <v>29815.990789584037</v>
      </c>
      <c r="X254" s="106">
        <f>+V254+X310</f>
        <v>30617.009202534638</v>
      </c>
      <c r="Y254" s="106">
        <f>+X254+Y310</f>
        <v>31437.010854018761</v>
      </c>
      <c r="Z254" s="106">
        <f>+Y254+Z310</f>
        <v>32266.899316552353</v>
      </c>
      <c r="AA254" s="106">
        <f>+Z254+AA310</f>
        <v>33116.900959975319</v>
      </c>
      <c r="AB254" s="104">
        <f>AA254</f>
        <v>33116.900959975319</v>
      </c>
      <c r="AC254" s="106">
        <f>+AA254+AC310</f>
        <v>33997.025150804147</v>
      </c>
      <c r="AD254" s="106">
        <f>+AC254+AD310</f>
        <v>34897.345671291972</v>
      </c>
      <c r="AE254" s="106">
        <f>+AD254+AE310</f>
        <v>35808.090161100699</v>
      </c>
      <c r="AF254" s="106">
        <f>+AE254+AF310</f>
        <v>36740.026263485968</v>
      </c>
      <c r="AG254" s="104">
        <f>AF254</f>
        <v>36740.026263485968</v>
      </c>
      <c r="AH254" s="106">
        <f>+AF254+AH310</f>
        <v>37703.761573303869</v>
      </c>
      <c r="AI254" s="106">
        <f>+AH254+AI310</f>
        <v>38688.773964814136</v>
      </c>
      <c r="AJ254" s="106">
        <f>+AI254+AJ310</f>
        <v>39684.749160583327</v>
      </c>
      <c r="AK254" s="106">
        <f>+AJ254+AK310</f>
        <v>40702.991553881395</v>
      </c>
      <c r="AL254" s="104">
        <f>AK254</f>
        <v>40702.991553881395</v>
      </c>
      <c r="AM254" s="106">
        <f>+AK254+AM310</f>
        <v>41754.643518008255</v>
      </c>
      <c r="AN254" s="106">
        <f>+AM254+AN310</f>
        <v>42828.593342565524</v>
      </c>
      <c r="AO254" s="106">
        <f>+AN254+AO310</f>
        <v>43914.019572084326</v>
      </c>
      <c r="AP254" s="106">
        <f>+AO254+AP310</f>
        <v>45022.73994345047</v>
      </c>
      <c r="AQ254" s="104">
        <f>AP254</f>
        <v>45022.73994345047</v>
      </c>
    </row>
    <row r="255" spans="1:43" s="60" customFormat="1" outlineLevel="1" x14ac:dyDescent="0.3">
      <c r="B255" s="294" t="s">
        <v>305</v>
      </c>
      <c r="C255" s="295"/>
      <c r="D255" s="114">
        <f t="shared" ref="D255:AQ255" si="63">+D253-D254</f>
        <v>21483</v>
      </c>
      <c r="E255" s="114">
        <f t="shared" si="63"/>
        <v>22278</v>
      </c>
      <c r="F255" s="114">
        <f t="shared" si="63"/>
        <v>22552</v>
      </c>
      <c r="G255" s="114">
        <f t="shared" si="63"/>
        <v>24284</v>
      </c>
      <c r="H255" s="113">
        <f t="shared" si="63"/>
        <v>24284</v>
      </c>
      <c r="I255" s="114">
        <f t="shared" si="63"/>
        <v>24804</v>
      </c>
      <c r="J255" s="114">
        <f t="shared" si="63"/>
        <v>25307</v>
      </c>
      <c r="K255" s="114">
        <f t="shared" si="63"/>
        <v>25613</v>
      </c>
      <c r="L255" s="114">
        <f t="shared" si="63"/>
        <v>25981</v>
      </c>
      <c r="M255" s="113">
        <f t="shared" si="63"/>
        <v>25981</v>
      </c>
      <c r="N255" s="114">
        <f t="shared" si="63"/>
        <v>26235</v>
      </c>
      <c r="O255" s="114">
        <f t="shared" si="63"/>
        <v>27290</v>
      </c>
      <c r="P255" s="114">
        <f t="shared" si="63"/>
        <v>27697</v>
      </c>
      <c r="Q255" s="114">
        <f t="shared" si="63"/>
        <v>28154</v>
      </c>
      <c r="R255" s="113">
        <f t="shared" si="63"/>
        <v>28154</v>
      </c>
      <c r="S255" s="114">
        <f t="shared" si="63"/>
        <v>28779</v>
      </c>
      <c r="T255" s="114">
        <f t="shared" si="63"/>
        <v>29474.994558090195</v>
      </c>
      <c r="U255" s="114">
        <f t="shared" si="63"/>
        <v>30170.965781909628</v>
      </c>
      <c r="V255" s="114">
        <f t="shared" si="63"/>
        <v>30931.009210415963</v>
      </c>
      <c r="W255" s="113">
        <f t="shared" si="63"/>
        <v>30931.009210415963</v>
      </c>
      <c r="X255" s="114">
        <f t="shared" si="63"/>
        <v>31540.995349192221</v>
      </c>
      <c r="Y255" s="114">
        <f t="shared" si="63"/>
        <v>32222.699990885605</v>
      </c>
      <c r="Z255" s="114">
        <f t="shared" si="63"/>
        <v>32909.803569222859</v>
      </c>
      <c r="AA255" s="114">
        <f t="shared" si="63"/>
        <v>33644.180232914849</v>
      </c>
      <c r="AB255" s="113">
        <f t="shared" si="63"/>
        <v>33644.180232914849</v>
      </c>
      <c r="AC255" s="114">
        <f t="shared" si="63"/>
        <v>34284.566747233832</v>
      </c>
      <c r="AD255" s="114">
        <f t="shared" si="63"/>
        <v>34962.578130625858</v>
      </c>
      <c r="AE255" s="114">
        <f t="shared" si="63"/>
        <v>35651.245060228961</v>
      </c>
      <c r="AF255" s="114">
        <f t="shared" si="63"/>
        <v>36392.531822330129</v>
      </c>
      <c r="AG255" s="113">
        <f t="shared" si="63"/>
        <v>36392.531822330129</v>
      </c>
      <c r="AH255" s="114">
        <f t="shared" si="63"/>
        <v>37035.303171020249</v>
      </c>
      <c r="AI255" s="114">
        <f t="shared" si="63"/>
        <v>37708.452922577992</v>
      </c>
      <c r="AJ255" s="114">
        <f t="shared" si="63"/>
        <v>38394.56578565832</v>
      </c>
      <c r="AK255" s="114">
        <f t="shared" si="63"/>
        <v>39134.749394326049</v>
      </c>
      <c r="AL255" s="113">
        <f t="shared" si="63"/>
        <v>39134.749394326049</v>
      </c>
      <c r="AM255" s="114">
        <f t="shared" si="63"/>
        <v>39768.811915940161</v>
      </c>
      <c r="AN255" s="114">
        <f t="shared" si="63"/>
        <v>40430.440541466203</v>
      </c>
      <c r="AO255" s="114">
        <f t="shared" si="63"/>
        <v>41105.907171874067</v>
      </c>
      <c r="AP255" s="114">
        <f t="shared" si="63"/>
        <v>41835.766651268328</v>
      </c>
      <c r="AQ255" s="113">
        <f t="shared" si="63"/>
        <v>41835.766651268328</v>
      </c>
    </row>
    <row r="256" spans="1:43" outlineLevel="1" x14ac:dyDescent="0.3">
      <c r="B256" s="645" t="s">
        <v>44</v>
      </c>
      <c r="C256" s="646"/>
      <c r="D256" s="105">
        <v>3792</v>
      </c>
      <c r="E256" s="105">
        <v>3806</v>
      </c>
      <c r="F256" s="105">
        <v>3764</v>
      </c>
      <c r="G256" s="105">
        <v>6747</v>
      </c>
      <c r="H256" s="99">
        <f>G256</f>
        <v>6747</v>
      </c>
      <c r="I256" s="105">
        <v>6783</v>
      </c>
      <c r="J256" s="105">
        <v>6921</v>
      </c>
      <c r="K256" s="105">
        <v>7000</v>
      </c>
      <c r="L256" s="105">
        <v>7154</v>
      </c>
      <c r="M256" s="99">
        <f>L256</f>
        <v>7154</v>
      </c>
      <c r="N256" s="105">
        <v>7382</v>
      </c>
      <c r="O256" s="105">
        <v>7325</v>
      </c>
      <c r="P256" s="105">
        <v>7464</v>
      </c>
      <c r="Q256" s="105">
        <v>6973</v>
      </c>
      <c r="R256" s="99">
        <f>+Q256</f>
        <v>6973</v>
      </c>
      <c r="S256" s="105">
        <v>6869</v>
      </c>
      <c r="T256" s="249">
        <f>S256*(1+(2%/4))</f>
        <v>6903.3449999999993</v>
      </c>
      <c r="U256" s="249">
        <f>T256*(1+(2%/4))</f>
        <v>6937.8617249999988</v>
      </c>
      <c r="V256" s="249">
        <f>U256*(1+(2%/4))</f>
        <v>6972.5510336249981</v>
      </c>
      <c r="W256" s="99">
        <f>V256</f>
        <v>6972.5510336249981</v>
      </c>
      <c r="X256" s="249">
        <f>V256*(1+(2%/4))</f>
        <v>7007.413788793122</v>
      </c>
      <c r="Y256" s="249">
        <f>X256*(1+(2%/4))</f>
        <v>7042.4508577370871</v>
      </c>
      <c r="Z256" s="249">
        <f>Y256*(1+(2%/4))</f>
        <v>7077.6631120257716</v>
      </c>
      <c r="AA256" s="249">
        <f>Z256*(1+(2%/4))</f>
        <v>7113.0514275858995</v>
      </c>
      <c r="AB256" s="99">
        <f>AA256</f>
        <v>7113.0514275858995</v>
      </c>
      <c r="AC256" s="249">
        <f>AA256*(1+(2%/4))</f>
        <v>7148.6166847238283</v>
      </c>
      <c r="AD256" s="249">
        <f>AC256*(1+(2%/4))</f>
        <v>7184.3597681474466</v>
      </c>
      <c r="AE256" s="249">
        <f>AD256*(1+(2%/4))</f>
        <v>7220.2815669881829</v>
      </c>
      <c r="AF256" s="249">
        <f>AE256*(1+(2%/4))</f>
        <v>7256.3829748231228</v>
      </c>
      <c r="AG256" s="99">
        <f>AF256</f>
        <v>7256.3829748231228</v>
      </c>
      <c r="AH256" s="249">
        <f>AF256*(1+(2%/4))</f>
        <v>7292.6648896972374</v>
      </c>
      <c r="AI256" s="249">
        <f>AH256*(1+(2%/4))</f>
        <v>7329.1282141457232</v>
      </c>
      <c r="AJ256" s="249">
        <f>AI256*(1+(2%/4))</f>
        <v>7365.773855216451</v>
      </c>
      <c r="AK256" s="249">
        <f>AJ256*(1+(2%/4))</f>
        <v>7402.6027244925326</v>
      </c>
      <c r="AL256" s="99">
        <f>AK256</f>
        <v>7402.6027244925326</v>
      </c>
      <c r="AM256" s="249">
        <f>AK256*(1+(2%/4))</f>
        <v>7439.6157381149942</v>
      </c>
      <c r="AN256" s="249">
        <f>AM256*(1+(2%/4))</f>
        <v>7476.8138168055684</v>
      </c>
      <c r="AO256" s="249">
        <f>AN256*(1+(2%/4))</f>
        <v>7514.1978858895955</v>
      </c>
      <c r="AP256" s="249">
        <f>AO256*(1+(2%/4))</f>
        <v>7551.7688753190423</v>
      </c>
      <c r="AQ256" s="99">
        <f>AP256</f>
        <v>7551.7688753190423</v>
      </c>
    </row>
    <row r="257" spans="2:43" ht="16.2" outlineLevel="1" x14ac:dyDescent="0.45">
      <c r="B257" s="645" t="s">
        <v>214</v>
      </c>
      <c r="C257" s="646"/>
      <c r="D257" s="106">
        <v>1267</v>
      </c>
      <c r="E257" s="106">
        <v>1135</v>
      </c>
      <c r="F257" s="106">
        <v>1266</v>
      </c>
      <c r="G257" s="106">
        <v>2939</v>
      </c>
      <c r="H257" s="104">
        <f>G257</f>
        <v>2939</v>
      </c>
      <c r="I257" s="106">
        <v>2587</v>
      </c>
      <c r="J257" s="106">
        <v>2068</v>
      </c>
      <c r="K257" s="106">
        <v>2230</v>
      </c>
      <c r="L257" s="106">
        <v>2789</v>
      </c>
      <c r="M257" s="104">
        <f>L257</f>
        <v>2789</v>
      </c>
      <c r="N257" s="106">
        <v>3011</v>
      </c>
      <c r="O257" s="106">
        <v>2785</v>
      </c>
      <c r="P257" s="106">
        <v>3115</v>
      </c>
      <c r="Q257" s="106">
        <v>3821</v>
      </c>
      <c r="R257" s="104">
        <f>Q257</f>
        <v>3821</v>
      </c>
      <c r="S257" s="106">
        <v>3612</v>
      </c>
      <c r="T257" s="247">
        <f>S257*(1+(5%/4))</f>
        <v>3657.1499999999996</v>
      </c>
      <c r="U257" s="247">
        <f>T257*(1+(5%/4))</f>
        <v>3702.8643749999997</v>
      </c>
      <c r="V257" s="247">
        <f>U257*(1+(5%/4))</f>
        <v>3749.1501796874995</v>
      </c>
      <c r="W257" s="104">
        <f>V257</f>
        <v>3749.1501796874995</v>
      </c>
      <c r="X257" s="247">
        <f>V257*(1+(5%/4))</f>
        <v>3796.0145569335932</v>
      </c>
      <c r="Y257" s="247">
        <f>X257*(1+(5%/4))</f>
        <v>3843.4647388952631</v>
      </c>
      <c r="Z257" s="247">
        <f>Y257*(1+(5%/4))</f>
        <v>3891.5080481314535</v>
      </c>
      <c r="AA257" s="247">
        <f>Z257*(1+(5%/4))</f>
        <v>3940.1518987330965</v>
      </c>
      <c r="AB257" s="104">
        <f>AA257</f>
        <v>3940.1518987330965</v>
      </c>
      <c r="AC257" s="247">
        <f>AA257*(1+(5%/4))</f>
        <v>3989.4037974672601</v>
      </c>
      <c r="AD257" s="247">
        <f>AC257*(1+(5%/4))</f>
        <v>4039.2713449356006</v>
      </c>
      <c r="AE257" s="247">
        <f>AD257*(1+(5%/4))</f>
        <v>4089.7622367472954</v>
      </c>
      <c r="AF257" s="247">
        <f>AE257*(1+(5%/4))</f>
        <v>4140.8842647066367</v>
      </c>
      <c r="AG257" s="104">
        <f>AF257</f>
        <v>4140.8842647066367</v>
      </c>
      <c r="AH257" s="247">
        <f>AF257*(1+(5%/4))</f>
        <v>4192.6453180154695</v>
      </c>
      <c r="AI257" s="247">
        <f>AH257*(1+(5%/4))</f>
        <v>4245.0533844906622</v>
      </c>
      <c r="AJ257" s="247">
        <f>AI257*(1+(5%/4))</f>
        <v>4298.1165517967956</v>
      </c>
      <c r="AK257" s="247">
        <f>AJ257*(1+(5%/4))</f>
        <v>4351.8430086942553</v>
      </c>
      <c r="AL257" s="104">
        <f>AK257</f>
        <v>4351.8430086942553</v>
      </c>
      <c r="AM257" s="247">
        <f>AK257*(1+(5%/4))</f>
        <v>4406.2410463029337</v>
      </c>
      <c r="AN257" s="247">
        <f>AM257*(1+(5%/4))</f>
        <v>4461.3190593817199</v>
      </c>
      <c r="AO257" s="247">
        <f>AN257*(1+(5%/4))</f>
        <v>4517.0855476239913</v>
      </c>
      <c r="AP257" s="247">
        <f>AO257*(1+(5%/4))</f>
        <v>4573.5491169692914</v>
      </c>
      <c r="AQ257" s="104">
        <f>AP257</f>
        <v>4573.5491169692914</v>
      </c>
    </row>
    <row r="258" spans="2:43" outlineLevel="1" x14ac:dyDescent="0.3">
      <c r="B258" s="634" t="s">
        <v>5</v>
      </c>
      <c r="C258" s="635"/>
      <c r="D258" s="114">
        <f t="shared" ref="D258:AQ258" si="64">+D252+D255+D256+D257</f>
        <v>37245</v>
      </c>
      <c r="E258" s="112">
        <f t="shared" si="64"/>
        <v>38371</v>
      </c>
      <c r="F258" s="114">
        <f t="shared" si="64"/>
        <v>37819</v>
      </c>
      <c r="G258" s="114">
        <f t="shared" si="64"/>
        <v>45959</v>
      </c>
      <c r="H258" s="113">
        <f t="shared" si="64"/>
        <v>45959</v>
      </c>
      <c r="I258" s="112">
        <f t="shared" si="64"/>
        <v>45575</v>
      </c>
      <c r="J258" s="114">
        <f t="shared" si="64"/>
        <v>46348</v>
      </c>
      <c r="K258" s="114">
        <f t="shared" si="64"/>
        <v>46781</v>
      </c>
      <c r="L258" s="114">
        <f t="shared" si="64"/>
        <v>48552</v>
      </c>
      <c r="M258" s="113">
        <f t="shared" si="64"/>
        <v>48552</v>
      </c>
      <c r="N258" s="114">
        <f t="shared" si="64"/>
        <v>49350</v>
      </c>
      <c r="O258" s="112">
        <f t="shared" si="64"/>
        <v>50281</v>
      </c>
      <c r="P258" s="112">
        <f t="shared" si="64"/>
        <v>51851</v>
      </c>
      <c r="Q258" s="112">
        <f t="shared" si="64"/>
        <v>52300.125785999997</v>
      </c>
      <c r="R258" s="113">
        <f t="shared" si="64"/>
        <v>52300.125785999997</v>
      </c>
      <c r="S258" s="114">
        <f t="shared" si="64"/>
        <v>51901.125785999997</v>
      </c>
      <c r="T258" s="112">
        <f t="shared" si="64"/>
        <v>54038.527397068618</v>
      </c>
      <c r="U258" s="112">
        <f t="shared" si="64"/>
        <v>54777.86647278547</v>
      </c>
      <c r="V258" s="112">
        <f t="shared" si="64"/>
        <v>58089.614431132577</v>
      </c>
      <c r="W258" s="113">
        <f t="shared" si="64"/>
        <v>58089.614431132577</v>
      </c>
      <c r="X258" s="112">
        <f t="shared" si="64"/>
        <v>59157.904767670363</v>
      </c>
      <c r="Y258" s="112">
        <f t="shared" si="64"/>
        <v>61751.67451803515</v>
      </c>
      <c r="Z258" s="112">
        <f t="shared" si="64"/>
        <v>62741.82197413945</v>
      </c>
      <c r="AA258" s="112">
        <f t="shared" si="64"/>
        <v>66423.948919896968</v>
      </c>
      <c r="AB258" s="113">
        <f t="shared" si="64"/>
        <v>66423.948919896968</v>
      </c>
      <c r="AC258" s="112">
        <f t="shared" si="64"/>
        <v>67553.783726666792</v>
      </c>
      <c r="AD258" s="112">
        <f t="shared" si="64"/>
        <v>70792.489057153594</v>
      </c>
      <c r="AE258" s="112">
        <f t="shared" si="64"/>
        <v>71716.385276450092</v>
      </c>
      <c r="AF258" s="112">
        <f t="shared" si="64"/>
        <v>76046.379550522033</v>
      </c>
      <c r="AG258" s="113">
        <f t="shared" si="64"/>
        <v>76046.379550522033</v>
      </c>
      <c r="AH258" s="112">
        <f t="shared" si="64"/>
        <v>76823.661601568514</v>
      </c>
      <c r="AI258" s="112">
        <f t="shared" si="64"/>
        <v>80232.350179330038</v>
      </c>
      <c r="AJ258" s="112">
        <f t="shared" si="64"/>
        <v>80790.853756160883</v>
      </c>
      <c r="AK258" s="112">
        <f t="shared" si="64"/>
        <v>85394.628691948004</v>
      </c>
      <c r="AL258" s="113">
        <f t="shared" si="64"/>
        <v>85394.628691948004</v>
      </c>
      <c r="AM258" s="112">
        <f t="shared" si="64"/>
        <v>85969.476092787081</v>
      </c>
      <c r="AN258" s="112">
        <f t="shared" si="64"/>
        <v>89750.411661834049</v>
      </c>
      <c r="AO258" s="112">
        <f t="shared" si="64"/>
        <v>90078.499761028754</v>
      </c>
      <c r="AP258" s="112">
        <f t="shared" si="64"/>
        <v>95085.342560817633</v>
      </c>
      <c r="AQ258" s="113">
        <f t="shared" si="64"/>
        <v>95085.342560817633</v>
      </c>
    </row>
    <row r="259" spans="2:43" ht="15.6" x14ac:dyDescent="0.3">
      <c r="B259" s="630" t="s">
        <v>7</v>
      </c>
      <c r="C259" s="638"/>
      <c r="D259" s="95" t="s">
        <v>71</v>
      </c>
      <c r="E259" s="95" t="s">
        <v>74</v>
      </c>
      <c r="F259" s="95" t="s">
        <v>75</v>
      </c>
      <c r="G259" s="95" t="s">
        <v>79</v>
      </c>
      <c r="H259" s="408" t="s">
        <v>80</v>
      </c>
      <c r="I259" s="95" t="s">
        <v>81</v>
      </c>
      <c r="J259" s="95" t="s">
        <v>92</v>
      </c>
      <c r="K259" s="95" t="s">
        <v>110</v>
      </c>
      <c r="L259" s="95" t="s">
        <v>114</v>
      </c>
      <c r="M259" s="408" t="s">
        <v>115</v>
      </c>
      <c r="N259" s="95" t="s">
        <v>116</v>
      </c>
      <c r="O259" s="95" t="s">
        <v>117</v>
      </c>
      <c r="P259" s="95" t="s">
        <v>118</v>
      </c>
      <c r="Q259" s="95" t="s">
        <v>119</v>
      </c>
      <c r="R259" s="408" t="s">
        <v>120</v>
      </c>
      <c r="S259" s="95" t="s">
        <v>518</v>
      </c>
      <c r="T259" s="97" t="s">
        <v>378</v>
      </c>
      <c r="U259" s="97" t="s">
        <v>379</v>
      </c>
      <c r="V259" s="97" t="s">
        <v>380</v>
      </c>
      <c r="W259" s="412" t="s">
        <v>381</v>
      </c>
      <c r="X259" s="97" t="s">
        <v>382</v>
      </c>
      <c r="Y259" s="97" t="s">
        <v>383</v>
      </c>
      <c r="Z259" s="97" t="s">
        <v>384</v>
      </c>
      <c r="AA259" s="97" t="s">
        <v>385</v>
      </c>
      <c r="AB259" s="412" t="s">
        <v>386</v>
      </c>
      <c r="AC259" s="97" t="s">
        <v>387</v>
      </c>
      <c r="AD259" s="97" t="s">
        <v>388</v>
      </c>
      <c r="AE259" s="97" t="s">
        <v>389</v>
      </c>
      <c r="AF259" s="97" t="s">
        <v>390</v>
      </c>
      <c r="AG259" s="412" t="s">
        <v>391</v>
      </c>
      <c r="AH259" s="97" t="s">
        <v>392</v>
      </c>
      <c r="AI259" s="97" t="s">
        <v>393</v>
      </c>
      <c r="AJ259" s="97" t="s">
        <v>394</v>
      </c>
      <c r="AK259" s="97" t="s">
        <v>395</v>
      </c>
      <c r="AL259" s="412" t="s">
        <v>396</v>
      </c>
      <c r="AM259" s="97" t="s">
        <v>397</v>
      </c>
      <c r="AN259" s="97" t="s">
        <v>398</v>
      </c>
      <c r="AO259" s="97" t="s">
        <v>399</v>
      </c>
      <c r="AP259" s="97" t="s">
        <v>400</v>
      </c>
      <c r="AQ259" s="412" t="s">
        <v>401</v>
      </c>
    </row>
    <row r="260" spans="2:43" outlineLevel="1" x14ac:dyDescent="0.3">
      <c r="B260" s="183" t="s">
        <v>215</v>
      </c>
      <c r="C260" s="299"/>
      <c r="D260" s="382"/>
      <c r="E260" s="382"/>
      <c r="F260" s="382"/>
      <c r="G260" s="382"/>
      <c r="H260" s="383"/>
      <c r="I260" s="382"/>
      <c r="J260" s="382"/>
      <c r="K260" s="382"/>
      <c r="L260" s="382"/>
      <c r="M260" s="383"/>
      <c r="N260" s="382">
        <v>0</v>
      </c>
      <c r="O260" s="382">
        <v>250</v>
      </c>
      <c r="P260" s="382">
        <v>799</v>
      </c>
      <c r="Q260" s="382">
        <v>0</v>
      </c>
      <c r="R260" s="383">
        <f>Q260</f>
        <v>0</v>
      </c>
      <c r="S260" s="382">
        <v>299</v>
      </c>
      <c r="T260" s="382">
        <f>+T286*T301*T302</f>
        <v>308.99126734807248</v>
      </c>
      <c r="U260" s="382">
        <f>+U286*U301*U302</f>
        <v>318.36967708030642</v>
      </c>
      <c r="V260" s="382">
        <f>+V286*V301*V302</f>
        <v>341.34726910528912</v>
      </c>
      <c r="W260" s="383">
        <f>V260</f>
        <v>341.34726910528912</v>
      </c>
      <c r="X260" s="382">
        <f>+X286*X301*X302</f>
        <v>351.96147545207862</v>
      </c>
      <c r="Y260" s="382">
        <f>+Y286*Y301*Y302</f>
        <v>364.37923791036297</v>
      </c>
      <c r="Z260" s="382">
        <f>+Z286*Z301*Z302</f>
        <v>375.66569725607951</v>
      </c>
      <c r="AA260" s="382">
        <f>+AA286*AA301*AA302</f>
        <v>399.36492188320358</v>
      </c>
      <c r="AB260" s="383">
        <f>AA260</f>
        <v>399.36492188320358</v>
      </c>
      <c r="AC260" s="382">
        <f>+AC286*AC301*AC302</f>
        <v>413.57729431719343</v>
      </c>
      <c r="AD260" s="382">
        <f>+AD286*AD301*AD302</f>
        <v>428.33336334799162</v>
      </c>
      <c r="AE260" s="382">
        <f>+AE286*AE301*AE302</f>
        <v>442.06869940384945</v>
      </c>
      <c r="AF260" s="382">
        <f>+AF286*AF301*AF302</f>
        <v>468.41939522164557</v>
      </c>
      <c r="AG260" s="383">
        <f>AF260</f>
        <v>468.41939522164557</v>
      </c>
      <c r="AH260" s="382">
        <f>+AH286*AH301*AH302</f>
        <v>480.18888926938683</v>
      </c>
      <c r="AI260" s="382">
        <f>+AI286*AI301*AI302</f>
        <v>492.09415856862404</v>
      </c>
      <c r="AJ260" s="382">
        <f>+AJ286*AJ301*AJ302</f>
        <v>503.22377090140446</v>
      </c>
      <c r="AK260" s="382">
        <f>+AK286*AK301*AK302</f>
        <v>527.52490963309458</v>
      </c>
      <c r="AL260" s="383">
        <f>AK260</f>
        <v>527.52490963309458</v>
      </c>
      <c r="AM260" s="382">
        <f>+AM286*AM301*AM302</f>
        <v>539.41291286782052</v>
      </c>
      <c r="AN260" s="382">
        <f>+AN286*AN301*AN302</f>
        <v>551.16366127210097</v>
      </c>
      <c r="AO260" s="382">
        <f>+AO286*AO301*AO302</f>
        <v>562.26688115275806</v>
      </c>
      <c r="AP260" s="382">
        <f>+AP286*AP301*AP302</f>
        <v>586.71077354509055</v>
      </c>
      <c r="AQ260" s="383">
        <f>AP260</f>
        <v>586.71077354509055</v>
      </c>
    </row>
    <row r="261" spans="2:43" outlineLevel="1" x14ac:dyDescent="0.3">
      <c r="B261" s="649" t="s">
        <v>216</v>
      </c>
      <c r="C261" s="650"/>
      <c r="D261" s="382">
        <v>14</v>
      </c>
      <c r="E261" s="382">
        <v>14</v>
      </c>
      <c r="F261" s="382">
        <v>11</v>
      </c>
      <c r="G261" s="382">
        <v>29</v>
      </c>
      <c r="H261" s="383">
        <f>G261</f>
        <v>29</v>
      </c>
      <c r="I261" s="382">
        <v>47</v>
      </c>
      <c r="J261" s="382">
        <v>43</v>
      </c>
      <c r="K261" s="382">
        <v>45</v>
      </c>
      <c r="L261" s="382">
        <v>22</v>
      </c>
      <c r="M261" s="383">
        <f>L261</f>
        <v>22</v>
      </c>
      <c r="N261" s="382">
        <v>19</v>
      </c>
      <c r="O261" s="382">
        <v>11</v>
      </c>
      <c r="P261" s="382">
        <v>764</v>
      </c>
      <c r="Q261" s="382">
        <v>1342</v>
      </c>
      <c r="R261" s="383">
        <f>Q261</f>
        <v>1342</v>
      </c>
      <c r="S261" s="382">
        <v>1404</v>
      </c>
      <c r="T261" s="382">
        <f>+T286*T301*T303</f>
        <v>1450.915516243123</v>
      </c>
      <c r="U261" s="382">
        <f>+U286*U301*U303</f>
        <v>1494.9532662901345</v>
      </c>
      <c r="V261" s="382">
        <f>+V286*V301*V303</f>
        <v>1602.8480462335315</v>
      </c>
      <c r="W261" s="383">
        <f>V261</f>
        <v>1602.8480462335315</v>
      </c>
      <c r="X261" s="382">
        <f>+X286*X301*X303</f>
        <v>1652.6886673401953</v>
      </c>
      <c r="Y261" s="382">
        <f>+Y286*Y301*Y303</f>
        <v>1710.998160622574</v>
      </c>
      <c r="Z261" s="382">
        <f>+Z286*Z301*Z303</f>
        <v>1763.9954479850689</v>
      </c>
      <c r="AA261" s="382">
        <f>+AA286*AA301*AA303</f>
        <v>1875.2787636254777</v>
      </c>
      <c r="AB261" s="383">
        <f>AA261</f>
        <v>1875.2787636254777</v>
      </c>
      <c r="AC261" s="382">
        <f>+AC286*AC301*AC303</f>
        <v>1942.0151211416039</v>
      </c>
      <c r="AD261" s="382">
        <f>+AD286*AD301*AD303</f>
        <v>2011.3044887644824</v>
      </c>
      <c r="AE261" s="382">
        <f>+AE286*AE301*AE303</f>
        <v>2075.8008493745974</v>
      </c>
      <c r="AF261" s="382">
        <f>+AF286*AF301*AF303</f>
        <v>2199.5345514755531</v>
      </c>
      <c r="AG261" s="383">
        <f>AF261</f>
        <v>2199.5345514755531</v>
      </c>
      <c r="AH261" s="382">
        <f>+AH286*AH301*AH303</f>
        <v>2254.8000017866857</v>
      </c>
      <c r="AI261" s="382">
        <f>+AI286*AI301*AI303</f>
        <v>2310.7030054526695</v>
      </c>
      <c r="AJ261" s="382">
        <f>+AJ286*AJ301*AJ303</f>
        <v>2362.9637937978991</v>
      </c>
      <c r="AK261" s="382">
        <f>+AK286*AK301*AK303</f>
        <v>2477.073488711922</v>
      </c>
      <c r="AL261" s="383">
        <f>AK261</f>
        <v>2477.073488711922</v>
      </c>
      <c r="AM261" s="382">
        <f>+AM286*AM301*AM303</f>
        <v>2532.8954169445487</v>
      </c>
      <c r="AN261" s="382">
        <f>+AN286*AN301*AN303</f>
        <v>2588.0728442342129</v>
      </c>
      <c r="AO261" s="382">
        <f>+AO286*AO301*AO303</f>
        <v>2640.2097028042554</v>
      </c>
      <c r="AP261" s="382">
        <f>+AP286*AP301*AP303</f>
        <v>2754.989719255208</v>
      </c>
      <c r="AQ261" s="383">
        <f>AP261</f>
        <v>2754.989719255208</v>
      </c>
    </row>
    <row r="262" spans="2:43" outlineLevel="1" x14ac:dyDescent="0.3">
      <c r="B262" s="183" t="s">
        <v>217</v>
      </c>
      <c r="C262" s="133"/>
      <c r="D262" s="382">
        <v>1355</v>
      </c>
      <c r="E262" s="382">
        <v>1510</v>
      </c>
      <c r="F262" s="382">
        <v>1451</v>
      </c>
      <c r="G262" s="382">
        <v>1972</v>
      </c>
      <c r="H262" s="383">
        <f>G262</f>
        <v>1972</v>
      </c>
      <c r="I262" s="382">
        <v>1603</v>
      </c>
      <c r="J262" s="382">
        <v>1765</v>
      </c>
      <c r="K262" s="382">
        <v>1690</v>
      </c>
      <c r="L262" s="382">
        <v>1914</v>
      </c>
      <c r="M262" s="383">
        <f>L262</f>
        <v>1914</v>
      </c>
      <c r="N262" s="382">
        <v>1656</v>
      </c>
      <c r="O262" s="382">
        <v>1912</v>
      </c>
      <c r="P262" s="382">
        <v>1945</v>
      </c>
      <c r="Q262" s="382">
        <v>2177</v>
      </c>
      <c r="R262" s="383">
        <f>Q262</f>
        <v>2177</v>
      </c>
      <c r="S262" s="173">
        <v>1686</v>
      </c>
      <c r="T262" s="145">
        <f>(T15*(T295)+R262)/2</f>
        <v>2052.7660253499525</v>
      </c>
      <c r="U262" s="145">
        <f>(U15*(U295)+S262)/2</f>
        <v>1875.1924802782867</v>
      </c>
      <c r="V262" s="145">
        <f>(V15*(V295)+T262)/2</f>
        <v>2128.8396996290585</v>
      </c>
      <c r="W262" s="383">
        <f>V262</f>
        <v>2128.8396996290585</v>
      </c>
      <c r="X262" s="145">
        <f>(X15*(X295)+V262)/2</f>
        <v>2069.2845301496404</v>
      </c>
      <c r="Y262" s="145">
        <f>(Y15*(Y295)+W262)/2</f>
        <v>2065.421416337605</v>
      </c>
      <c r="Z262" s="145">
        <f>(Z15*(Z295)+X262)/2</f>
        <v>2111.0233290996725</v>
      </c>
      <c r="AA262" s="145">
        <f>(AA15*(AA295)+Y262)/2</f>
        <v>2182.5936071428805</v>
      </c>
      <c r="AB262" s="383">
        <f>AA262</f>
        <v>2182.5936071428805</v>
      </c>
      <c r="AC262" s="145">
        <f>(AC15*(AC295)+AA262)/2</f>
        <v>2135.1864646147478</v>
      </c>
      <c r="AD262" s="145">
        <f>(AD15*(AD295)+AB262)/2</f>
        <v>2131.5409069786356</v>
      </c>
      <c r="AE262" s="145">
        <f>(AE15*(AE295)+AC262)/2</f>
        <v>2188.548871105168</v>
      </c>
      <c r="AF262" s="145">
        <f>(AF15*(AF295)+AD262)/2</f>
        <v>2262.7542484632786</v>
      </c>
      <c r="AG262" s="383">
        <f>AF262</f>
        <v>2262.7542484632786</v>
      </c>
      <c r="AH262" s="145">
        <f>(AH15*(AH295)+AF262)/2</f>
        <v>2232.7253793461141</v>
      </c>
      <c r="AI262" s="145">
        <f>(AI15*(AI295)+AG262)/2</f>
        <v>2228.8927807887621</v>
      </c>
      <c r="AJ262" s="145">
        <f>(AJ15*(AJ295)+AH262)/2</f>
        <v>2299.0829653801397</v>
      </c>
      <c r="AK262" s="145">
        <f>(AK15*(AK295)+AI262)/2</f>
        <v>2375.726658890298</v>
      </c>
      <c r="AL262" s="383">
        <f>AK262</f>
        <v>2375.726658890298</v>
      </c>
      <c r="AM262" s="145">
        <f>(AM15*(AM295)+AK262)/2</f>
        <v>2345.2663019316378</v>
      </c>
      <c r="AN262" s="145">
        <f>(AN15*(AN295)+AL262)/2</f>
        <v>2340.6615630502938</v>
      </c>
      <c r="AO262" s="145">
        <f>(AO15*(AO295)+AM262)/2</f>
        <v>2414.2608698016493</v>
      </c>
      <c r="AP262" s="145">
        <f>(AP15*(AP295)+AN262)/2</f>
        <v>2492.7332249084302</v>
      </c>
      <c r="AQ262" s="383">
        <f>AP262</f>
        <v>2492.7332249084302</v>
      </c>
    </row>
    <row r="263" spans="2:43" s="116" customFormat="1" outlineLevel="1" x14ac:dyDescent="0.3">
      <c r="B263" s="649" t="s">
        <v>45</v>
      </c>
      <c r="C263" s="650"/>
      <c r="D263" s="382">
        <v>2049</v>
      </c>
      <c r="E263" s="382">
        <v>2129</v>
      </c>
      <c r="F263" s="382">
        <v>2024</v>
      </c>
      <c r="G263" s="382">
        <v>2944</v>
      </c>
      <c r="H263" s="383">
        <f>G263</f>
        <v>2944</v>
      </c>
      <c r="I263" s="382">
        <v>2851</v>
      </c>
      <c r="J263" s="382">
        <v>2954</v>
      </c>
      <c r="K263" s="382">
        <v>2707</v>
      </c>
      <c r="L263" s="382">
        <v>2752</v>
      </c>
      <c r="M263" s="383">
        <f>L263</f>
        <v>2752</v>
      </c>
      <c r="N263" s="382">
        <v>2938</v>
      </c>
      <c r="O263" s="382">
        <v>3147</v>
      </c>
      <c r="P263" s="382">
        <v>3102</v>
      </c>
      <c r="Q263" s="382">
        <v>2996</v>
      </c>
      <c r="R263" s="383">
        <f>Q263</f>
        <v>2996</v>
      </c>
      <c r="S263" s="382">
        <v>3066</v>
      </c>
      <c r="T263" s="382">
        <f>(T23/T296*2)-S263</f>
        <v>3511.980677415313</v>
      </c>
      <c r="U263" s="382">
        <f>(U23/U296*2)-T263</f>
        <v>3177.3330993635436</v>
      </c>
      <c r="V263" s="382">
        <f>(V23/V296*2)-U263</f>
        <v>3346.4717303754096</v>
      </c>
      <c r="W263" s="383">
        <f>V263</f>
        <v>3346.4717303754096</v>
      </c>
      <c r="X263" s="382">
        <f>(X23/X296*2)-V263</f>
        <v>2961.0506016892477</v>
      </c>
      <c r="Y263" s="382">
        <f>(Y23/Y296*2)-X263</f>
        <v>3867.5307125404779</v>
      </c>
      <c r="Z263" s="382">
        <f>(Z23/Z296*2)-Y263</f>
        <v>3108.1553326669909</v>
      </c>
      <c r="AA263" s="382">
        <f>(AA23/AA296*2)-Z263</f>
        <v>3696.2948545663176</v>
      </c>
      <c r="AB263" s="383">
        <f>AA263</f>
        <v>3696.2948545663176</v>
      </c>
      <c r="AC263" s="382">
        <f>(AC23/AC296*2)-AA263</f>
        <v>2856.1867661890838</v>
      </c>
      <c r="AD263" s="382">
        <f>(AD23/AD296*2)-AC263</f>
        <v>4240.0972800360087</v>
      </c>
      <c r="AE263" s="382">
        <f>(AE23/AE296*2)-AD263</f>
        <v>3024.4625196501884</v>
      </c>
      <c r="AF263" s="382">
        <f>(AF23/AF296*2)-AE263</f>
        <v>4058.7079623985364</v>
      </c>
      <c r="AG263" s="383">
        <f>AF263</f>
        <v>4058.7079623985364</v>
      </c>
      <c r="AH263" s="382">
        <f>(AH23/AH296*2)-AF263</f>
        <v>2854.4404947632001</v>
      </c>
      <c r="AI263" s="382">
        <f>(AI23/AI296*2)-AH263</f>
        <v>4632.5357049566355</v>
      </c>
      <c r="AJ263" s="382">
        <f>(AJ23/AJ296*2)-AI263</f>
        <v>3032.3012179301249</v>
      </c>
      <c r="AK263" s="382">
        <f>(AK23/AK296*2)-AJ263</f>
        <v>4431.3446600787056</v>
      </c>
      <c r="AL263" s="383">
        <f>AK263</f>
        <v>4431.3446600787056</v>
      </c>
      <c r="AM263" s="382">
        <f>(AM23/AM296*2)-AK263</f>
        <v>2833.6585179830035</v>
      </c>
      <c r="AN263" s="382">
        <f>(AN23/AN296*2)-AM263</f>
        <v>5030.4415397381899</v>
      </c>
      <c r="AO263" s="382">
        <f>(AO23/AO296*2)-AN263</f>
        <v>3016.1559349883883</v>
      </c>
      <c r="AP263" s="382">
        <f>(AP23/AP296*2)-AO263</f>
        <v>4809.1813767547083</v>
      </c>
      <c r="AQ263" s="383">
        <f>AP263</f>
        <v>4809.1813767547083</v>
      </c>
    </row>
    <row r="264" spans="2:43" ht="16.2" outlineLevel="1" x14ac:dyDescent="0.45">
      <c r="B264" s="649" t="s">
        <v>46</v>
      </c>
      <c r="C264" s="650"/>
      <c r="D264" s="384">
        <v>2426</v>
      </c>
      <c r="E264" s="384">
        <v>2298</v>
      </c>
      <c r="F264" s="384">
        <v>2453</v>
      </c>
      <c r="G264" s="384">
        <v>3063</v>
      </c>
      <c r="H264" s="385">
        <f>G264</f>
        <v>3063</v>
      </c>
      <c r="I264" s="384">
        <v>2973</v>
      </c>
      <c r="J264" s="384">
        <v>3045</v>
      </c>
      <c r="K264" s="384">
        <v>3008</v>
      </c>
      <c r="L264" s="384">
        <v>3230</v>
      </c>
      <c r="M264" s="385">
        <f>L264</f>
        <v>3230</v>
      </c>
      <c r="N264" s="384">
        <v>3177</v>
      </c>
      <c r="O264" s="384">
        <v>2907</v>
      </c>
      <c r="P264" s="384">
        <v>2893</v>
      </c>
      <c r="Q264" s="384">
        <v>3082</v>
      </c>
      <c r="R264" s="385">
        <f>Q264</f>
        <v>3082</v>
      </c>
      <c r="S264" s="384">
        <v>3151</v>
      </c>
      <c r="T264" s="247">
        <f>(T13*T298+S264)/2</f>
        <v>3232.5816220192482</v>
      </c>
      <c r="U264" s="247">
        <f>(U13*U298+T264)/2</f>
        <v>3185.86360539423</v>
      </c>
      <c r="V264" s="247">
        <f>(V13*V298+U264)/2</f>
        <v>3205.5816973615683</v>
      </c>
      <c r="W264" s="385">
        <f>V264</f>
        <v>3205.5816973615683</v>
      </c>
      <c r="X264" s="247">
        <f>(X13*X298+V264)/2</f>
        <v>3249.9457186373879</v>
      </c>
      <c r="Y264" s="247">
        <f>(Y13*Y298+X264)/2</f>
        <v>3362.8932503596184</v>
      </c>
      <c r="Z264" s="247">
        <f>(Z13*Z298+Y264)/2</f>
        <v>3335.7633182366294</v>
      </c>
      <c r="AA264" s="247">
        <f>(AA13*AA298+Z264)/2</f>
        <v>3369.6656761426129</v>
      </c>
      <c r="AB264" s="385">
        <f>AA264</f>
        <v>3369.6656761426129</v>
      </c>
      <c r="AC264" s="247">
        <f>(AC13*AC298+AA264)/2</f>
        <v>3423.7146603663459</v>
      </c>
      <c r="AD264" s="247">
        <f>(AD13*AD298+AC264)/2</f>
        <v>3544.2118251697684</v>
      </c>
      <c r="AE264" s="247">
        <f>(AE13*AE298+AD264)/2</f>
        <v>3520.8186556468445</v>
      </c>
      <c r="AF264" s="247">
        <f>(AF13*AF298+AE264)/2</f>
        <v>3560.4004224443065</v>
      </c>
      <c r="AG264" s="385">
        <f>AF264</f>
        <v>3560.4004224443065</v>
      </c>
      <c r="AH264" s="247">
        <f>(AH13*AH298+AF264)/2</f>
        <v>3611.4663823307765</v>
      </c>
      <c r="AI264" s="247">
        <f>(AI13*AI298+AH264)/2</f>
        <v>3732.7136473687369</v>
      </c>
      <c r="AJ264" s="247">
        <f>(AJ13*AJ298+AI264)/2</f>
        <v>3706.3396748106015</v>
      </c>
      <c r="AK264" s="247">
        <f>(AK13*AK298+AJ264)/2</f>
        <v>3744.7203681804922</v>
      </c>
      <c r="AL264" s="385">
        <f>AK264</f>
        <v>3744.7203681804922</v>
      </c>
      <c r="AM264" s="247">
        <f>(AM13*AM298+AK264)/2</f>
        <v>3793.0474285905648</v>
      </c>
      <c r="AN264" s="247">
        <f>(AN13*AN298+AM264)/2</f>
        <v>3913.9672344940232</v>
      </c>
      <c r="AO264" s="247">
        <f>(AO13*AO298+AN264)/2</f>
        <v>3883.2735464805769</v>
      </c>
      <c r="AP264" s="247">
        <f>(AP13*AP298+AO264)/2</f>
        <v>3919.3086276353292</v>
      </c>
      <c r="AQ264" s="385">
        <f>AP264</f>
        <v>3919.3086276353292</v>
      </c>
    </row>
    <row r="265" spans="2:43" outlineLevel="1" x14ac:dyDescent="0.3">
      <c r="B265" s="647" t="s">
        <v>8</v>
      </c>
      <c r="C265" s="648"/>
      <c r="D265" s="368">
        <f t="shared" ref="D265:AQ265" si="65">SUM(D260:D264)</f>
        <v>5844</v>
      </c>
      <c r="E265" s="368">
        <f t="shared" si="65"/>
        <v>5951</v>
      </c>
      <c r="F265" s="368">
        <f t="shared" si="65"/>
        <v>5939</v>
      </c>
      <c r="G265" s="368">
        <f t="shared" si="65"/>
        <v>8008</v>
      </c>
      <c r="H265" s="369">
        <f t="shared" si="65"/>
        <v>8008</v>
      </c>
      <c r="I265" s="368">
        <f t="shared" si="65"/>
        <v>7474</v>
      </c>
      <c r="J265" s="368">
        <f t="shared" si="65"/>
        <v>7807</v>
      </c>
      <c r="K265" s="368">
        <f t="shared" si="65"/>
        <v>7450</v>
      </c>
      <c r="L265" s="368">
        <f t="shared" si="65"/>
        <v>7918</v>
      </c>
      <c r="M265" s="369">
        <f t="shared" si="65"/>
        <v>7918</v>
      </c>
      <c r="N265" s="368">
        <f t="shared" si="65"/>
        <v>7790</v>
      </c>
      <c r="O265" s="368">
        <f t="shared" si="65"/>
        <v>8227</v>
      </c>
      <c r="P265" s="368">
        <f t="shared" si="65"/>
        <v>9503</v>
      </c>
      <c r="Q265" s="368">
        <f t="shared" si="65"/>
        <v>9597</v>
      </c>
      <c r="R265" s="369">
        <f t="shared" si="65"/>
        <v>9597</v>
      </c>
      <c r="S265" s="368">
        <f t="shared" si="65"/>
        <v>9606</v>
      </c>
      <c r="T265" s="368">
        <f t="shared" si="65"/>
        <v>10557.235108375709</v>
      </c>
      <c r="U265" s="368">
        <f t="shared" si="65"/>
        <v>10051.712128406502</v>
      </c>
      <c r="V265" s="368">
        <f t="shared" si="65"/>
        <v>10625.088442704857</v>
      </c>
      <c r="W265" s="369">
        <f t="shared" si="65"/>
        <v>10625.088442704857</v>
      </c>
      <c r="X265" s="368">
        <f t="shared" si="65"/>
        <v>10284.93099326855</v>
      </c>
      <c r="Y265" s="368">
        <f t="shared" si="65"/>
        <v>11371.222777770639</v>
      </c>
      <c r="Z265" s="368">
        <f t="shared" si="65"/>
        <v>10694.603125244441</v>
      </c>
      <c r="AA265" s="368">
        <f t="shared" si="65"/>
        <v>11523.197823360493</v>
      </c>
      <c r="AB265" s="369">
        <f t="shared" si="65"/>
        <v>11523.197823360493</v>
      </c>
      <c r="AC265" s="368">
        <f t="shared" si="65"/>
        <v>10770.680306628976</v>
      </c>
      <c r="AD265" s="368">
        <f t="shared" si="65"/>
        <v>12355.487864296887</v>
      </c>
      <c r="AE265" s="368">
        <f t="shared" si="65"/>
        <v>11251.699595180649</v>
      </c>
      <c r="AF265" s="368">
        <f t="shared" si="65"/>
        <v>12549.816580003322</v>
      </c>
      <c r="AG265" s="369">
        <f t="shared" si="65"/>
        <v>12549.816580003322</v>
      </c>
      <c r="AH265" s="368">
        <f t="shared" si="65"/>
        <v>11433.621147496164</v>
      </c>
      <c r="AI265" s="368">
        <f t="shared" si="65"/>
        <v>13396.939297135428</v>
      </c>
      <c r="AJ265" s="368">
        <f t="shared" si="65"/>
        <v>11903.911422820169</v>
      </c>
      <c r="AK265" s="368">
        <f t="shared" si="65"/>
        <v>13556.390085494513</v>
      </c>
      <c r="AL265" s="369">
        <f t="shared" si="65"/>
        <v>13556.390085494513</v>
      </c>
      <c r="AM265" s="368">
        <f t="shared" si="65"/>
        <v>12044.280578317575</v>
      </c>
      <c r="AN265" s="368">
        <f t="shared" si="65"/>
        <v>14424.306842788821</v>
      </c>
      <c r="AO265" s="368">
        <f t="shared" si="65"/>
        <v>12516.166935227629</v>
      </c>
      <c r="AP265" s="368">
        <f t="shared" si="65"/>
        <v>14562.923722098767</v>
      </c>
      <c r="AQ265" s="369">
        <f t="shared" si="65"/>
        <v>14562.923722098767</v>
      </c>
    </row>
    <row r="266" spans="2:43" ht="15.75" customHeight="1" outlineLevel="1" x14ac:dyDescent="0.3">
      <c r="B266" s="718" t="s">
        <v>218</v>
      </c>
      <c r="C266" s="719"/>
      <c r="D266" s="382">
        <v>7244</v>
      </c>
      <c r="E266" s="382">
        <v>8481</v>
      </c>
      <c r="F266" s="382">
        <v>8477</v>
      </c>
      <c r="G266" s="382">
        <v>13733</v>
      </c>
      <c r="H266" s="383">
        <f t="shared" ref="H266:H272" si="66">G266</f>
        <v>13733</v>
      </c>
      <c r="I266" s="382">
        <v>13735</v>
      </c>
      <c r="J266" s="382">
        <v>13553</v>
      </c>
      <c r="K266" s="382">
        <v>14713</v>
      </c>
      <c r="L266" s="382">
        <v>14909</v>
      </c>
      <c r="M266" s="383">
        <f t="shared" ref="M266:M272" si="67">L266</f>
        <v>14909</v>
      </c>
      <c r="N266" s="382">
        <v>15137</v>
      </c>
      <c r="O266" s="382">
        <v>15180</v>
      </c>
      <c r="P266" s="382">
        <v>16017</v>
      </c>
      <c r="Q266" s="382">
        <v>15243</v>
      </c>
      <c r="R266" s="383">
        <f t="shared" ref="R266:R272" si="68">Q266</f>
        <v>15243</v>
      </c>
      <c r="S266" s="382">
        <v>15241</v>
      </c>
      <c r="T266" s="382">
        <f>+T286*T301*(1-(T302+T303))</f>
        <v>15750.287309872816</v>
      </c>
      <c r="U266" s="382">
        <f>+U286*U301*(1-(U302+U303))</f>
        <v>16228.335278866052</v>
      </c>
      <c r="V266" s="382">
        <f>+V286*V301*(1-(V302+V303))</f>
        <v>17399.577687069268</v>
      </c>
      <c r="W266" s="383">
        <f>V266</f>
        <v>17399.577687069268</v>
      </c>
      <c r="X266" s="382">
        <f>+X286*X301*(1-(X302+X303))</f>
        <v>17940.618218612475</v>
      </c>
      <c r="Y266" s="382">
        <f>+Y286*Y301*(1-(Y302+Y303))</f>
        <v>18573.591856160005</v>
      </c>
      <c r="Z266" s="382">
        <f>+Z286*Z301*(1-(Z302+Z303))</f>
        <v>19148.899303946178</v>
      </c>
      <c r="AA266" s="382">
        <f>+AA286*AA301*(1-(AA302+AA303))</f>
        <v>20356.925666962892</v>
      </c>
      <c r="AB266" s="383">
        <f>AA266</f>
        <v>20356.925666962892</v>
      </c>
      <c r="AC266" s="382">
        <f>+AC286*AC301*(1-(AC302+AC303))</f>
        <v>21081.376396950986</v>
      </c>
      <c r="AD266" s="382">
        <f>+AD286*AD301*(1-(AD302+AD303))</f>
        <v>21833.541106310164</v>
      </c>
      <c r="AE266" s="382">
        <f>+AE286*AE301*(1-(AE302+AE303))</f>
        <v>22533.67574452866</v>
      </c>
      <c r="AF266" s="382">
        <f>+AF286*AF301*(1-(AF302+AF303))</f>
        <v>23876.856195896653</v>
      </c>
      <c r="AG266" s="383">
        <f>AF266</f>
        <v>23876.856195896653</v>
      </c>
      <c r="AH266" s="382">
        <f>+AH286*AH301*(1-(AH302+AH303))</f>
        <v>24476.785489480681</v>
      </c>
      <c r="AI266" s="382">
        <f>+AI286*AI301*(1-(AI302+AI303))</f>
        <v>25083.635688108356</v>
      </c>
      <c r="AJ266" s="382">
        <f>+AJ286*AJ301*(1-(AJ302+AJ303))</f>
        <v>25650.948134810384</v>
      </c>
      <c r="AK266" s="382">
        <f>+AK286*AK301*(1-(AK302+AK303))</f>
        <v>26889.65601243476</v>
      </c>
      <c r="AL266" s="383">
        <f>AK266</f>
        <v>26889.65601243476</v>
      </c>
      <c r="AM266" s="382">
        <f>+AM286*AM301*(1-(AM302+AM303))</f>
        <v>27495.62610374064</v>
      </c>
      <c r="AN266" s="382">
        <f>+AN286*AN301*(1-(AN302+AN303))</f>
        <v>28094.599871063845</v>
      </c>
      <c r="AO266" s="382">
        <f>+AO286*AO301*(1-(AO302+AO303))</f>
        <v>28660.567008860151</v>
      </c>
      <c r="AP266" s="382">
        <f>+AP286*AP301*(1-(AP302+AP303))</f>
        <v>29906.551503681356</v>
      </c>
      <c r="AQ266" s="383">
        <f>AP266</f>
        <v>29906.551503681356</v>
      </c>
    </row>
    <row r="267" spans="2:43" ht="15.75" customHeight="1" outlineLevel="1" x14ac:dyDescent="0.3">
      <c r="B267" s="386" t="s">
        <v>212</v>
      </c>
      <c r="C267" s="387"/>
      <c r="D267" s="382">
        <v>1781</v>
      </c>
      <c r="E267" s="382">
        <v>1759</v>
      </c>
      <c r="F267" s="382">
        <v>2046</v>
      </c>
      <c r="G267" s="382">
        <v>1567</v>
      </c>
      <c r="H267" s="383">
        <f t="shared" si="66"/>
        <v>1567</v>
      </c>
      <c r="I267" s="382">
        <v>1762</v>
      </c>
      <c r="J267" s="382">
        <v>2148</v>
      </c>
      <c r="K267" s="382">
        <v>2299</v>
      </c>
      <c r="L267" s="382">
        <v>2485</v>
      </c>
      <c r="M267" s="383">
        <f t="shared" si="67"/>
        <v>2485</v>
      </c>
      <c r="N267" s="382">
        <v>2730</v>
      </c>
      <c r="O267" s="382">
        <v>3088</v>
      </c>
      <c r="P267" s="382">
        <v>2401</v>
      </c>
      <c r="Q267" s="382">
        <v>2867</v>
      </c>
      <c r="R267" s="383">
        <f t="shared" si="68"/>
        <v>2867</v>
      </c>
      <c r="S267" s="382">
        <v>2948</v>
      </c>
      <c r="T267" s="249">
        <f>+S267*1.038</f>
        <v>3060.0239999999999</v>
      </c>
      <c r="U267" s="249">
        <f>+T267*1.038</f>
        <v>3176.3049120000001</v>
      </c>
      <c r="V267" s="249">
        <f>+U267*1.038</f>
        <v>3297.0044986560001</v>
      </c>
      <c r="W267" s="383">
        <f>+V267</f>
        <v>3297.0044986560001</v>
      </c>
      <c r="X267" s="249">
        <f>V267*1.038</f>
        <v>3422.2906696049281</v>
      </c>
      <c r="Y267" s="249">
        <f>+X267*1.038</f>
        <v>3552.3377150499155</v>
      </c>
      <c r="Z267" s="249">
        <f>+Y267*1.038</f>
        <v>3687.3265482218126</v>
      </c>
      <c r="AA267" s="249">
        <f>+Z267*1.038</f>
        <v>3827.4449570542415</v>
      </c>
      <c r="AB267" s="383">
        <f>+AA267</f>
        <v>3827.4449570542415</v>
      </c>
      <c r="AC267" s="249">
        <f>AA267*1.038</f>
        <v>3972.8878654223026</v>
      </c>
      <c r="AD267" s="249">
        <f>+AC267*1.038</f>
        <v>4123.8576043083503</v>
      </c>
      <c r="AE267" s="249">
        <f>+AD267*1.038</f>
        <v>4280.5641932720682</v>
      </c>
      <c r="AF267" s="249">
        <f>+AE267*1.038</f>
        <v>4443.225632616407</v>
      </c>
      <c r="AG267" s="383">
        <f>+AF267</f>
        <v>4443.225632616407</v>
      </c>
      <c r="AH267" s="249">
        <f>AF267*1.038</f>
        <v>4612.0682066558302</v>
      </c>
      <c r="AI267" s="249">
        <f>+AH267*1.038</f>
        <v>4787.3267985087523</v>
      </c>
      <c r="AJ267" s="249">
        <f>+AI267*1.038</f>
        <v>4969.2452168520849</v>
      </c>
      <c r="AK267" s="249">
        <f>+AJ267*1.038</f>
        <v>5158.0765350924639</v>
      </c>
      <c r="AL267" s="383">
        <f>+AK267</f>
        <v>5158.0765350924639</v>
      </c>
      <c r="AM267" s="249">
        <f>AK267*1.038</f>
        <v>5354.0834434259777</v>
      </c>
      <c r="AN267" s="249">
        <f>+AM267*1.038</f>
        <v>5557.5386142761654</v>
      </c>
      <c r="AO267" s="249">
        <f>+AN267*1.038</f>
        <v>5768.7250816186597</v>
      </c>
      <c r="AP267" s="249">
        <f>+AO267*1.038</f>
        <v>5987.9366347201694</v>
      </c>
      <c r="AQ267" s="383">
        <f>+AP267</f>
        <v>5987.9366347201694</v>
      </c>
    </row>
    <row r="268" spans="2:43" ht="15.75" customHeight="1" outlineLevel="1" x14ac:dyDescent="0.3">
      <c r="B268" s="386" t="s">
        <v>219</v>
      </c>
      <c r="C268" s="387"/>
      <c r="D268" s="382">
        <v>4806</v>
      </c>
      <c r="E268" s="382">
        <v>4702</v>
      </c>
      <c r="F268" s="382">
        <v>4628</v>
      </c>
      <c r="G268" s="382">
        <v>6227</v>
      </c>
      <c r="H268" s="383">
        <f t="shared" si="66"/>
        <v>6227</v>
      </c>
      <c r="I268" s="382">
        <v>6063</v>
      </c>
      <c r="J268" s="382">
        <v>5845</v>
      </c>
      <c r="K268" s="382">
        <v>4670</v>
      </c>
      <c r="L268" s="382">
        <v>4487</v>
      </c>
      <c r="M268" s="383">
        <f t="shared" si="67"/>
        <v>4487</v>
      </c>
      <c r="N268" s="382">
        <v>4313</v>
      </c>
      <c r="O268" s="382">
        <v>3868</v>
      </c>
      <c r="P268" s="382">
        <v>2181</v>
      </c>
      <c r="Q268" s="382">
        <v>2187</v>
      </c>
      <c r="R268" s="383">
        <f t="shared" si="68"/>
        <v>2187</v>
      </c>
      <c r="S268" s="382">
        <v>1963</v>
      </c>
      <c r="T268" s="382">
        <f>+(W268-S268)/3+S268</f>
        <v>1909.7933333333324</v>
      </c>
      <c r="U268" s="382">
        <f>+(W268-S268)/3+T268</f>
        <v>1856.5866666666648</v>
      </c>
      <c r="V268" s="382">
        <f>+(W268-S268)/3+U268</f>
        <v>1803.3799999999972</v>
      </c>
      <c r="W268" s="383">
        <f>-(W189+W192+W193-W195)</f>
        <v>1803.3799999999974</v>
      </c>
      <c r="X268" s="382">
        <f>+(AB268-V268)/4+V268</f>
        <v>1842.0011749999974</v>
      </c>
      <c r="Y268" s="382">
        <f>+(AB268-W268)/4+X268</f>
        <v>1880.6223499999976</v>
      </c>
      <c r="Z268" s="382">
        <f>+(AB268-W268)/4+Y268</f>
        <v>1919.2435249999978</v>
      </c>
      <c r="AA268" s="382">
        <f>+(AB268-W268)/4+Z268</f>
        <v>1957.864699999998</v>
      </c>
      <c r="AB268" s="383">
        <f>-(AB189+AB192+AB193-AB195)</f>
        <v>1957.8646999999983</v>
      </c>
      <c r="AC268" s="382">
        <f>+(AG268-AA268)/4+AA268</f>
        <v>1944.7948322499976</v>
      </c>
      <c r="AD268" s="382">
        <f>+(AG268-AB268)/4+AC268</f>
        <v>1931.7249644999972</v>
      </c>
      <c r="AE268" s="382">
        <f>+(AG268-AB268)/4+AD268</f>
        <v>1918.6550967499968</v>
      </c>
      <c r="AF268" s="382">
        <f>+(AG268-AB268)/4+AE268</f>
        <v>1905.5852289999964</v>
      </c>
      <c r="AG268" s="383">
        <f>-(AG189+AG192+AG193-AG195)</f>
        <v>1905.5852289999966</v>
      </c>
      <c r="AH268" s="382">
        <f>+(AL268-AF268)/4+AF268</f>
        <v>1893.8504705074963</v>
      </c>
      <c r="AI268" s="382">
        <f>+(AL268-AG268)/4+AH268</f>
        <v>1882.1157120149962</v>
      </c>
      <c r="AJ268" s="382">
        <f>+(AL268-AG268)/4+AI268</f>
        <v>1870.3809535224962</v>
      </c>
      <c r="AK268" s="382">
        <f>+(AL268-AG268)/4+AJ268</f>
        <v>1858.6461950299961</v>
      </c>
      <c r="AL268" s="383">
        <f>-(AL189+AL192+AL193-AL195)</f>
        <v>1858.6461950299963</v>
      </c>
      <c r="AM268" s="382">
        <f>+(AQ268-AK268)/4+AK268</f>
        <v>1846.5900034430204</v>
      </c>
      <c r="AN268" s="382">
        <f>+(AQ268-AL268)/4+AM268</f>
        <v>1834.5338118560446</v>
      </c>
      <c r="AO268" s="382">
        <f>+(AQ268-AL268)/4+AN268</f>
        <v>1822.4776202690689</v>
      </c>
      <c r="AP268" s="382">
        <f>+(AQ268-AL268)/4+AO268</f>
        <v>1810.4214286820932</v>
      </c>
      <c r="AQ268" s="383">
        <f>-(AQ189+AQ192+AQ193-AQ195)</f>
        <v>1810.4214286820934</v>
      </c>
    </row>
    <row r="269" spans="2:43" ht="15.75" customHeight="1" outlineLevel="1" x14ac:dyDescent="0.3">
      <c r="B269" s="386" t="s">
        <v>220</v>
      </c>
      <c r="C269" s="387"/>
      <c r="D269" s="382">
        <v>1186</v>
      </c>
      <c r="E269" s="382">
        <v>1265</v>
      </c>
      <c r="F269" s="382">
        <v>1282</v>
      </c>
      <c r="G269" s="382">
        <v>1314</v>
      </c>
      <c r="H269" s="383">
        <f t="shared" si="66"/>
        <v>1314</v>
      </c>
      <c r="I269" s="382">
        <v>1338</v>
      </c>
      <c r="J269" s="382">
        <v>1349</v>
      </c>
      <c r="K269" s="382">
        <v>1376</v>
      </c>
      <c r="L269" s="382">
        <v>1494</v>
      </c>
      <c r="M269" s="383">
        <f t="shared" si="67"/>
        <v>1494</v>
      </c>
      <c r="N269" s="382">
        <v>1603</v>
      </c>
      <c r="O269" s="382">
        <v>1651</v>
      </c>
      <c r="P269" s="382">
        <v>1715</v>
      </c>
      <c r="Q269" s="382">
        <v>1784</v>
      </c>
      <c r="R269" s="383">
        <f t="shared" si="68"/>
        <v>1784</v>
      </c>
      <c r="S269" s="382">
        <v>1809</v>
      </c>
      <c r="T269" s="249">
        <f>(T13*T299)*2-S269</f>
        <v>1736.1305707104766</v>
      </c>
      <c r="U269" s="249">
        <f>(U13*U299)*2-T269</f>
        <v>1907.4432402540642</v>
      </c>
      <c r="V269" s="249">
        <f>(V13*V299)*2-U269</f>
        <v>1870.0710569381854</v>
      </c>
      <c r="W269" s="383">
        <f>V269</f>
        <v>1870.0710569381854</v>
      </c>
      <c r="X269" s="249">
        <f>(X13*X299)*2-V269</f>
        <v>1927.9250590599386</v>
      </c>
      <c r="Y269" s="249">
        <f>(Y13*Y299)*2-X269</f>
        <v>1790.1505178284033</v>
      </c>
      <c r="Z269" s="249">
        <f>(Z13*Z299)*2-Y269</f>
        <v>2050.1460261917741</v>
      </c>
      <c r="AA269" s="249">
        <f>(AA13*AA299)*2-Z269</f>
        <v>1936.1584260713353</v>
      </c>
      <c r="AB269" s="383">
        <f>AA269</f>
        <v>1936.1584260713353</v>
      </c>
      <c r="AC269" s="249">
        <f>(AC13*AC299)*2-AA269</f>
        <v>2073.3409402088359</v>
      </c>
      <c r="AD269" s="249">
        <f>(AD13*AD299)*2-AC269</f>
        <v>1846.7652574810932</v>
      </c>
      <c r="AE269" s="249">
        <f>(AE13*AE299)*2-AD269</f>
        <v>2212.6603239992928</v>
      </c>
      <c r="AF269" s="249">
        <f>(AF13*AF299)*2-AE269</f>
        <v>2003.6870166390163</v>
      </c>
      <c r="AG269" s="383">
        <f>AF269</f>
        <v>2003.6870166390163</v>
      </c>
      <c r="AH269" s="249">
        <f>(AH13*AH299)*2-AF269</f>
        <v>2218.8314192944235</v>
      </c>
      <c r="AI269" s="249">
        <f>(AI13*AI299)*2-AH269</f>
        <v>1903.7158551866396</v>
      </c>
      <c r="AJ269" s="249">
        <f>(AJ13*AJ299)*2-AI269</f>
        <v>2367.5822668070859</v>
      </c>
      <c r="AK269" s="249">
        <f>(AK13*AK299)*2-AJ269</f>
        <v>2063.2363488798728</v>
      </c>
      <c r="AL269" s="383">
        <f>AK269</f>
        <v>2063.2363488798728</v>
      </c>
      <c r="AM269" s="249">
        <f>(AM13*AM299)*2-AK269</f>
        <v>2365.4684606754909</v>
      </c>
      <c r="AN269" s="249">
        <f>(AN13*AN299)*2-AM269</f>
        <v>1950.6138632736893</v>
      </c>
      <c r="AO269" s="249">
        <f>(AO13*AO299)*2-AN269</f>
        <v>2521.0357241747115</v>
      </c>
      <c r="AP269" s="249">
        <f>(AP13*AP299)*2-AO269</f>
        <v>2111.5157861370863</v>
      </c>
      <c r="AQ269" s="383">
        <f>AP269</f>
        <v>2111.5157861370863</v>
      </c>
    </row>
    <row r="270" spans="2:43" ht="15.75" customHeight="1" outlineLevel="1" x14ac:dyDescent="0.3">
      <c r="B270" s="386" t="s">
        <v>221</v>
      </c>
      <c r="C270" s="387"/>
      <c r="D270" s="382">
        <v>766</v>
      </c>
      <c r="E270" s="382">
        <v>840</v>
      </c>
      <c r="F270" s="382">
        <v>723</v>
      </c>
      <c r="G270" s="382">
        <v>400</v>
      </c>
      <c r="H270" s="383">
        <f t="shared" si="66"/>
        <v>400</v>
      </c>
      <c r="I270" s="382">
        <v>457</v>
      </c>
      <c r="J270" s="382">
        <v>547</v>
      </c>
      <c r="K270" s="382">
        <v>456</v>
      </c>
      <c r="L270" s="382">
        <v>531</v>
      </c>
      <c r="M270" s="383">
        <f t="shared" si="67"/>
        <v>531</v>
      </c>
      <c r="N270" s="382">
        <v>575</v>
      </c>
      <c r="O270" s="382">
        <v>633</v>
      </c>
      <c r="P270" s="382">
        <v>532</v>
      </c>
      <c r="Q270" s="382">
        <v>551</v>
      </c>
      <c r="R270" s="383">
        <f t="shared" si="68"/>
        <v>551</v>
      </c>
      <c r="S270" s="382">
        <v>557</v>
      </c>
      <c r="T270" s="382">
        <f t="shared" ref="T270:V272" si="69">S270*(O270/N270)</f>
        <v>613.18434782608688</v>
      </c>
      <c r="U270" s="382">
        <f t="shared" si="69"/>
        <v>515.34608695652173</v>
      </c>
      <c r="V270" s="382">
        <f t="shared" si="69"/>
        <v>533.75130434782614</v>
      </c>
      <c r="W270" s="383">
        <f>V270</f>
        <v>533.75130434782614</v>
      </c>
      <c r="X270" s="382">
        <f>V270*(S270/Q270)</f>
        <v>539.5634782608696</v>
      </c>
      <c r="Y270" s="382">
        <f t="shared" ref="Y270:AA272" si="70">X270*(T270/S270)</f>
        <v>593.98901172022681</v>
      </c>
      <c r="Z270" s="382">
        <f t="shared" si="70"/>
        <v>499.21351379962192</v>
      </c>
      <c r="AA270" s="382">
        <f t="shared" si="70"/>
        <v>517.04256786389419</v>
      </c>
      <c r="AB270" s="383">
        <f>AA270</f>
        <v>517.04256786389419</v>
      </c>
      <c r="AC270" s="382">
        <f>AA270*(X270/V270)</f>
        <v>522.67279546313807</v>
      </c>
      <c r="AD270" s="382">
        <f t="shared" ref="AD270:AF272" si="71">AC270*(Y270/X270)</f>
        <v>575.39457309246325</v>
      </c>
      <c r="AE270" s="382">
        <f t="shared" si="71"/>
        <v>483.58596032415556</v>
      </c>
      <c r="AF270" s="382">
        <f t="shared" si="71"/>
        <v>500.85688747858973</v>
      </c>
      <c r="AG270" s="383">
        <f>AF270</f>
        <v>500.85688747858973</v>
      </c>
      <c r="AH270" s="382">
        <f>AF270*(AC270/AA270)</f>
        <v>506.31086447472683</v>
      </c>
      <c r="AI270" s="382">
        <f t="shared" ref="AI270:AK272" si="72">AH270*(AD270/AC270)</f>
        <v>557.38222123913397</v>
      </c>
      <c r="AJ270" s="382">
        <f t="shared" si="72"/>
        <v>468.4476172183559</v>
      </c>
      <c r="AK270" s="382">
        <f t="shared" si="72"/>
        <v>485.17788926186864</v>
      </c>
      <c r="AL270" s="383">
        <f>AK270</f>
        <v>485.17788926186864</v>
      </c>
      <c r="AM270" s="382">
        <f>AK270*(AH270/AF270)</f>
        <v>490.46113306508323</v>
      </c>
      <c r="AN270" s="382">
        <f t="shared" ref="AN270:AP272" si="73">AM270*(AI270/AH270)</f>
        <v>539.93373431338728</v>
      </c>
      <c r="AO270" s="382">
        <f t="shared" si="73"/>
        <v>453.78317007065095</v>
      </c>
      <c r="AP270" s="382">
        <f t="shared" si="73"/>
        <v>469.98971185888854</v>
      </c>
      <c r="AQ270" s="383">
        <f>AP270</f>
        <v>469.98971185888854</v>
      </c>
    </row>
    <row r="271" spans="2:43" ht="15.75" customHeight="1" outlineLevel="1" x14ac:dyDescent="0.3">
      <c r="B271" s="386" t="s">
        <v>222</v>
      </c>
      <c r="C271" s="387"/>
      <c r="D271" s="382">
        <v>174</v>
      </c>
      <c r="E271" s="382">
        <v>167</v>
      </c>
      <c r="F271" s="382">
        <v>161</v>
      </c>
      <c r="G271" s="382">
        <v>155</v>
      </c>
      <c r="H271" s="383">
        <f t="shared" si="66"/>
        <v>155</v>
      </c>
      <c r="I271" s="382">
        <v>150</v>
      </c>
      <c r="J271" s="382">
        <v>145</v>
      </c>
      <c r="K271" s="382">
        <v>142</v>
      </c>
      <c r="L271" s="382">
        <v>137</v>
      </c>
      <c r="M271" s="383">
        <f t="shared" si="67"/>
        <v>137</v>
      </c>
      <c r="N271" s="382">
        <v>126</v>
      </c>
      <c r="O271" s="382">
        <v>122</v>
      </c>
      <c r="P271" s="382">
        <v>124</v>
      </c>
      <c r="Q271" s="382">
        <v>121</v>
      </c>
      <c r="R271" s="383">
        <f t="shared" si="68"/>
        <v>121</v>
      </c>
      <c r="S271" s="382">
        <v>156</v>
      </c>
      <c r="T271" s="382">
        <f t="shared" si="69"/>
        <v>151.04761904761904</v>
      </c>
      <c r="U271" s="382">
        <f t="shared" si="69"/>
        <v>153.52380952380952</v>
      </c>
      <c r="V271" s="382">
        <f t="shared" si="69"/>
        <v>149.8095238095238</v>
      </c>
      <c r="W271" s="383">
        <f>V271</f>
        <v>149.8095238095238</v>
      </c>
      <c r="X271" s="382">
        <f>V271*(S271/Q271)</f>
        <v>193.14285714285711</v>
      </c>
      <c r="Y271" s="382">
        <f t="shared" si="70"/>
        <v>187.01133786848067</v>
      </c>
      <c r="Z271" s="382">
        <f t="shared" si="70"/>
        <v>190.07709750566889</v>
      </c>
      <c r="AA271" s="382">
        <f t="shared" si="70"/>
        <v>185.47845804988657</v>
      </c>
      <c r="AB271" s="383">
        <f>AA271</f>
        <v>185.47845804988657</v>
      </c>
      <c r="AC271" s="382">
        <f>AA271*(X271/V271)</f>
        <v>239.12925170068019</v>
      </c>
      <c r="AD271" s="382">
        <f t="shared" si="71"/>
        <v>231.53784688478555</v>
      </c>
      <c r="AE271" s="382">
        <f t="shared" si="71"/>
        <v>235.33354929273287</v>
      </c>
      <c r="AF271" s="382">
        <f t="shared" si="71"/>
        <v>229.63999568081189</v>
      </c>
      <c r="AG271" s="383">
        <f>AF271</f>
        <v>229.63999568081189</v>
      </c>
      <c r="AH271" s="382">
        <f>AF271*(AC271/AA271)</f>
        <v>296.06478781988972</v>
      </c>
      <c r="AI271" s="382">
        <f t="shared" si="72"/>
        <v>286.66590566687734</v>
      </c>
      <c r="AJ271" s="382">
        <f t="shared" si="72"/>
        <v>291.36534674338355</v>
      </c>
      <c r="AK271" s="382">
        <f t="shared" si="72"/>
        <v>284.31618512862423</v>
      </c>
      <c r="AL271" s="383">
        <f>AK271</f>
        <v>284.31618512862423</v>
      </c>
      <c r="AM271" s="382">
        <f>AK271*(AH271/AF271)</f>
        <v>366.55640396748242</v>
      </c>
      <c r="AN271" s="382">
        <f t="shared" si="73"/>
        <v>354.91969273041951</v>
      </c>
      <c r="AO271" s="382">
        <f t="shared" si="73"/>
        <v>360.738048348951</v>
      </c>
      <c r="AP271" s="382">
        <f t="shared" si="73"/>
        <v>352.01051492115374</v>
      </c>
      <c r="AQ271" s="383">
        <f>AP271</f>
        <v>352.01051492115374</v>
      </c>
    </row>
    <row r="272" spans="2:43" ht="15.75" customHeight="1" outlineLevel="1" x14ac:dyDescent="0.45">
      <c r="B272" s="718" t="s">
        <v>47</v>
      </c>
      <c r="C272" s="719"/>
      <c r="D272" s="384">
        <v>161</v>
      </c>
      <c r="E272" s="384">
        <v>216</v>
      </c>
      <c r="F272" s="384">
        <v>236</v>
      </c>
      <c r="G272" s="384">
        <v>771</v>
      </c>
      <c r="H272" s="385">
        <f t="shared" si="66"/>
        <v>771</v>
      </c>
      <c r="I272" s="384">
        <v>454</v>
      </c>
      <c r="J272" s="384">
        <v>423</v>
      </c>
      <c r="K272" s="384">
        <v>491</v>
      </c>
      <c r="L272" s="384">
        <v>518</v>
      </c>
      <c r="M272" s="385">
        <f t="shared" si="67"/>
        <v>518</v>
      </c>
      <c r="N272" s="384">
        <v>458</v>
      </c>
      <c r="O272" s="384">
        <v>457</v>
      </c>
      <c r="P272" s="384">
        <v>484</v>
      </c>
      <c r="Q272" s="384">
        <v>534</v>
      </c>
      <c r="R272" s="385">
        <f t="shared" si="68"/>
        <v>534</v>
      </c>
      <c r="S272" s="384">
        <v>448</v>
      </c>
      <c r="T272" s="384">
        <f t="shared" si="69"/>
        <v>447.02183406113539</v>
      </c>
      <c r="U272" s="384">
        <f t="shared" si="69"/>
        <v>473.43231441048039</v>
      </c>
      <c r="V272" s="384">
        <f t="shared" si="69"/>
        <v>522.34061135371178</v>
      </c>
      <c r="W272" s="385">
        <f>V272</f>
        <v>522.34061135371178</v>
      </c>
      <c r="X272" s="384">
        <f>V272*(S272/Q272)</f>
        <v>438.21834061135371</v>
      </c>
      <c r="Y272" s="384">
        <f t="shared" si="70"/>
        <v>437.26153200739878</v>
      </c>
      <c r="Z272" s="384">
        <f t="shared" si="70"/>
        <v>463.09536431418167</v>
      </c>
      <c r="AA272" s="384">
        <f t="shared" si="70"/>
        <v>510.93579451192772</v>
      </c>
      <c r="AB272" s="385">
        <f>AA272</f>
        <v>510.93579451192772</v>
      </c>
      <c r="AC272" s="384">
        <f>AA272*(X272/V272)</f>
        <v>428.65025457180457</v>
      </c>
      <c r="AD272" s="384">
        <f t="shared" si="71"/>
        <v>427.71433698540324</v>
      </c>
      <c r="AE272" s="384">
        <f t="shared" si="71"/>
        <v>452.98411181823889</v>
      </c>
      <c r="AF272" s="384">
        <f t="shared" si="71"/>
        <v>499.77999113830487</v>
      </c>
      <c r="AG272" s="385">
        <f>AF272</f>
        <v>499.77999113830487</v>
      </c>
      <c r="AH272" s="384">
        <f>AF272*(AC272/AA272)</f>
        <v>419.29107870779137</v>
      </c>
      <c r="AI272" s="384">
        <f t="shared" si="72"/>
        <v>418.37559600318917</v>
      </c>
      <c r="AJ272" s="384">
        <f t="shared" si="72"/>
        <v>443.09362902744761</v>
      </c>
      <c r="AK272" s="384">
        <f t="shared" si="72"/>
        <v>488.86776425755585</v>
      </c>
      <c r="AL272" s="385">
        <f>AK272</f>
        <v>488.86776425755585</v>
      </c>
      <c r="AM272" s="384">
        <f>AK272*(AH272/AF272)</f>
        <v>410.13625166176973</v>
      </c>
      <c r="AN272" s="384">
        <f t="shared" si="73"/>
        <v>409.2407576625082</v>
      </c>
      <c r="AO272" s="384">
        <f t="shared" si="73"/>
        <v>433.41909564256883</v>
      </c>
      <c r="AP272" s="384">
        <f t="shared" si="73"/>
        <v>478.19379560564414</v>
      </c>
      <c r="AQ272" s="385">
        <f>AP272</f>
        <v>478.19379560564414</v>
      </c>
    </row>
    <row r="273" spans="2:43" outlineLevel="1" x14ac:dyDescent="0.3">
      <c r="B273" s="647" t="s">
        <v>10</v>
      </c>
      <c r="C273" s="648"/>
      <c r="D273" s="368">
        <f t="shared" ref="D273:AQ273" si="74">SUM(D265:D272)</f>
        <v>21962</v>
      </c>
      <c r="E273" s="368">
        <f t="shared" si="74"/>
        <v>23381</v>
      </c>
      <c r="F273" s="368">
        <f t="shared" si="74"/>
        <v>23492</v>
      </c>
      <c r="G273" s="368">
        <f t="shared" si="74"/>
        <v>32175</v>
      </c>
      <c r="H273" s="369">
        <f t="shared" si="74"/>
        <v>32175</v>
      </c>
      <c r="I273" s="368">
        <f t="shared" si="74"/>
        <v>31433</v>
      </c>
      <c r="J273" s="368">
        <f t="shared" si="74"/>
        <v>31817</v>
      </c>
      <c r="K273" s="368">
        <f t="shared" si="74"/>
        <v>31597</v>
      </c>
      <c r="L273" s="368">
        <f t="shared" si="74"/>
        <v>32479</v>
      </c>
      <c r="M273" s="369">
        <f t="shared" si="74"/>
        <v>32479</v>
      </c>
      <c r="N273" s="368">
        <f t="shared" si="74"/>
        <v>32732</v>
      </c>
      <c r="O273" s="368">
        <f t="shared" si="74"/>
        <v>33226</v>
      </c>
      <c r="P273" s="368">
        <f t="shared" si="74"/>
        <v>32957</v>
      </c>
      <c r="Q273" s="368">
        <f t="shared" si="74"/>
        <v>32884</v>
      </c>
      <c r="R273" s="369">
        <f t="shared" si="74"/>
        <v>32884</v>
      </c>
      <c r="S273" s="368">
        <f t="shared" si="74"/>
        <v>32728</v>
      </c>
      <c r="T273" s="368">
        <f t="shared" si="74"/>
        <v>34224.72412322717</v>
      </c>
      <c r="U273" s="368">
        <f t="shared" si="74"/>
        <v>34362.684437084099</v>
      </c>
      <c r="V273" s="368">
        <f>SUM(V265:V272)</f>
        <v>36201.023124879364</v>
      </c>
      <c r="W273" s="369">
        <f t="shared" si="74"/>
        <v>36201.023124879372</v>
      </c>
      <c r="X273" s="368">
        <f t="shared" si="74"/>
        <v>36588.69079156097</v>
      </c>
      <c r="Y273" s="368">
        <f t="shared" si="74"/>
        <v>38386.187098405077</v>
      </c>
      <c r="Z273" s="368">
        <f t="shared" si="74"/>
        <v>38652.60450422368</v>
      </c>
      <c r="AA273" s="368">
        <f t="shared" si="74"/>
        <v>40815.048393874669</v>
      </c>
      <c r="AB273" s="369">
        <f t="shared" si="74"/>
        <v>40815.048393874669</v>
      </c>
      <c r="AC273" s="368">
        <f t="shared" si="74"/>
        <v>41033.532643196711</v>
      </c>
      <c r="AD273" s="368">
        <f t="shared" si="74"/>
        <v>43326.023553859137</v>
      </c>
      <c r="AE273" s="368">
        <f t="shared" si="74"/>
        <v>43369.158575165791</v>
      </c>
      <c r="AF273" s="368">
        <f t="shared" si="74"/>
        <v>46009.4475284531</v>
      </c>
      <c r="AG273" s="369">
        <f t="shared" si="74"/>
        <v>46009.4475284531</v>
      </c>
      <c r="AH273" s="368">
        <f t="shared" si="74"/>
        <v>45856.823464436995</v>
      </c>
      <c r="AI273" s="368">
        <f t="shared" si="74"/>
        <v>48316.157073863375</v>
      </c>
      <c r="AJ273" s="368">
        <f t="shared" si="74"/>
        <v>47964.9745878014</v>
      </c>
      <c r="AK273" s="368">
        <f t="shared" si="74"/>
        <v>50784.36701557965</v>
      </c>
      <c r="AL273" s="369">
        <f t="shared" si="74"/>
        <v>50784.367015579657</v>
      </c>
      <c r="AM273" s="368">
        <f t="shared" si="74"/>
        <v>50373.202378297035</v>
      </c>
      <c r="AN273" s="368">
        <f t="shared" si="74"/>
        <v>53165.687187964882</v>
      </c>
      <c r="AO273" s="368">
        <f t="shared" si="74"/>
        <v>52536.912684212395</v>
      </c>
      <c r="AP273" s="368">
        <f t="shared" si="74"/>
        <v>55679.543097705158</v>
      </c>
      <c r="AQ273" s="369">
        <f t="shared" si="74"/>
        <v>55679.543097705158</v>
      </c>
    </row>
    <row r="274" spans="2:43" ht="6.75" customHeight="1" outlineLevel="1" x14ac:dyDescent="0.3">
      <c r="B274" s="686"/>
      <c r="C274" s="687"/>
      <c r="D274" s="382"/>
      <c r="E274" s="382"/>
      <c r="F274" s="382"/>
      <c r="G274" s="382"/>
      <c r="H274" s="383"/>
      <c r="I274" s="382"/>
      <c r="J274" s="382"/>
      <c r="K274" s="382"/>
      <c r="L274" s="382"/>
      <c r="M274" s="383"/>
      <c r="N274" s="382"/>
      <c r="O274" s="382"/>
      <c r="P274" s="382"/>
      <c r="Q274" s="388"/>
      <c r="R274" s="389"/>
      <c r="S274" s="388"/>
      <c r="T274" s="388"/>
      <c r="U274" s="388"/>
      <c r="V274" s="388"/>
      <c r="W274" s="389"/>
      <c r="X274" s="388"/>
      <c r="Y274" s="388"/>
      <c r="Z274" s="388"/>
      <c r="AA274" s="388"/>
      <c r="AB274" s="389"/>
      <c r="AC274" s="388"/>
      <c r="AD274" s="388"/>
      <c r="AE274" s="388"/>
      <c r="AF274" s="388"/>
      <c r="AG274" s="389"/>
      <c r="AH274" s="388"/>
      <c r="AI274" s="388"/>
      <c r="AJ274" s="388"/>
      <c r="AK274" s="388"/>
      <c r="AL274" s="389"/>
      <c r="AM274" s="388"/>
      <c r="AN274" s="388"/>
      <c r="AO274" s="388"/>
      <c r="AP274" s="388"/>
      <c r="AQ274" s="389"/>
    </row>
    <row r="275" spans="2:43" ht="14.25" customHeight="1" outlineLevel="1" x14ac:dyDescent="0.3">
      <c r="B275" s="672" t="s">
        <v>48</v>
      </c>
      <c r="C275" s="673"/>
      <c r="D275" s="390">
        <v>0</v>
      </c>
      <c r="E275" s="390">
        <f t="shared" ref="E275:AQ275" si="75">D275</f>
        <v>0</v>
      </c>
      <c r="F275" s="390">
        <f t="shared" si="75"/>
        <v>0</v>
      </c>
      <c r="G275" s="390">
        <f t="shared" si="75"/>
        <v>0</v>
      </c>
      <c r="H275" s="391">
        <f t="shared" si="75"/>
        <v>0</v>
      </c>
      <c r="I275" s="390">
        <f t="shared" si="75"/>
        <v>0</v>
      </c>
      <c r="J275" s="390">
        <f t="shared" si="75"/>
        <v>0</v>
      </c>
      <c r="K275" s="390">
        <f t="shared" si="75"/>
        <v>0</v>
      </c>
      <c r="L275" s="390">
        <f t="shared" si="75"/>
        <v>0</v>
      </c>
      <c r="M275" s="391">
        <f t="shared" si="75"/>
        <v>0</v>
      </c>
      <c r="N275" s="390">
        <f t="shared" si="75"/>
        <v>0</v>
      </c>
      <c r="O275" s="390">
        <f t="shared" si="75"/>
        <v>0</v>
      </c>
      <c r="P275" s="390">
        <f t="shared" si="75"/>
        <v>0</v>
      </c>
      <c r="Q275" s="390">
        <f t="shared" si="75"/>
        <v>0</v>
      </c>
      <c r="R275" s="391">
        <f t="shared" si="75"/>
        <v>0</v>
      </c>
      <c r="S275" s="390">
        <f t="shared" si="75"/>
        <v>0</v>
      </c>
      <c r="T275" s="390">
        <f t="shared" si="75"/>
        <v>0</v>
      </c>
      <c r="U275" s="390">
        <f t="shared" si="75"/>
        <v>0</v>
      </c>
      <c r="V275" s="390">
        <f t="shared" si="75"/>
        <v>0</v>
      </c>
      <c r="W275" s="391">
        <f t="shared" si="75"/>
        <v>0</v>
      </c>
      <c r="X275" s="390">
        <f t="shared" si="75"/>
        <v>0</v>
      </c>
      <c r="Y275" s="390">
        <f t="shared" si="75"/>
        <v>0</v>
      </c>
      <c r="Z275" s="390">
        <f t="shared" si="75"/>
        <v>0</v>
      </c>
      <c r="AA275" s="390">
        <f t="shared" si="75"/>
        <v>0</v>
      </c>
      <c r="AB275" s="391">
        <f t="shared" si="75"/>
        <v>0</v>
      </c>
      <c r="AC275" s="390">
        <f t="shared" si="75"/>
        <v>0</v>
      </c>
      <c r="AD275" s="390">
        <f t="shared" si="75"/>
        <v>0</v>
      </c>
      <c r="AE275" s="390">
        <f t="shared" si="75"/>
        <v>0</v>
      </c>
      <c r="AF275" s="390">
        <f t="shared" si="75"/>
        <v>0</v>
      </c>
      <c r="AG275" s="391">
        <f t="shared" si="75"/>
        <v>0</v>
      </c>
      <c r="AH275" s="390">
        <f t="shared" si="75"/>
        <v>0</v>
      </c>
      <c r="AI275" s="390">
        <f t="shared" si="75"/>
        <v>0</v>
      </c>
      <c r="AJ275" s="390">
        <f t="shared" si="75"/>
        <v>0</v>
      </c>
      <c r="AK275" s="390">
        <f t="shared" si="75"/>
        <v>0</v>
      </c>
      <c r="AL275" s="391">
        <f t="shared" si="75"/>
        <v>0</v>
      </c>
      <c r="AM275" s="390">
        <f t="shared" si="75"/>
        <v>0</v>
      </c>
      <c r="AN275" s="390">
        <f t="shared" si="75"/>
        <v>0</v>
      </c>
      <c r="AO275" s="390">
        <f t="shared" si="75"/>
        <v>0</v>
      </c>
      <c r="AP275" s="390">
        <f t="shared" si="75"/>
        <v>0</v>
      </c>
      <c r="AQ275" s="391">
        <f t="shared" si="75"/>
        <v>0</v>
      </c>
    </row>
    <row r="276" spans="2:43" ht="15.6" x14ac:dyDescent="0.3">
      <c r="B276" s="630" t="s">
        <v>406</v>
      </c>
      <c r="C276" s="638"/>
      <c r="D276" s="95" t="s">
        <v>71</v>
      </c>
      <c r="E276" s="95" t="s">
        <v>74</v>
      </c>
      <c r="F276" s="95" t="s">
        <v>75</v>
      </c>
      <c r="G276" s="95" t="s">
        <v>79</v>
      </c>
      <c r="H276" s="408" t="s">
        <v>80</v>
      </c>
      <c r="I276" s="95" t="s">
        <v>81</v>
      </c>
      <c r="J276" s="95" t="s">
        <v>92</v>
      </c>
      <c r="K276" s="95" t="s">
        <v>110</v>
      </c>
      <c r="L276" s="95" t="s">
        <v>114</v>
      </c>
      <c r="M276" s="408" t="s">
        <v>115</v>
      </c>
      <c r="N276" s="95" t="s">
        <v>116</v>
      </c>
      <c r="O276" s="95" t="s">
        <v>117</v>
      </c>
      <c r="P276" s="95" t="s">
        <v>118</v>
      </c>
      <c r="Q276" s="95" t="s">
        <v>119</v>
      </c>
      <c r="R276" s="408" t="s">
        <v>120</v>
      </c>
      <c r="S276" s="95" t="s">
        <v>518</v>
      </c>
      <c r="T276" s="97" t="s">
        <v>378</v>
      </c>
      <c r="U276" s="97" t="s">
        <v>379</v>
      </c>
      <c r="V276" s="97" t="s">
        <v>380</v>
      </c>
      <c r="W276" s="412" t="s">
        <v>381</v>
      </c>
      <c r="X276" s="97" t="s">
        <v>382</v>
      </c>
      <c r="Y276" s="97" t="s">
        <v>383</v>
      </c>
      <c r="Z276" s="97" t="s">
        <v>384</v>
      </c>
      <c r="AA276" s="97" t="s">
        <v>385</v>
      </c>
      <c r="AB276" s="412" t="s">
        <v>386</v>
      </c>
      <c r="AC276" s="97" t="s">
        <v>387</v>
      </c>
      <c r="AD276" s="97" t="s">
        <v>388</v>
      </c>
      <c r="AE276" s="97" t="s">
        <v>389</v>
      </c>
      <c r="AF276" s="97" t="s">
        <v>390</v>
      </c>
      <c r="AG276" s="412" t="s">
        <v>391</v>
      </c>
      <c r="AH276" s="97" t="s">
        <v>392</v>
      </c>
      <c r="AI276" s="97" t="s">
        <v>393</v>
      </c>
      <c r="AJ276" s="97" t="s">
        <v>394</v>
      </c>
      <c r="AK276" s="97" t="s">
        <v>395</v>
      </c>
      <c r="AL276" s="412" t="s">
        <v>396</v>
      </c>
      <c r="AM276" s="97" t="s">
        <v>397</v>
      </c>
      <c r="AN276" s="97" t="s">
        <v>398</v>
      </c>
      <c r="AO276" s="97" t="s">
        <v>399</v>
      </c>
      <c r="AP276" s="97" t="s">
        <v>400</v>
      </c>
      <c r="AQ276" s="412" t="s">
        <v>401</v>
      </c>
    </row>
    <row r="277" spans="2:43" outlineLevel="1" x14ac:dyDescent="0.3">
      <c r="B277" s="628" t="s">
        <v>11</v>
      </c>
      <c r="C277" s="629"/>
      <c r="D277" s="105">
        <v>32</v>
      </c>
      <c r="E277" s="98">
        <v>32</v>
      </c>
      <c r="F277" s="98">
        <v>32</v>
      </c>
      <c r="G277" s="98">
        <v>32</v>
      </c>
      <c r="H277" s="99">
        <f>G277</f>
        <v>32</v>
      </c>
      <c r="I277" s="98">
        <v>32</v>
      </c>
      <c r="J277" s="105">
        <v>32</v>
      </c>
      <c r="K277" s="98">
        <v>32</v>
      </c>
      <c r="L277" s="98">
        <v>32</v>
      </c>
      <c r="M277" s="99">
        <f>L277</f>
        <v>32</v>
      </c>
      <c r="N277" s="98">
        <v>32</v>
      </c>
      <c r="O277" s="98">
        <v>32</v>
      </c>
      <c r="P277" s="98">
        <v>32</v>
      </c>
      <c r="Q277" s="98">
        <v>32</v>
      </c>
      <c r="R277" s="99">
        <f>Q277</f>
        <v>32</v>
      </c>
      <c r="S277" s="105">
        <v>32</v>
      </c>
      <c r="T277" s="98">
        <f>S277</f>
        <v>32</v>
      </c>
      <c r="U277" s="98">
        <f>T277</f>
        <v>32</v>
      </c>
      <c r="V277" s="98">
        <f>U277</f>
        <v>32</v>
      </c>
      <c r="W277" s="99">
        <f>V277</f>
        <v>32</v>
      </c>
      <c r="X277" s="98">
        <f>V277</f>
        <v>32</v>
      </c>
      <c r="Y277" s="98">
        <f>X277</f>
        <v>32</v>
      </c>
      <c r="Z277" s="98">
        <f>Y277</f>
        <v>32</v>
      </c>
      <c r="AA277" s="98">
        <f>Z277</f>
        <v>32</v>
      </c>
      <c r="AB277" s="99">
        <f>AA277</f>
        <v>32</v>
      </c>
      <c r="AC277" s="98">
        <f>AA277</f>
        <v>32</v>
      </c>
      <c r="AD277" s="98">
        <f>AC277</f>
        <v>32</v>
      </c>
      <c r="AE277" s="98">
        <f>AD277</f>
        <v>32</v>
      </c>
      <c r="AF277" s="98">
        <f>AE277</f>
        <v>32</v>
      </c>
      <c r="AG277" s="99">
        <f>AF277</f>
        <v>32</v>
      </c>
      <c r="AH277" s="98">
        <f>AF277</f>
        <v>32</v>
      </c>
      <c r="AI277" s="98">
        <f>AH277</f>
        <v>32</v>
      </c>
      <c r="AJ277" s="98">
        <f>AI277</f>
        <v>32</v>
      </c>
      <c r="AK277" s="98">
        <f>AJ277</f>
        <v>32</v>
      </c>
      <c r="AL277" s="99">
        <f>AK277</f>
        <v>32</v>
      </c>
      <c r="AM277" s="98">
        <f>AK277</f>
        <v>32</v>
      </c>
      <c r="AN277" s="98">
        <f>AM277</f>
        <v>32</v>
      </c>
      <c r="AO277" s="98">
        <f>AN277</f>
        <v>32</v>
      </c>
      <c r="AP277" s="98">
        <f>AO277</f>
        <v>32</v>
      </c>
      <c r="AQ277" s="99">
        <f>AP277</f>
        <v>32</v>
      </c>
    </row>
    <row r="278" spans="2:43" outlineLevel="1" x14ac:dyDescent="0.3">
      <c r="B278" s="291" t="s">
        <v>223</v>
      </c>
      <c r="C278" s="292"/>
      <c r="D278" s="105">
        <v>2814</v>
      </c>
      <c r="E278" s="98">
        <v>2839</v>
      </c>
      <c r="F278" s="98">
        <v>2869</v>
      </c>
      <c r="G278" s="98">
        <v>2892</v>
      </c>
      <c r="H278" s="99">
        <f>G278</f>
        <v>2892</v>
      </c>
      <c r="I278" s="98">
        <v>2918</v>
      </c>
      <c r="J278" s="105">
        <v>2946</v>
      </c>
      <c r="K278" s="98">
        <v>2976</v>
      </c>
      <c r="L278" s="98">
        <v>3005</v>
      </c>
      <c r="M278" s="99">
        <f>L278</f>
        <v>3005</v>
      </c>
      <c r="N278" s="98">
        <v>3030</v>
      </c>
      <c r="O278" s="98">
        <v>3055</v>
      </c>
      <c r="P278" s="98">
        <v>3085</v>
      </c>
      <c r="Q278" s="98">
        <v>3117</v>
      </c>
      <c r="R278" s="99">
        <f>Q278</f>
        <v>3117</v>
      </c>
      <c r="S278" s="105">
        <v>3154</v>
      </c>
      <c r="T278" s="98">
        <f>+T312+S278</f>
        <v>3199.7005600154803</v>
      </c>
      <c r="U278" s="98">
        <f>+U312+T278</f>
        <v>3245.9599526958364</v>
      </c>
      <c r="V278" s="98">
        <f>+V312+U278</f>
        <v>3297.3327738582557</v>
      </c>
      <c r="W278" s="99">
        <f>V278</f>
        <v>3297.3327738582557</v>
      </c>
      <c r="X278" s="98">
        <f>+X312+V278</f>
        <v>3350.9275532383672</v>
      </c>
      <c r="Y278" s="98">
        <f>+Y312+X278</f>
        <v>3401.6227303122823</v>
      </c>
      <c r="Z278" s="98">
        <f>+Z312+Y278</f>
        <v>3453.6022996389206</v>
      </c>
      <c r="AA278" s="98">
        <f>+AA312+Z278</f>
        <v>3508.8254180261019</v>
      </c>
      <c r="AB278" s="99">
        <f>AA278</f>
        <v>3508.8254180261019</v>
      </c>
      <c r="AC278" s="98">
        <f>+AC312+AA278</f>
        <v>3562.3415771059949</v>
      </c>
      <c r="AD278" s="98">
        <f>+AD312+AC278</f>
        <v>3616.8208444499001</v>
      </c>
      <c r="AE278" s="98">
        <f>+AE312+AD278</f>
        <v>3672.3322400405846</v>
      </c>
      <c r="AF278" s="98">
        <f>+AF312+AE278</f>
        <v>3730.5911367587209</v>
      </c>
      <c r="AG278" s="99">
        <f>AF278</f>
        <v>3730.5911367587209</v>
      </c>
      <c r="AH278" s="98">
        <f>+AH312+AF278</f>
        <v>3786.5124431097365</v>
      </c>
      <c r="AI278" s="98">
        <f>+AI312+AH278</f>
        <v>3844.0720968123542</v>
      </c>
      <c r="AJ278" s="98">
        <f>+AJ312+AI278</f>
        <v>3902.5447868441788</v>
      </c>
      <c r="AK278" s="98">
        <f>+AK312+AJ278</f>
        <v>3963.6951408437371</v>
      </c>
      <c r="AL278" s="99">
        <f>AK278</f>
        <v>3963.6951408437371</v>
      </c>
      <c r="AM278" s="98">
        <f>+AM312+AK278</f>
        <v>4022.2988908121247</v>
      </c>
      <c r="AN278" s="98">
        <f>+AN312+AM278</f>
        <v>4082.6169358734264</v>
      </c>
      <c r="AO278" s="98">
        <f>+AO312+AN278</f>
        <v>4143.8327801877349</v>
      </c>
      <c r="AP278" s="98">
        <f>+AP312+AO278</f>
        <v>4207.7503197847591</v>
      </c>
      <c r="AQ278" s="99">
        <f>AP278</f>
        <v>4207.7503197847591</v>
      </c>
    </row>
    <row r="279" spans="2:43" outlineLevel="1" x14ac:dyDescent="0.3">
      <c r="B279" s="684" t="s">
        <v>49</v>
      </c>
      <c r="C279" s="685"/>
      <c r="D279" s="105">
        <v>17434</v>
      </c>
      <c r="E279" s="98">
        <v>18048</v>
      </c>
      <c r="F279" s="98">
        <v>18481</v>
      </c>
      <c r="G279" s="98">
        <v>18371</v>
      </c>
      <c r="H279" s="99">
        <f>G279</f>
        <v>18371</v>
      </c>
      <c r="I279" s="98">
        <v>18862</v>
      </c>
      <c r="J279" s="105">
        <v>19410</v>
      </c>
      <c r="K279" s="98">
        <v>19830</v>
      </c>
      <c r="L279" s="98">
        <v>20833</v>
      </c>
      <c r="M279" s="99">
        <f>L279</f>
        <v>20833</v>
      </c>
      <c r="N279" s="98">
        <v>21156</v>
      </c>
      <c r="O279" s="98">
        <v>21785</v>
      </c>
      <c r="P279" s="98">
        <v>23710</v>
      </c>
      <c r="Q279" s="98">
        <v>24823</v>
      </c>
      <c r="R279" s="99">
        <f>Q279</f>
        <v>24823</v>
      </c>
      <c r="S279" s="105">
        <v>25315</v>
      </c>
      <c r="T279" s="98">
        <f>S279+T309+T334</f>
        <v>26132.226927825966</v>
      </c>
      <c r="U279" s="98">
        <f>T279+U309+U334</f>
        <v>26909.596297005548</v>
      </c>
      <c r="V279" s="98">
        <f>U279+V309+V334</f>
        <v>28453.882746394946</v>
      </c>
      <c r="W279" s="99">
        <f>V279</f>
        <v>28453.882746394946</v>
      </c>
      <c r="X279" s="98">
        <f>V279+X309+X334</f>
        <v>29384.50196187101</v>
      </c>
      <c r="Y279" s="98">
        <f>X279+Y309+Y334</f>
        <v>30347.80618456778</v>
      </c>
      <c r="Z279" s="98">
        <f>Y279+Z309+Z334</f>
        <v>31236.104735839337</v>
      </c>
      <c r="AA279" s="98">
        <f>Z279+AA309+AA334</f>
        <v>32915.640386449304</v>
      </c>
      <c r="AB279" s="99">
        <f>AA279</f>
        <v>32915.640386449304</v>
      </c>
      <c r="AC279" s="98">
        <f>AA279+AC309+AC334</f>
        <v>34011.710050930473</v>
      </c>
      <c r="AD279" s="98">
        <f>AC279+AD309+AD334</f>
        <v>35125.341454802554</v>
      </c>
      <c r="AE279" s="98">
        <f>AD279+AE309+AE334</f>
        <v>36173.530082378726</v>
      </c>
      <c r="AF279" s="98">
        <f>AE279+AF309+AF334</f>
        <v>38029.513020338345</v>
      </c>
      <c r="AG279" s="99">
        <f>AF279</f>
        <v>38029.513020338345</v>
      </c>
      <c r="AH279" s="98">
        <f>AF279+AH309+AH334</f>
        <v>39055.399543193664</v>
      </c>
      <c r="AI279" s="98">
        <f>AH279+AI309+AI334</f>
        <v>40077.513183977557</v>
      </c>
      <c r="AJ279" s="98">
        <f>AI279+AJ309+AJ334</f>
        <v>41036.150401679864</v>
      </c>
      <c r="AK279" s="98">
        <f>AJ279+AK309+AK334</f>
        <v>42837.927655446576</v>
      </c>
      <c r="AL279" s="99">
        <f>AK279</f>
        <v>42837.927655446576</v>
      </c>
      <c r="AM279" s="98">
        <f>AK279+AM309+AM334</f>
        <v>43807.38318982334</v>
      </c>
      <c r="AN279" s="98">
        <f>AM279+AN309+AN334</f>
        <v>44750.099533384535</v>
      </c>
      <c r="AO279" s="98">
        <f>AN279+AO309+AO334</f>
        <v>45631.396247033808</v>
      </c>
      <c r="AP279" s="98">
        <f>AO279+AP309+AP334</f>
        <v>47386.897576293057</v>
      </c>
      <c r="AQ279" s="99">
        <f>AP279</f>
        <v>47386.897576293057</v>
      </c>
    </row>
    <row r="280" spans="2:43" outlineLevel="1" x14ac:dyDescent="0.3">
      <c r="B280" s="254" t="s">
        <v>314</v>
      </c>
      <c r="C280" s="303"/>
      <c r="D280" s="105"/>
      <c r="E280" s="98"/>
      <c r="F280" s="98"/>
      <c r="G280" s="98"/>
      <c r="H280" s="99"/>
      <c r="I280" s="98"/>
      <c r="J280" s="105"/>
      <c r="K280" s="98"/>
      <c r="L280" s="98"/>
      <c r="M280" s="99"/>
      <c r="N280" s="98"/>
      <c r="O280" s="98"/>
      <c r="P280" s="98"/>
      <c r="Q280" s="77"/>
      <c r="R280" s="99"/>
      <c r="S280" s="46"/>
      <c r="T280" s="77"/>
      <c r="U280" s="77"/>
      <c r="V280" s="77"/>
      <c r="W280" s="48"/>
      <c r="X280" s="77"/>
      <c r="Y280" s="77"/>
      <c r="Z280" s="77"/>
      <c r="AA280" s="77"/>
      <c r="AB280" s="48"/>
      <c r="AC280" s="77"/>
      <c r="AD280" s="77"/>
      <c r="AE280" s="77"/>
      <c r="AF280" s="77"/>
      <c r="AG280" s="48"/>
      <c r="AH280" s="77"/>
      <c r="AI280" s="77"/>
      <c r="AJ280" s="77"/>
      <c r="AK280" s="77"/>
      <c r="AL280" s="48"/>
      <c r="AM280" s="77"/>
      <c r="AN280" s="77"/>
      <c r="AO280" s="77"/>
      <c r="AP280" s="77"/>
      <c r="AQ280" s="48"/>
    </row>
    <row r="281" spans="2:43" outlineLevel="1" x14ac:dyDescent="0.3">
      <c r="B281" s="255" t="s">
        <v>317</v>
      </c>
      <c r="C281" s="303"/>
      <c r="D281" s="105"/>
      <c r="E281" s="98"/>
      <c r="F281" s="98"/>
      <c r="G281" s="98"/>
      <c r="H281" s="99">
        <v>-514</v>
      </c>
      <c r="I281" s="98"/>
      <c r="J281" s="105"/>
      <c r="K281" s="98"/>
      <c r="L281" s="98"/>
      <c r="M281" s="99">
        <v>-685</v>
      </c>
      <c r="N281" s="98"/>
      <c r="O281" s="98"/>
      <c r="P281" s="98"/>
      <c r="Q281" s="105"/>
      <c r="R281" s="117">
        <v>-759</v>
      </c>
      <c r="S281" s="105">
        <v>-921</v>
      </c>
      <c r="T281" s="105">
        <f>+S281-T339</f>
        <v>-921</v>
      </c>
      <c r="U281" s="105">
        <f>+T281-U339</f>
        <v>-921</v>
      </c>
      <c r="V281" s="105">
        <f>+U281-V339</f>
        <v>-921</v>
      </c>
      <c r="W281" s="117">
        <f>+V281</f>
        <v>-921</v>
      </c>
      <c r="X281" s="105">
        <f>+W281-X339</f>
        <v>-921</v>
      </c>
      <c r="Y281" s="105">
        <f>+X281-Y339</f>
        <v>-921</v>
      </c>
      <c r="Z281" s="105">
        <f>+Y281-Z339</f>
        <v>-921</v>
      </c>
      <c r="AA281" s="105">
        <f>+Z281-AA339</f>
        <v>-921</v>
      </c>
      <c r="AB281" s="117">
        <f>+AA281</f>
        <v>-921</v>
      </c>
      <c r="AC281" s="105">
        <f>+AB281-AC339</f>
        <v>-921</v>
      </c>
      <c r="AD281" s="105">
        <f>+AC281-AD339</f>
        <v>-921</v>
      </c>
      <c r="AE281" s="105">
        <f>+AD281-AE339</f>
        <v>-921</v>
      </c>
      <c r="AF281" s="105">
        <f>+AE281-AF339</f>
        <v>-921</v>
      </c>
      <c r="AG281" s="117">
        <f>+AF281</f>
        <v>-921</v>
      </c>
      <c r="AH281" s="105">
        <f>+AG281-AH339</f>
        <v>-921</v>
      </c>
      <c r="AI281" s="105">
        <f>+AH281-AI339</f>
        <v>-921</v>
      </c>
      <c r="AJ281" s="105">
        <f>+AI281-AJ339</f>
        <v>-921</v>
      </c>
      <c r="AK281" s="105">
        <f>+AJ281-AK339</f>
        <v>-921</v>
      </c>
      <c r="AL281" s="117">
        <f>+AK281</f>
        <v>-921</v>
      </c>
      <c r="AM281" s="105">
        <f>+AL281-AM339</f>
        <v>-921</v>
      </c>
      <c r="AN281" s="105">
        <f>+AM281-AN339</f>
        <v>-921</v>
      </c>
      <c r="AO281" s="105">
        <f>+AN281-AO339</f>
        <v>-921</v>
      </c>
      <c r="AP281" s="105">
        <f>+AO281-AP339</f>
        <v>-921</v>
      </c>
      <c r="AQ281" s="117">
        <f>+AP281</f>
        <v>-921</v>
      </c>
    </row>
    <row r="282" spans="2:43" outlineLevel="1" x14ac:dyDescent="0.3">
      <c r="B282" s="255" t="s">
        <v>318</v>
      </c>
      <c r="C282" s="303"/>
      <c r="D282" s="105"/>
      <c r="E282" s="98"/>
      <c r="F282" s="98"/>
      <c r="G282" s="98"/>
      <c r="H282" s="99">
        <v>345</v>
      </c>
      <c r="I282" s="98"/>
      <c r="J282" s="105"/>
      <c r="K282" s="98"/>
      <c r="L282" s="98"/>
      <c r="M282" s="99">
        <f>H282+(M192+M193)</f>
        <v>270</v>
      </c>
      <c r="N282" s="98"/>
      <c r="O282" s="98"/>
      <c r="P282" s="98"/>
      <c r="Q282" s="77"/>
      <c r="R282" s="117">
        <v>181</v>
      </c>
      <c r="S282" s="105">
        <v>158</v>
      </c>
      <c r="T282" s="98">
        <f>+S282+T194</f>
        <v>135.75</v>
      </c>
      <c r="U282" s="98">
        <f>+T282+U194</f>
        <v>113.5</v>
      </c>
      <c r="V282" s="98">
        <f>+U282+V194</f>
        <v>91.25</v>
      </c>
      <c r="W282" s="99">
        <f>+V282</f>
        <v>91.25</v>
      </c>
      <c r="X282" s="98">
        <f>+W282+X194</f>
        <v>68.8125</v>
      </c>
      <c r="Y282" s="98">
        <f>+X282+Y194</f>
        <v>46.375</v>
      </c>
      <c r="Z282" s="98">
        <f>+Y282+Z194</f>
        <v>23.9375</v>
      </c>
      <c r="AA282" s="98">
        <f>+Z282+AA194</f>
        <v>1.5</v>
      </c>
      <c r="AB282" s="99">
        <f>+AA282</f>
        <v>1.5</v>
      </c>
      <c r="AC282" s="98">
        <f>+AB282+AC194</f>
        <v>-20.9375</v>
      </c>
      <c r="AD282" s="98">
        <f>+AC282+AD194</f>
        <v>-43.375</v>
      </c>
      <c r="AE282" s="98">
        <f>+AD282+AE194</f>
        <v>-65.8125</v>
      </c>
      <c r="AF282" s="98">
        <f>+AE282+AF194</f>
        <v>-88.25</v>
      </c>
      <c r="AG282" s="99">
        <f>+AF282</f>
        <v>-88.25</v>
      </c>
      <c r="AH282" s="98">
        <f>+AG282+AH194</f>
        <v>-110.6875</v>
      </c>
      <c r="AI282" s="98">
        <f>+AH282+AI194</f>
        <v>-133.125</v>
      </c>
      <c r="AJ282" s="98">
        <f>+AI282+AJ194</f>
        <v>-155.5625</v>
      </c>
      <c r="AK282" s="98">
        <f>+AJ282+AK194</f>
        <v>-178</v>
      </c>
      <c r="AL282" s="99">
        <f>+AK282</f>
        <v>-178</v>
      </c>
      <c r="AM282" s="98">
        <f>+AL282+AM194</f>
        <v>-200.4375</v>
      </c>
      <c r="AN282" s="98">
        <f>+AM282+AN194</f>
        <v>-222.875</v>
      </c>
      <c r="AO282" s="98">
        <f>+AN282+AO194</f>
        <v>-245.3125</v>
      </c>
      <c r="AP282" s="98">
        <f>+AO282+AP194</f>
        <v>-267.75</v>
      </c>
      <c r="AQ282" s="99">
        <f>+AP282</f>
        <v>-267.75</v>
      </c>
    </row>
    <row r="283" spans="2:43" ht="16.2" outlineLevel="1" x14ac:dyDescent="0.45">
      <c r="B283" s="255" t="s">
        <v>316</v>
      </c>
      <c r="C283" s="303"/>
      <c r="D283" s="105"/>
      <c r="E283" s="98"/>
      <c r="F283" s="98"/>
      <c r="G283" s="98"/>
      <c r="H283" s="104">
        <v>0</v>
      </c>
      <c r="I283" s="98"/>
      <c r="J283" s="105"/>
      <c r="K283" s="98"/>
      <c r="L283" s="98"/>
      <c r="M283" s="104">
        <v>0</v>
      </c>
      <c r="N283" s="98"/>
      <c r="O283" s="98"/>
      <c r="P283" s="98"/>
      <c r="Q283" s="314"/>
      <c r="R283" s="158">
        <f>+M283</f>
        <v>0</v>
      </c>
      <c r="S283" s="106">
        <v>0</v>
      </c>
      <c r="T283" s="103">
        <v>0</v>
      </c>
      <c r="U283" s="103">
        <v>0</v>
      </c>
      <c r="V283" s="103">
        <v>0</v>
      </c>
      <c r="W283" s="104">
        <f>+R283</f>
        <v>0</v>
      </c>
      <c r="X283" s="103">
        <v>0</v>
      </c>
      <c r="Y283" s="103">
        <v>0</v>
      </c>
      <c r="Z283" s="103">
        <v>0</v>
      </c>
      <c r="AA283" s="103">
        <v>0</v>
      </c>
      <c r="AB283" s="104">
        <f>+W283</f>
        <v>0</v>
      </c>
      <c r="AC283" s="103">
        <v>0</v>
      </c>
      <c r="AD283" s="103">
        <v>0</v>
      </c>
      <c r="AE283" s="103">
        <v>0</v>
      </c>
      <c r="AF283" s="103">
        <v>0</v>
      </c>
      <c r="AG283" s="104">
        <f>+AB283</f>
        <v>0</v>
      </c>
      <c r="AH283" s="103">
        <v>0</v>
      </c>
      <c r="AI283" s="103">
        <v>0</v>
      </c>
      <c r="AJ283" s="103">
        <v>0</v>
      </c>
      <c r="AK283" s="103">
        <v>0</v>
      </c>
      <c r="AL283" s="104">
        <f>+AG283</f>
        <v>0</v>
      </c>
      <c r="AM283" s="103">
        <v>0</v>
      </c>
      <c r="AN283" s="103">
        <v>0</v>
      </c>
      <c r="AO283" s="103">
        <v>0</v>
      </c>
      <c r="AP283" s="103">
        <v>0</v>
      </c>
      <c r="AQ283" s="104">
        <f>+AL283</f>
        <v>0</v>
      </c>
    </row>
    <row r="284" spans="2:43" s="60" customFormat="1" outlineLevel="1" x14ac:dyDescent="0.3">
      <c r="B284" s="682" t="s">
        <v>315</v>
      </c>
      <c r="C284" s="683"/>
      <c r="D284" s="112">
        <v>10</v>
      </c>
      <c r="E284" s="112">
        <v>-41</v>
      </c>
      <c r="F284" s="112">
        <v>-159</v>
      </c>
      <c r="G284" s="112">
        <v>-169</v>
      </c>
      <c r="H284" s="113">
        <f>+SUM(H281:H283)</f>
        <v>-169</v>
      </c>
      <c r="I284" s="112">
        <v>-176</v>
      </c>
      <c r="J284" s="114">
        <v>-425</v>
      </c>
      <c r="K284" s="112">
        <v>-334</v>
      </c>
      <c r="L284" s="112">
        <v>-415</v>
      </c>
      <c r="M284" s="113">
        <f>+SUM(M281:M283)</f>
        <v>-415</v>
      </c>
      <c r="N284" s="112">
        <v>-325</v>
      </c>
      <c r="O284" s="112">
        <v>-434</v>
      </c>
      <c r="P284" s="112">
        <v>-357</v>
      </c>
      <c r="Q284" s="112">
        <v>-578</v>
      </c>
      <c r="R284" s="113">
        <f t="shared" ref="R284:AQ284" si="76">+SUM(R281:R283)</f>
        <v>-578</v>
      </c>
      <c r="S284" s="114">
        <f t="shared" si="76"/>
        <v>-763</v>
      </c>
      <c r="T284" s="112">
        <f t="shared" si="76"/>
        <v>-785.25</v>
      </c>
      <c r="U284" s="112">
        <f t="shared" si="76"/>
        <v>-807.5</v>
      </c>
      <c r="V284" s="112">
        <f>+SUM(V281:V283)</f>
        <v>-829.75</v>
      </c>
      <c r="W284" s="113">
        <f>+SUM(W281:W283)</f>
        <v>-829.75</v>
      </c>
      <c r="X284" s="112">
        <f t="shared" si="76"/>
        <v>-852.1875</v>
      </c>
      <c r="Y284" s="112">
        <f t="shared" si="76"/>
        <v>-874.625</v>
      </c>
      <c r="Z284" s="112">
        <f t="shared" si="76"/>
        <v>-897.0625</v>
      </c>
      <c r="AA284" s="112">
        <f t="shared" si="76"/>
        <v>-919.5</v>
      </c>
      <c r="AB284" s="113">
        <f t="shared" si="76"/>
        <v>-919.5</v>
      </c>
      <c r="AC284" s="112">
        <f t="shared" si="76"/>
        <v>-941.9375</v>
      </c>
      <c r="AD284" s="112">
        <f t="shared" si="76"/>
        <v>-964.375</v>
      </c>
      <c r="AE284" s="112">
        <f t="shared" si="76"/>
        <v>-986.8125</v>
      </c>
      <c r="AF284" s="112">
        <f t="shared" si="76"/>
        <v>-1009.25</v>
      </c>
      <c r="AG284" s="113">
        <f t="shared" si="76"/>
        <v>-1009.25</v>
      </c>
      <c r="AH284" s="112">
        <f t="shared" si="76"/>
        <v>-1031.6875</v>
      </c>
      <c r="AI284" s="112">
        <f t="shared" si="76"/>
        <v>-1054.125</v>
      </c>
      <c r="AJ284" s="112">
        <f t="shared" si="76"/>
        <v>-1076.5625</v>
      </c>
      <c r="AK284" s="112">
        <f t="shared" si="76"/>
        <v>-1099</v>
      </c>
      <c r="AL284" s="113">
        <f t="shared" si="76"/>
        <v>-1099</v>
      </c>
      <c r="AM284" s="112">
        <f t="shared" si="76"/>
        <v>-1121.4375</v>
      </c>
      <c r="AN284" s="112">
        <f t="shared" si="76"/>
        <v>-1143.875</v>
      </c>
      <c r="AO284" s="112">
        <f t="shared" si="76"/>
        <v>-1166.3125</v>
      </c>
      <c r="AP284" s="112">
        <f t="shared" si="76"/>
        <v>-1188.75</v>
      </c>
      <c r="AQ284" s="113">
        <f t="shared" si="76"/>
        <v>-1188.75</v>
      </c>
    </row>
    <row r="285" spans="2:43" ht="16.2" outlineLevel="1" x14ac:dyDescent="0.45">
      <c r="B285" s="156" t="s">
        <v>224</v>
      </c>
      <c r="C285" s="157"/>
      <c r="D285" s="103">
        <v>-5007</v>
      </c>
      <c r="E285" s="103">
        <v>-5888</v>
      </c>
      <c r="F285" s="103">
        <v>-6896</v>
      </c>
      <c r="G285" s="103">
        <v>-7342</v>
      </c>
      <c r="H285" s="104">
        <f>G285</f>
        <v>-7342</v>
      </c>
      <c r="I285" s="103">
        <v>-7494</v>
      </c>
      <c r="J285" s="106">
        <v>-7432</v>
      </c>
      <c r="K285" s="103">
        <v>-7320</v>
      </c>
      <c r="L285" s="103">
        <v>-7382</v>
      </c>
      <c r="M285" s="104">
        <f>L285</f>
        <v>-7382</v>
      </c>
      <c r="N285" s="103">
        <v>-7275</v>
      </c>
      <c r="O285" s="103">
        <v>-7383</v>
      </c>
      <c r="P285" s="103">
        <v>-7576</v>
      </c>
      <c r="Q285" s="103">
        <v>-7978</v>
      </c>
      <c r="R285" s="104">
        <f>Q285</f>
        <v>-7978</v>
      </c>
      <c r="S285" s="106">
        <v>-8565</v>
      </c>
      <c r="T285" s="106">
        <f>+S285-T231</f>
        <v>-8765</v>
      </c>
      <c r="U285" s="106">
        <f>+T285-U231</f>
        <v>-8965</v>
      </c>
      <c r="V285" s="106">
        <f>+U285-V231</f>
        <v>-9065</v>
      </c>
      <c r="W285" s="158">
        <f>V285</f>
        <v>-9065</v>
      </c>
      <c r="X285" s="106">
        <f>+V285-X231</f>
        <v>-9346.1538249999994</v>
      </c>
      <c r="Y285" s="106">
        <f>+X285-Y231</f>
        <v>-9541.4422812499997</v>
      </c>
      <c r="Z285" s="106">
        <f>+Y285-Z231</f>
        <v>-9735.5528515624992</v>
      </c>
      <c r="AA285" s="106">
        <f>+Z285-AA231</f>
        <v>-9928.1910644531235</v>
      </c>
      <c r="AB285" s="158">
        <f>AA285</f>
        <v>-9928.1910644531235</v>
      </c>
      <c r="AC285" s="106">
        <f>+AA285-AC231</f>
        <v>-10143.988830566404</v>
      </c>
      <c r="AD285" s="106">
        <f>+AC285-AD231</f>
        <v>-10343.447581958006</v>
      </c>
      <c r="AE285" s="106">
        <f>+AD285-AE231</f>
        <v>-10543.948907135007</v>
      </c>
      <c r="AF285" s="106">
        <f>+AE285-AF231</f>
        <v>-10746.047921028134</v>
      </c>
      <c r="AG285" s="158">
        <f>AF285</f>
        <v>-10746.047921028134</v>
      </c>
      <c r="AH285" s="106">
        <f>+AF285-AH231</f>
        <v>-10875.512135171886</v>
      </c>
      <c r="AI285" s="106">
        <f>+AH285-AI231</f>
        <v>-10983.392961323258</v>
      </c>
      <c r="AJ285" s="106">
        <f>+AI285-AJ231</f>
        <v>-11068.37930616457</v>
      </c>
      <c r="AK285" s="106">
        <f>+AJ285-AK231</f>
        <v>-11124.486905921962</v>
      </c>
      <c r="AL285" s="158">
        <f>AK285</f>
        <v>-11124.486905921962</v>
      </c>
      <c r="AM285" s="106">
        <f>+AK285-AM231</f>
        <v>-11144.096652145419</v>
      </c>
      <c r="AN285" s="106">
        <f>+AM285-AN231</f>
        <v>-11136.242781388803</v>
      </c>
      <c r="AO285" s="106">
        <f>+AN285-AO231</f>
        <v>-11099.455236405189</v>
      </c>
      <c r="AP285" s="106">
        <f>+AO285-AP231</f>
        <v>-11032.224218965343</v>
      </c>
      <c r="AQ285" s="158">
        <f>AP285</f>
        <v>-11032.224218965343</v>
      </c>
    </row>
    <row r="286" spans="2:43" outlineLevel="1" x14ac:dyDescent="0.3">
      <c r="B286" s="634" t="s">
        <v>50</v>
      </c>
      <c r="C286" s="635"/>
      <c r="D286" s="112">
        <f>SUM(D277:D285)</f>
        <v>15283</v>
      </c>
      <c r="E286" s="112">
        <f>SUM(E277:E285)</f>
        <v>14990</v>
      </c>
      <c r="F286" s="112">
        <f>SUM(F277:F285)</f>
        <v>14327</v>
      </c>
      <c r="G286" s="112">
        <f>SUM(G277:G285)</f>
        <v>13784</v>
      </c>
      <c r="H286" s="113">
        <f>SUM(H277:H279)+H285+H284</f>
        <v>13784</v>
      </c>
      <c r="I286" s="112">
        <f>SUM(I277:I285)</f>
        <v>14142</v>
      </c>
      <c r="J286" s="114">
        <f>SUM(J277:J285)</f>
        <v>14531</v>
      </c>
      <c r="K286" s="112">
        <f>SUM(K277:K285)</f>
        <v>15184</v>
      </c>
      <c r="L286" s="112">
        <f>SUM(L277:L285)</f>
        <v>16073</v>
      </c>
      <c r="M286" s="113">
        <f>SUM(M277:M279)+M285+M284</f>
        <v>16073</v>
      </c>
      <c r="N286" s="112">
        <f>SUM(N277:N285)</f>
        <v>16618</v>
      </c>
      <c r="O286" s="112">
        <f>SUM(O277:O285)</f>
        <v>17055</v>
      </c>
      <c r="P286" s="112">
        <f>SUM(P277:P285)</f>
        <v>18894</v>
      </c>
      <c r="Q286" s="112">
        <f>SUM(Q277:Q285)</f>
        <v>19416</v>
      </c>
      <c r="R286" s="113">
        <f t="shared" ref="R286:AQ286" si="77">SUM(R277:R279)+R285+R284</f>
        <v>19416</v>
      </c>
      <c r="S286" s="112">
        <f t="shared" si="77"/>
        <v>19173</v>
      </c>
      <c r="T286" s="112">
        <f t="shared" si="77"/>
        <v>19813.677487841447</v>
      </c>
      <c r="U286" s="112">
        <f t="shared" si="77"/>
        <v>20415.056249701385</v>
      </c>
      <c r="V286" s="112">
        <f>SUM(V277:V279)+V285+V284</f>
        <v>21888.465520253201</v>
      </c>
      <c r="W286" s="113">
        <f t="shared" si="77"/>
        <v>21888.465520253201</v>
      </c>
      <c r="X286" s="112">
        <f t="shared" si="77"/>
        <v>22569.088190109374</v>
      </c>
      <c r="Y286" s="112">
        <f t="shared" si="77"/>
        <v>23365.361633630062</v>
      </c>
      <c r="Z286" s="112">
        <f t="shared" si="77"/>
        <v>24089.091683915758</v>
      </c>
      <c r="AA286" s="112">
        <f t="shared" si="77"/>
        <v>25608.77474002228</v>
      </c>
      <c r="AB286" s="113">
        <f t="shared" si="77"/>
        <v>25608.77474002228</v>
      </c>
      <c r="AC286" s="112">
        <f t="shared" si="77"/>
        <v>26520.125297470062</v>
      </c>
      <c r="AD286" s="112">
        <f t="shared" si="77"/>
        <v>27466.339717294453</v>
      </c>
      <c r="AE286" s="112">
        <f t="shared" si="77"/>
        <v>28347.1009152843</v>
      </c>
      <c r="AF286" s="112">
        <f t="shared" si="77"/>
        <v>30036.806236068929</v>
      </c>
      <c r="AG286" s="113">
        <f t="shared" si="77"/>
        <v>30036.806236068929</v>
      </c>
      <c r="AH286" s="112">
        <f t="shared" si="77"/>
        <v>30966.712351131515</v>
      </c>
      <c r="AI286" s="112">
        <f t="shared" si="77"/>
        <v>31916.06731946666</v>
      </c>
      <c r="AJ286" s="112">
        <f t="shared" si="77"/>
        <v>32825.753382359471</v>
      </c>
      <c r="AK286" s="112">
        <f t="shared" si="77"/>
        <v>34610.13589036835</v>
      </c>
      <c r="AL286" s="113">
        <f t="shared" si="77"/>
        <v>34610.13589036835</v>
      </c>
      <c r="AM286" s="112">
        <f t="shared" si="77"/>
        <v>35596.147928490049</v>
      </c>
      <c r="AN286" s="112">
        <f t="shared" si="77"/>
        <v>36584.598687869162</v>
      </c>
      <c r="AO286" s="112">
        <f t="shared" si="77"/>
        <v>37541.461290816354</v>
      </c>
      <c r="AP286" s="112">
        <f t="shared" si="77"/>
        <v>39405.673677112478</v>
      </c>
      <c r="AQ286" s="113">
        <f t="shared" si="77"/>
        <v>39405.673677112478</v>
      </c>
    </row>
    <row r="287" spans="2:43" outlineLevel="1" x14ac:dyDescent="0.3">
      <c r="B287" s="653" t="s">
        <v>12</v>
      </c>
      <c r="C287" s="654"/>
      <c r="D287" s="159">
        <f t="shared" ref="D287:AQ287" si="78">D286+D273</f>
        <v>37245</v>
      </c>
      <c r="E287" s="159">
        <f t="shared" si="78"/>
        <v>38371</v>
      </c>
      <c r="F287" s="159">
        <f t="shared" si="78"/>
        <v>37819</v>
      </c>
      <c r="G287" s="159">
        <f t="shared" si="78"/>
        <v>45959</v>
      </c>
      <c r="H287" s="160">
        <f t="shared" si="78"/>
        <v>45959</v>
      </c>
      <c r="I287" s="159">
        <f t="shared" si="78"/>
        <v>45575</v>
      </c>
      <c r="J287" s="161">
        <f t="shared" si="78"/>
        <v>46348</v>
      </c>
      <c r="K287" s="159">
        <f t="shared" si="78"/>
        <v>46781</v>
      </c>
      <c r="L287" s="159">
        <f t="shared" si="78"/>
        <v>48552</v>
      </c>
      <c r="M287" s="160">
        <f t="shared" si="78"/>
        <v>48552</v>
      </c>
      <c r="N287" s="159">
        <f t="shared" si="78"/>
        <v>49350</v>
      </c>
      <c r="O287" s="159">
        <f t="shared" si="78"/>
        <v>50281</v>
      </c>
      <c r="P287" s="159">
        <f t="shared" si="78"/>
        <v>51851</v>
      </c>
      <c r="Q287" s="159">
        <f t="shared" si="78"/>
        <v>52300</v>
      </c>
      <c r="R287" s="160">
        <f t="shared" si="78"/>
        <v>52300</v>
      </c>
      <c r="S287" s="159">
        <f t="shared" si="78"/>
        <v>51901</v>
      </c>
      <c r="T287" s="159">
        <f t="shared" si="78"/>
        <v>54038.401611068621</v>
      </c>
      <c r="U287" s="159">
        <f t="shared" si="78"/>
        <v>54777.740686785488</v>
      </c>
      <c r="V287" s="159">
        <f t="shared" si="78"/>
        <v>58089.488645132566</v>
      </c>
      <c r="W287" s="160">
        <f>W286+W273</f>
        <v>58089.488645132573</v>
      </c>
      <c r="X287" s="159">
        <f t="shared" si="78"/>
        <v>59157.778981670344</v>
      </c>
      <c r="Y287" s="159">
        <f t="shared" si="78"/>
        <v>61751.548732035139</v>
      </c>
      <c r="Z287" s="159">
        <f t="shared" si="78"/>
        <v>62741.696188139438</v>
      </c>
      <c r="AA287" s="159">
        <f t="shared" si="78"/>
        <v>66423.823133896949</v>
      </c>
      <c r="AB287" s="160">
        <f t="shared" si="78"/>
        <v>66423.823133896949</v>
      </c>
      <c r="AC287" s="159">
        <f t="shared" si="78"/>
        <v>67553.657940666773</v>
      </c>
      <c r="AD287" s="159">
        <f t="shared" si="78"/>
        <v>70792.36327115359</v>
      </c>
      <c r="AE287" s="159">
        <f t="shared" si="78"/>
        <v>71716.259490450087</v>
      </c>
      <c r="AF287" s="159">
        <f t="shared" si="78"/>
        <v>76046.253764522029</v>
      </c>
      <c r="AG287" s="160">
        <f t="shared" si="78"/>
        <v>76046.253764522029</v>
      </c>
      <c r="AH287" s="159">
        <f t="shared" si="78"/>
        <v>76823.53581556851</v>
      </c>
      <c r="AI287" s="159">
        <f t="shared" si="78"/>
        <v>80232.224393330034</v>
      </c>
      <c r="AJ287" s="159">
        <f t="shared" si="78"/>
        <v>80790.727970160864</v>
      </c>
      <c r="AK287" s="159">
        <f t="shared" si="78"/>
        <v>85394.502905948</v>
      </c>
      <c r="AL287" s="160">
        <f t="shared" si="78"/>
        <v>85394.502905948</v>
      </c>
      <c r="AM287" s="159">
        <f t="shared" si="78"/>
        <v>85969.350306787092</v>
      </c>
      <c r="AN287" s="159">
        <f t="shared" si="78"/>
        <v>89750.285875834044</v>
      </c>
      <c r="AO287" s="159">
        <f t="shared" si="78"/>
        <v>90078.37397502875</v>
      </c>
      <c r="AP287" s="159">
        <f t="shared" si="78"/>
        <v>95085.216774817643</v>
      </c>
      <c r="AQ287" s="160">
        <f t="shared" si="78"/>
        <v>95085.216774817643</v>
      </c>
    </row>
    <row r="288" spans="2:43" x14ac:dyDescent="0.3">
      <c r="B288" s="57"/>
      <c r="C288" s="50"/>
      <c r="D288" s="32">
        <f t="shared" ref="D288:P288" si="79">D287-D258</f>
        <v>0</v>
      </c>
      <c r="E288" s="32">
        <f t="shared" si="79"/>
        <v>0</v>
      </c>
      <c r="F288" s="32">
        <f t="shared" si="79"/>
        <v>0</v>
      </c>
      <c r="G288" s="32">
        <f t="shared" si="79"/>
        <v>0</v>
      </c>
      <c r="H288" s="32">
        <f t="shared" si="79"/>
        <v>0</v>
      </c>
      <c r="I288" s="32">
        <f t="shared" si="79"/>
        <v>0</v>
      </c>
      <c r="J288" s="32">
        <f t="shared" si="79"/>
        <v>0</v>
      </c>
      <c r="K288" s="32">
        <f t="shared" si="79"/>
        <v>0</v>
      </c>
      <c r="L288" s="32">
        <f t="shared" si="79"/>
        <v>0</v>
      </c>
      <c r="M288" s="32">
        <f t="shared" si="79"/>
        <v>0</v>
      </c>
      <c r="N288" s="32">
        <f t="shared" si="79"/>
        <v>0</v>
      </c>
      <c r="O288" s="32">
        <f t="shared" si="79"/>
        <v>0</v>
      </c>
      <c r="P288" s="32">
        <f t="shared" si="79"/>
        <v>0</v>
      </c>
      <c r="Q288" s="261">
        <f t="shared" ref="Q288:AQ288" si="80">ROUND((Q287-Q258),0)</f>
        <v>0</v>
      </c>
      <c r="R288" s="261">
        <f t="shared" si="80"/>
        <v>0</v>
      </c>
      <c r="S288" s="261">
        <f t="shared" si="80"/>
        <v>0</v>
      </c>
      <c r="T288" s="261">
        <f t="shared" si="80"/>
        <v>0</v>
      </c>
      <c r="U288" s="261">
        <f t="shared" si="80"/>
        <v>0</v>
      </c>
      <c r="V288" s="261">
        <f t="shared" si="80"/>
        <v>0</v>
      </c>
      <c r="W288" s="261">
        <f t="shared" si="80"/>
        <v>0</v>
      </c>
      <c r="X288" s="261">
        <f t="shared" si="80"/>
        <v>0</v>
      </c>
      <c r="Y288" s="261">
        <f t="shared" si="80"/>
        <v>0</v>
      </c>
      <c r="Z288" s="261">
        <f t="shared" si="80"/>
        <v>0</v>
      </c>
      <c r="AA288" s="261">
        <f t="shared" si="80"/>
        <v>0</v>
      </c>
      <c r="AB288" s="261">
        <f t="shared" si="80"/>
        <v>0</v>
      </c>
      <c r="AC288" s="261">
        <f t="shared" si="80"/>
        <v>0</v>
      </c>
      <c r="AD288" s="261">
        <f t="shared" si="80"/>
        <v>0</v>
      </c>
      <c r="AE288" s="261">
        <f t="shared" si="80"/>
        <v>0</v>
      </c>
      <c r="AF288" s="261">
        <f t="shared" si="80"/>
        <v>0</v>
      </c>
      <c r="AG288" s="261">
        <f t="shared" si="80"/>
        <v>0</v>
      </c>
      <c r="AH288" s="261">
        <f t="shared" si="80"/>
        <v>0</v>
      </c>
      <c r="AI288" s="261">
        <f t="shared" si="80"/>
        <v>0</v>
      </c>
      <c r="AJ288" s="261">
        <f t="shared" si="80"/>
        <v>0</v>
      </c>
      <c r="AK288" s="261">
        <f t="shared" si="80"/>
        <v>0</v>
      </c>
      <c r="AL288" s="261">
        <f t="shared" si="80"/>
        <v>0</v>
      </c>
      <c r="AM288" s="261">
        <f t="shared" si="80"/>
        <v>0</v>
      </c>
      <c r="AN288" s="261">
        <f t="shared" si="80"/>
        <v>0</v>
      </c>
      <c r="AO288" s="261">
        <f t="shared" si="80"/>
        <v>0</v>
      </c>
      <c r="AP288" s="261">
        <f t="shared" si="80"/>
        <v>0</v>
      </c>
      <c r="AQ288" s="261">
        <f t="shared" si="80"/>
        <v>0</v>
      </c>
    </row>
    <row r="289" spans="2:43" ht="15.6" x14ac:dyDescent="0.3">
      <c r="B289" s="630" t="s">
        <v>24</v>
      </c>
      <c r="C289" s="638"/>
      <c r="D289" s="95" t="s">
        <v>121</v>
      </c>
      <c r="E289" s="95" t="s">
        <v>122</v>
      </c>
      <c r="F289" s="95" t="s">
        <v>123</v>
      </c>
      <c r="G289" s="95" t="s">
        <v>124</v>
      </c>
      <c r="H289" s="408" t="s">
        <v>124</v>
      </c>
      <c r="I289" s="95" t="s">
        <v>125</v>
      </c>
      <c r="J289" s="95" t="s">
        <v>126</v>
      </c>
      <c r="K289" s="95" t="s">
        <v>127</v>
      </c>
      <c r="L289" s="95" t="s">
        <v>128</v>
      </c>
      <c r="M289" s="408" t="s">
        <v>128</v>
      </c>
      <c r="N289" s="95" t="s">
        <v>129</v>
      </c>
      <c r="O289" s="95" t="s">
        <v>130</v>
      </c>
      <c r="P289" s="95" t="s">
        <v>131</v>
      </c>
      <c r="Q289" s="95" t="s">
        <v>132</v>
      </c>
      <c r="R289" s="408" t="s">
        <v>132</v>
      </c>
      <c r="S289" s="95" t="s">
        <v>133</v>
      </c>
      <c r="T289" s="97" t="s">
        <v>134</v>
      </c>
      <c r="U289" s="97" t="s">
        <v>135</v>
      </c>
      <c r="V289" s="97" t="s">
        <v>136</v>
      </c>
      <c r="W289" s="412" t="s">
        <v>136</v>
      </c>
      <c r="X289" s="97" t="s">
        <v>137</v>
      </c>
      <c r="Y289" s="97" t="s">
        <v>138</v>
      </c>
      <c r="Z289" s="97" t="s">
        <v>139</v>
      </c>
      <c r="AA289" s="97" t="s">
        <v>140</v>
      </c>
      <c r="AB289" s="412" t="s">
        <v>140</v>
      </c>
      <c r="AC289" s="97" t="s">
        <v>141</v>
      </c>
      <c r="AD289" s="97" t="s">
        <v>142</v>
      </c>
      <c r="AE289" s="97" t="s">
        <v>143</v>
      </c>
      <c r="AF289" s="97" t="s">
        <v>144</v>
      </c>
      <c r="AG289" s="412" t="s">
        <v>144</v>
      </c>
      <c r="AH289" s="97" t="s">
        <v>145</v>
      </c>
      <c r="AI289" s="97" t="s">
        <v>146</v>
      </c>
      <c r="AJ289" s="97" t="s">
        <v>147</v>
      </c>
      <c r="AK289" s="97" t="s">
        <v>148</v>
      </c>
      <c r="AL289" s="412" t="s">
        <v>148</v>
      </c>
      <c r="AM289" s="97" t="s">
        <v>149</v>
      </c>
      <c r="AN289" s="97" t="s">
        <v>150</v>
      </c>
      <c r="AO289" s="97" t="s">
        <v>151</v>
      </c>
      <c r="AP289" s="97" t="s">
        <v>152</v>
      </c>
      <c r="AQ289" s="412" t="s">
        <v>152</v>
      </c>
    </row>
    <row r="290" spans="2:43" ht="16.2" x14ac:dyDescent="0.45">
      <c r="B290" s="651"/>
      <c r="C290" s="652"/>
      <c r="D290" s="96" t="s">
        <v>71</v>
      </c>
      <c r="E290" s="96" t="s">
        <v>74</v>
      </c>
      <c r="F290" s="96" t="s">
        <v>75</v>
      </c>
      <c r="G290" s="96" t="s">
        <v>79</v>
      </c>
      <c r="H290" s="409" t="s">
        <v>80</v>
      </c>
      <c r="I290" s="96" t="s">
        <v>81</v>
      </c>
      <c r="J290" s="96" t="s">
        <v>92</v>
      </c>
      <c r="K290" s="96" t="s">
        <v>110</v>
      </c>
      <c r="L290" s="96" t="s">
        <v>114</v>
      </c>
      <c r="M290" s="409" t="s">
        <v>115</v>
      </c>
      <c r="N290" s="96" t="s">
        <v>116</v>
      </c>
      <c r="O290" s="96" t="s">
        <v>117</v>
      </c>
      <c r="P290" s="96" t="s">
        <v>118</v>
      </c>
      <c r="Q290" s="96" t="s">
        <v>119</v>
      </c>
      <c r="R290" s="409" t="s">
        <v>120</v>
      </c>
      <c r="S290" s="96" t="s">
        <v>518</v>
      </c>
      <c r="T290" s="94" t="s">
        <v>378</v>
      </c>
      <c r="U290" s="94" t="s">
        <v>379</v>
      </c>
      <c r="V290" s="94" t="s">
        <v>380</v>
      </c>
      <c r="W290" s="413" t="s">
        <v>381</v>
      </c>
      <c r="X290" s="94" t="s">
        <v>382</v>
      </c>
      <c r="Y290" s="94" t="s">
        <v>383</v>
      </c>
      <c r="Z290" s="94" t="s">
        <v>384</v>
      </c>
      <c r="AA290" s="94" t="s">
        <v>385</v>
      </c>
      <c r="AB290" s="413" t="s">
        <v>386</v>
      </c>
      <c r="AC290" s="94" t="s">
        <v>387</v>
      </c>
      <c r="AD290" s="94" t="s">
        <v>388</v>
      </c>
      <c r="AE290" s="94" t="s">
        <v>389</v>
      </c>
      <c r="AF290" s="94" t="s">
        <v>390</v>
      </c>
      <c r="AG290" s="413" t="s">
        <v>391</v>
      </c>
      <c r="AH290" s="94" t="s">
        <v>392</v>
      </c>
      <c r="AI290" s="94" t="s">
        <v>393</v>
      </c>
      <c r="AJ290" s="94" t="s">
        <v>394</v>
      </c>
      <c r="AK290" s="94" t="s">
        <v>395</v>
      </c>
      <c r="AL290" s="413" t="s">
        <v>396</v>
      </c>
      <c r="AM290" s="94" t="s">
        <v>397</v>
      </c>
      <c r="AN290" s="94" t="s">
        <v>398</v>
      </c>
      <c r="AO290" s="94" t="s">
        <v>399</v>
      </c>
      <c r="AP290" s="94" t="s">
        <v>400</v>
      </c>
      <c r="AQ290" s="413" t="s">
        <v>401</v>
      </c>
    </row>
    <row r="291" spans="2:43" s="58" customFormat="1" outlineLevel="1" x14ac:dyDescent="0.3">
      <c r="B291" s="296" t="s">
        <v>85</v>
      </c>
      <c r="C291" s="82"/>
      <c r="D291" s="144">
        <v>92</v>
      </c>
      <c r="E291" s="144">
        <v>90</v>
      </c>
      <c r="F291" s="144">
        <v>91</v>
      </c>
      <c r="G291" s="144">
        <v>92</v>
      </c>
      <c r="H291" s="175"/>
      <c r="I291" s="144">
        <v>92</v>
      </c>
      <c r="J291" s="144">
        <v>91</v>
      </c>
      <c r="K291" s="144">
        <v>90</v>
      </c>
      <c r="L291" s="144">
        <v>92</v>
      </c>
      <c r="M291" s="175"/>
      <c r="N291" s="144">
        <v>92</v>
      </c>
      <c r="O291" s="144">
        <v>91</v>
      </c>
      <c r="P291" s="144">
        <v>90</v>
      </c>
      <c r="Q291" s="144">
        <v>92</v>
      </c>
      <c r="R291" s="175"/>
      <c r="S291" s="144">
        <v>92</v>
      </c>
      <c r="T291" s="144">
        <v>91</v>
      </c>
      <c r="U291" s="144">
        <v>90</v>
      </c>
      <c r="V291" s="144">
        <v>92</v>
      </c>
      <c r="W291" s="175"/>
      <c r="X291" s="144">
        <v>92</v>
      </c>
      <c r="Y291" s="144">
        <v>91</v>
      </c>
      <c r="Z291" s="144">
        <v>91</v>
      </c>
      <c r="AA291" s="144">
        <v>92</v>
      </c>
      <c r="AB291" s="175"/>
      <c r="AC291" s="144">
        <v>92</v>
      </c>
      <c r="AD291" s="144">
        <v>91</v>
      </c>
      <c r="AE291" s="144">
        <v>90</v>
      </c>
      <c r="AF291" s="144">
        <v>92</v>
      </c>
      <c r="AG291" s="175"/>
      <c r="AH291" s="144">
        <v>92</v>
      </c>
      <c r="AI291" s="144">
        <v>91</v>
      </c>
      <c r="AJ291" s="144">
        <v>90</v>
      </c>
      <c r="AK291" s="144">
        <v>92</v>
      </c>
      <c r="AL291" s="175"/>
      <c r="AM291" s="144">
        <v>92</v>
      </c>
      <c r="AN291" s="144">
        <v>91</v>
      </c>
      <c r="AO291" s="144">
        <v>90</v>
      </c>
      <c r="AP291" s="144">
        <v>92</v>
      </c>
      <c r="AQ291" s="175"/>
    </row>
    <row r="292" spans="2:43" outlineLevel="1" x14ac:dyDescent="0.3">
      <c r="B292" s="628" t="s">
        <v>25</v>
      </c>
      <c r="C292" s="629"/>
      <c r="D292" s="243">
        <f>D13/(AVERAGE(D248,5719))</f>
        <v>2.1663726182074807</v>
      </c>
      <c r="E292" s="243">
        <f>E13/(AVERAGE(E248,D248))</f>
        <v>2.1691342971607734</v>
      </c>
      <c r="F292" s="243">
        <f>F13/(AVERAGE(F248,E248))</f>
        <v>2.2008870336551003</v>
      </c>
      <c r="G292" s="243">
        <f>G13/(AVERAGE(G248,F248))</f>
        <v>2.0144342697501165</v>
      </c>
      <c r="H292" s="244"/>
      <c r="I292" s="503">
        <f>I13/(AVERAGE(I248,G248))</f>
        <v>2.0245771487745943</v>
      </c>
      <c r="J292" s="503">
        <f>J13/(AVERAGE(J248,I248))</f>
        <v>2.016612641815235</v>
      </c>
      <c r="K292" s="503">
        <f>K13/(AVERAGE(K248,J248))</f>
        <v>2.0005335823384245</v>
      </c>
      <c r="L292" s="503">
        <f>L13/(AVERAGE(L248,K248))</f>
        <v>2.0946926816274889</v>
      </c>
      <c r="M292" s="504"/>
      <c r="N292" s="503">
        <f>N13/(AVERAGE(N248,L248))</f>
        <v>1.9605254726049344</v>
      </c>
      <c r="O292" s="503">
        <f>O13/(AVERAGE(O248,N248))</f>
        <v>1.958225796770902</v>
      </c>
      <c r="P292" s="503">
        <f>P13/(AVERAGE(P248,O248))</f>
        <v>1.9076532379083457</v>
      </c>
      <c r="Q292" s="503">
        <f>Q13/(AVERAGE(Q248,P248))</f>
        <v>2.0140901280753791</v>
      </c>
      <c r="R292" s="246"/>
      <c r="S292" s="503">
        <f>S13/(AVERAGE(S248,Q248))</f>
        <v>1.978419770274974</v>
      </c>
      <c r="T292" s="253">
        <f>+O292</f>
        <v>1.958225796770902</v>
      </c>
      <c r="U292" s="253">
        <f>+P292</f>
        <v>1.9076532379083457</v>
      </c>
      <c r="V292" s="253">
        <f>+Q292</f>
        <v>2.0140901280753791</v>
      </c>
      <c r="W292" s="244"/>
      <c r="X292" s="245">
        <f>+S292</f>
        <v>1.978419770274974</v>
      </c>
      <c r="Y292" s="245">
        <f>+T292</f>
        <v>1.958225796770902</v>
      </c>
      <c r="Z292" s="245">
        <f>+U292</f>
        <v>1.9076532379083457</v>
      </c>
      <c r="AA292" s="245">
        <f>+V292</f>
        <v>2.0140901280753791</v>
      </c>
      <c r="AB292" s="244"/>
      <c r="AC292" s="245">
        <f>+X292</f>
        <v>1.978419770274974</v>
      </c>
      <c r="AD292" s="245">
        <f>+Y292</f>
        <v>1.958225796770902</v>
      </c>
      <c r="AE292" s="245">
        <f>+Z292</f>
        <v>1.9076532379083457</v>
      </c>
      <c r="AF292" s="245">
        <f>+AA292</f>
        <v>2.0140901280753791</v>
      </c>
      <c r="AG292" s="244"/>
      <c r="AH292" s="245">
        <f>+AC292</f>
        <v>1.978419770274974</v>
      </c>
      <c r="AI292" s="245">
        <f>+AD292</f>
        <v>1.958225796770902</v>
      </c>
      <c r="AJ292" s="245">
        <f>+AE292</f>
        <v>1.9076532379083457</v>
      </c>
      <c r="AK292" s="245">
        <f>+AF292</f>
        <v>2.0140901280753791</v>
      </c>
      <c r="AL292" s="244"/>
      <c r="AM292" s="245">
        <f>+AH292</f>
        <v>1.978419770274974</v>
      </c>
      <c r="AN292" s="245">
        <f>+AI292</f>
        <v>1.958225796770902</v>
      </c>
      <c r="AO292" s="245">
        <f>+AJ292</f>
        <v>1.9076532379083457</v>
      </c>
      <c r="AP292" s="245">
        <f>+AK292</f>
        <v>2.0140901280753791</v>
      </c>
      <c r="AQ292" s="83"/>
    </row>
    <row r="293" spans="2:43" s="235" customFormat="1" outlineLevel="1" x14ac:dyDescent="0.3">
      <c r="B293" s="645" t="s">
        <v>86</v>
      </c>
      <c r="C293" s="646"/>
      <c r="D293" s="144">
        <f>D291/D292</f>
        <v>42.467301897548658</v>
      </c>
      <c r="E293" s="144">
        <f>E291/E292</f>
        <v>41.49120693808721</v>
      </c>
      <c r="F293" s="144">
        <f>F291/F292</f>
        <v>41.346965386439074</v>
      </c>
      <c r="G293" s="144">
        <f>G291/G292</f>
        <v>45.670390631019337</v>
      </c>
      <c r="H293" s="244"/>
      <c r="I293" s="144">
        <f>I291/I292</f>
        <v>45.44158766964469</v>
      </c>
      <c r="J293" s="144">
        <f>J291/J292</f>
        <v>45.125175808720115</v>
      </c>
      <c r="K293" s="144">
        <f>K291/K292</f>
        <v>44.987997599519908</v>
      </c>
      <c r="L293" s="144">
        <f>L291/L292</f>
        <v>43.920523906408953</v>
      </c>
      <c r="M293" s="244"/>
      <c r="N293" s="144">
        <f>N291/N292</f>
        <v>46.926194678695168</v>
      </c>
      <c r="O293" s="144">
        <f>O291/O292</f>
        <v>46.47063691534359</v>
      </c>
      <c r="P293" s="144">
        <f>P291/P292</f>
        <v>47.178385574246647</v>
      </c>
      <c r="Q293" s="144">
        <f>Q291/Q292</f>
        <v>45.678194196757822</v>
      </c>
      <c r="R293" s="244"/>
      <c r="S293" s="144">
        <f>S291/S292</f>
        <v>46.501759324419425</v>
      </c>
      <c r="T293" s="144">
        <f>T291/T292</f>
        <v>46.47063691534359</v>
      </c>
      <c r="U293" s="144">
        <f>U291/U292</f>
        <v>47.178385574246647</v>
      </c>
      <c r="V293" s="144">
        <f>V291/V292</f>
        <v>45.678194196757822</v>
      </c>
      <c r="W293" s="244"/>
      <c r="X293" s="144">
        <f>X291/X292</f>
        <v>46.501759324419425</v>
      </c>
      <c r="Y293" s="144">
        <f>Y291/Y292</f>
        <v>46.47063691534359</v>
      </c>
      <c r="Z293" s="144">
        <f>Z291/Z292</f>
        <v>47.702589858404941</v>
      </c>
      <c r="AA293" s="144">
        <f>AA291/AA292</f>
        <v>45.678194196757822</v>
      </c>
      <c r="AB293" s="244"/>
      <c r="AC293" s="144">
        <f>AC291/AC292</f>
        <v>46.501759324419425</v>
      </c>
      <c r="AD293" s="144">
        <f>AD291/AD292</f>
        <v>46.47063691534359</v>
      </c>
      <c r="AE293" s="144">
        <f>AE291/AE292</f>
        <v>47.178385574246647</v>
      </c>
      <c r="AF293" s="144">
        <f>AF291/AF292</f>
        <v>45.678194196757822</v>
      </c>
      <c r="AG293" s="244"/>
      <c r="AH293" s="144">
        <f>AH291/AH292</f>
        <v>46.501759324419425</v>
      </c>
      <c r="AI293" s="144">
        <f>AI291/AI292</f>
        <v>46.47063691534359</v>
      </c>
      <c r="AJ293" s="144">
        <f>AJ291/AJ292</f>
        <v>47.178385574246647</v>
      </c>
      <c r="AK293" s="144">
        <f>AK291/AK292</f>
        <v>45.678194196757822</v>
      </c>
      <c r="AL293" s="244"/>
      <c r="AM293" s="144">
        <f>AM291/AM292</f>
        <v>46.501759324419425</v>
      </c>
      <c r="AN293" s="144">
        <f>AN291/AN292</f>
        <v>46.47063691534359</v>
      </c>
      <c r="AO293" s="144">
        <f>AO291/AO292</f>
        <v>47.178385574246647</v>
      </c>
      <c r="AP293" s="144">
        <f>AP291/AP292</f>
        <v>45.678194196757822</v>
      </c>
      <c r="AQ293" s="244"/>
    </row>
    <row r="294" spans="2:43" s="235" customFormat="1" outlineLevel="1" x14ac:dyDescent="0.3">
      <c r="B294" s="296" t="s">
        <v>307</v>
      </c>
      <c r="C294" s="297"/>
      <c r="D294" s="171">
        <f>+D249/D253</f>
        <v>1.1093682511536975E-2</v>
      </c>
      <c r="E294" s="171">
        <f>+E249/E253</f>
        <v>1.089695415764113E-2</v>
      </c>
      <c r="F294" s="171">
        <f>+F249/F253</f>
        <v>1.0340632603406326E-2</v>
      </c>
      <c r="G294" s="171">
        <f>+G249/G253</f>
        <v>1.054915138882981E-2</v>
      </c>
      <c r="H294" s="244"/>
      <c r="I294" s="171">
        <f>+I249/I253</f>
        <v>1.063984538974668E-2</v>
      </c>
      <c r="J294" s="171">
        <f>+J249/J253</f>
        <v>1.0568706815487142E-2</v>
      </c>
      <c r="K294" s="171">
        <f>+K249/K253</f>
        <v>1.0592538993407299E-2</v>
      </c>
      <c r="L294" s="171">
        <f>+L249/L253</f>
        <v>1.0152885868921107E-2</v>
      </c>
      <c r="M294" s="244"/>
      <c r="N294" s="171">
        <f>+N249/N253</f>
        <v>1.0011641443538999E-2</v>
      </c>
      <c r="O294" s="171">
        <f>+O249/O253</f>
        <v>1.0011269722013523E-2</v>
      </c>
      <c r="P294" s="171">
        <f>+P249/P253</f>
        <v>9.6180370377181527E-3</v>
      </c>
      <c r="Q294" s="171">
        <f>+Q249/Q253</f>
        <v>9.5245006440376635E-3</v>
      </c>
      <c r="R294" s="244"/>
      <c r="S294" s="171">
        <f>+S249/S253</f>
        <v>9.2852323971167848E-3</v>
      </c>
      <c r="T294" s="182">
        <f>AVERAGE(S294,Q294,P294,O294)</f>
        <v>9.6097599502215306E-3</v>
      </c>
      <c r="U294" s="182">
        <f>AVERAGE(T294,S294,Q294,P294)</f>
        <v>9.5093825072735325E-3</v>
      </c>
      <c r="V294" s="182">
        <f>AVERAGE(U294,T294,S294,Q294)</f>
        <v>9.4822188746623778E-3</v>
      </c>
      <c r="W294" s="244"/>
      <c r="X294" s="182">
        <f>AVERAGE(V294,U294,T294,S294)</f>
        <v>9.4716484323185551E-3</v>
      </c>
      <c r="Y294" s="182">
        <f>AVERAGE(X294,V294,U294,T294)</f>
        <v>9.5182524411189986E-3</v>
      </c>
      <c r="Z294" s="182">
        <f>AVERAGE(Y294,X294,V294,U294)</f>
        <v>9.4953755638433664E-3</v>
      </c>
      <c r="AA294" s="182">
        <f>AVERAGE(Z294,Y294,X294,V294)</f>
        <v>9.4918738279858236E-3</v>
      </c>
      <c r="AB294" s="244"/>
      <c r="AC294" s="182">
        <f>AVERAGE(AA294,Z294,Y294,X294)</f>
        <v>9.4942875663166868E-3</v>
      </c>
      <c r="AD294" s="182">
        <f>AVERAGE(AC294,AA294,Z294,Y294)</f>
        <v>9.4999473498162193E-3</v>
      </c>
      <c r="AE294" s="182">
        <f>AVERAGE(AD294,AC294,AA294,Z294)</f>
        <v>9.495371076990524E-3</v>
      </c>
      <c r="AF294" s="182">
        <f>AVERAGE(AE294,AD294,AC294,AA294)</f>
        <v>9.4953699552773139E-3</v>
      </c>
      <c r="AG294" s="244"/>
      <c r="AH294" s="182">
        <f>AVERAGE(AF294,AE294,AD294,AC294)</f>
        <v>9.496243987100186E-3</v>
      </c>
      <c r="AI294" s="182">
        <f>AVERAGE(AH294,AF294,AE294,AD294)</f>
        <v>9.4967330922960599E-3</v>
      </c>
      <c r="AJ294" s="182">
        <f>AVERAGE(AI294,AH294,AF294,AE294)</f>
        <v>9.4959295279160201E-3</v>
      </c>
      <c r="AK294" s="182">
        <f>AVERAGE(AJ294,AI294,AH294,AF294)</f>
        <v>9.4960691406473941E-3</v>
      </c>
      <c r="AL294" s="244"/>
      <c r="AM294" s="182">
        <f>AVERAGE(AK294,AJ294,AI294,AH294)</f>
        <v>9.4962439369899159E-3</v>
      </c>
      <c r="AN294" s="182">
        <f>AVERAGE(AM294,AK294,AJ294,AI294)</f>
        <v>9.4962439244623484E-3</v>
      </c>
      <c r="AO294" s="182">
        <f>AVERAGE(AN294,AM294,AK294,AJ294)</f>
        <v>9.4961216325039205E-3</v>
      </c>
      <c r="AP294" s="182">
        <f>AVERAGE(AO294,AN294,AM294,AK294)</f>
        <v>9.4961696586508947E-3</v>
      </c>
      <c r="AQ294" s="244"/>
    </row>
    <row r="295" spans="2:43" s="235" customFormat="1" outlineLevel="1" x14ac:dyDescent="0.3">
      <c r="B295" s="396" t="s">
        <v>509</v>
      </c>
      <c r="C295" s="167"/>
      <c r="D295" s="322"/>
      <c r="E295" s="322">
        <f>+((E262+D262)/2)/E15</f>
        <v>0.31345733041575491</v>
      </c>
      <c r="F295" s="322">
        <f>+((F262+E262)/2)/F15</f>
        <v>0.31419779286926997</v>
      </c>
      <c r="G295" s="322">
        <f>+((G262+F262)/2)/G15</f>
        <v>0.35850439882697949</v>
      </c>
      <c r="H295" s="397"/>
      <c r="I295" s="322">
        <f>+((I262+G262)/2)/I15</f>
        <v>0.33656561852758426</v>
      </c>
      <c r="J295" s="322">
        <f>+((J262+I262)/2)/J15</f>
        <v>0.31458994956099384</v>
      </c>
      <c r="K295" s="322">
        <f>+((K262+J262)/2)/K15</f>
        <v>0.32020389249304915</v>
      </c>
      <c r="L295" s="322">
        <f>+((L262+K262)/2)/L15</f>
        <v>0.32865219770198795</v>
      </c>
      <c r="M295" s="397"/>
      <c r="N295" s="322">
        <f>+((N262+L262)/2)/N15</f>
        <v>0.32348677056904673</v>
      </c>
      <c r="O295" s="322">
        <f>+((O262+N262)/2)/O15</f>
        <v>0.31069313827934519</v>
      </c>
      <c r="P295" s="322">
        <f>+((P262+O262)/2)/P15</f>
        <v>0.3224377194449089</v>
      </c>
      <c r="Q295" s="322">
        <f>+((Q262+P262)/2)/Q15</f>
        <v>0.3454575930271539</v>
      </c>
      <c r="R295" s="398"/>
      <c r="S295" s="322">
        <f>+((S262+Q262)/2)/S15</f>
        <v>0.30854632587859426</v>
      </c>
      <c r="T295" s="505">
        <f>+O295</f>
        <v>0.31069313827934519</v>
      </c>
      <c r="U295" s="505">
        <f t="shared" ref="U295" si="81">+P295</f>
        <v>0.3224377194449089</v>
      </c>
      <c r="V295" s="505">
        <f t="shared" ref="V295" si="82">+Q295</f>
        <v>0.3454575930271539</v>
      </c>
      <c r="W295" s="397"/>
      <c r="X295" s="505">
        <f>+S295</f>
        <v>0.30854632587859426</v>
      </c>
      <c r="Y295" s="505">
        <f>+T295</f>
        <v>0.31069313827934519</v>
      </c>
      <c r="Z295" s="505">
        <f t="shared" ref="Z295" si="83">+U295</f>
        <v>0.3224377194449089</v>
      </c>
      <c r="AA295" s="505">
        <f t="shared" ref="AA295" si="84">+V295</f>
        <v>0.3454575930271539</v>
      </c>
      <c r="AB295" s="397"/>
      <c r="AC295" s="505">
        <f>+X295</f>
        <v>0.30854632587859426</v>
      </c>
      <c r="AD295" s="505">
        <f>+Y295</f>
        <v>0.31069313827934519</v>
      </c>
      <c r="AE295" s="505">
        <f t="shared" ref="AE295" si="85">+Z295</f>
        <v>0.3224377194449089</v>
      </c>
      <c r="AF295" s="505">
        <f t="shared" ref="AF295" si="86">+AA295</f>
        <v>0.3454575930271539</v>
      </c>
      <c r="AG295" s="397"/>
      <c r="AH295" s="505">
        <f>+AC295</f>
        <v>0.30854632587859426</v>
      </c>
      <c r="AI295" s="505">
        <f>+AD295</f>
        <v>0.31069313827934519</v>
      </c>
      <c r="AJ295" s="505">
        <f t="shared" ref="AJ295" si="87">+AE295</f>
        <v>0.3224377194449089</v>
      </c>
      <c r="AK295" s="505">
        <f t="shared" ref="AK295" si="88">+AF295</f>
        <v>0.3454575930271539</v>
      </c>
      <c r="AL295" s="397"/>
      <c r="AM295" s="505">
        <f>+AH295</f>
        <v>0.30854632587859426</v>
      </c>
      <c r="AN295" s="505">
        <f>+AI295</f>
        <v>0.31069313827934519</v>
      </c>
      <c r="AO295" s="505">
        <f t="shared" ref="AO295" si="89">+AJ295</f>
        <v>0.3224377194449089</v>
      </c>
      <c r="AP295" s="505">
        <f t="shared" ref="AP295" si="90">+AK295</f>
        <v>0.3454575930271539</v>
      </c>
      <c r="AQ295" s="397"/>
    </row>
    <row r="296" spans="2:43" s="235" customFormat="1" outlineLevel="1" x14ac:dyDescent="0.3">
      <c r="B296" s="649" t="s">
        <v>87</v>
      </c>
      <c r="C296" s="650"/>
      <c r="D296" s="399"/>
      <c r="E296" s="399"/>
      <c r="F296" s="399"/>
      <c r="G296" s="400"/>
      <c r="H296" s="401"/>
      <c r="I296" s="400">
        <f>I23/(AVERAGE(I263,2944))</f>
        <v>0.75340811044003453</v>
      </c>
      <c r="J296" s="400">
        <f>J23/(AVERAGE(J263,I263))</f>
        <v>0.79689922480620157</v>
      </c>
      <c r="K296" s="400">
        <f>K23/(AVERAGE(K263,J263))</f>
        <v>0.80303833245009715</v>
      </c>
      <c r="L296" s="400">
        <f>L23/(AVERAGE(L263,K263))</f>
        <v>0.89906576296024909</v>
      </c>
      <c r="M296" s="402"/>
      <c r="N296" s="400">
        <f>N23/(AVERAGE(N263,L263))</f>
        <v>0.84920913884007032</v>
      </c>
      <c r="O296" s="400">
        <f>O23/(AVERAGE(O263,N263))</f>
        <v>0.83549712407559573</v>
      </c>
      <c r="P296" s="400">
        <f>P23/(AVERAGE(P263,O263))</f>
        <v>0.81645063210113622</v>
      </c>
      <c r="Q296" s="400">
        <f>Q23/(AVERAGE(Q263,P263))</f>
        <v>0.83273204329288286</v>
      </c>
      <c r="R296" s="402"/>
      <c r="S296" s="400">
        <f>S23/(AVERAGE(S263,Q263))</f>
        <v>0.7924777301220719</v>
      </c>
      <c r="T296" s="253">
        <f>+O296</f>
        <v>0.83549712407559573</v>
      </c>
      <c r="U296" s="253">
        <f>+P296</f>
        <v>0.81645063210113622</v>
      </c>
      <c r="V296" s="253">
        <f>+Q296</f>
        <v>0.83273204329288286</v>
      </c>
      <c r="W296" s="402"/>
      <c r="X296" s="253">
        <f>+S296</f>
        <v>0.7924777301220719</v>
      </c>
      <c r="Y296" s="253">
        <f>+T296</f>
        <v>0.83549712407559573</v>
      </c>
      <c r="Z296" s="253">
        <f>+U296</f>
        <v>0.81645063210113622</v>
      </c>
      <c r="AA296" s="253">
        <f>+V296</f>
        <v>0.83273204329288286</v>
      </c>
      <c r="AB296" s="402"/>
      <c r="AC296" s="253">
        <f>+X296</f>
        <v>0.7924777301220719</v>
      </c>
      <c r="AD296" s="253">
        <f>+Y296</f>
        <v>0.83549712407559573</v>
      </c>
      <c r="AE296" s="253">
        <f>+Z296</f>
        <v>0.81645063210113622</v>
      </c>
      <c r="AF296" s="253">
        <f>+AA296</f>
        <v>0.83273204329288286</v>
      </c>
      <c r="AG296" s="402"/>
      <c r="AH296" s="253">
        <f>+AC296</f>
        <v>0.7924777301220719</v>
      </c>
      <c r="AI296" s="253">
        <f>+AD296</f>
        <v>0.83549712407559573</v>
      </c>
      <c r="AJ296" s="253">
        <f>+AE296</f>
        <v>0.81645063210113622</v>
      </c>
      <c r="AK296" s="253">
        <f>+AF296</f>
        <v>0.83273204329288286</v>
      </c>
      <c r="AL296" s="402"/>
      <c r="AM296" s="253">
        <f>+AH296</f>
        <v>0.7924777301220719</v>
      </c>
      <c r="AN296" s="253">
        <f>+AI296</f>
        <v>0.83549712407559573</v>
      </c>
      <c r="AO296" s="253">
        <f>+AJ296</f>
        <v>0.81645063210113622</v>
      </c>
      <c r="AP296" s="253">
        <f>+AK296</f>
        <v>0.83273204329288286</v>
      </c>
      <c r="AQ296" s="401"/>
    </row>
    <row r="297" spans="2:43" s="116" customFormat="1" outlineLevel="1" x14ac:dyDescent="0.3">
      <c r="B297" s="649" t="s">
        <v>26</v>
      </c>
      <c r="C297" s="650"/>
      <c r="D297" s="382"/>
      <c r="E297" s="382"/>
      <c r="F297" s="382"/>
      <c r="G297" s="382"/>
      <c r="H297" s="403"/>
      <c r="I297" s="382">
        <f>I291/I296</f>
        <v>122.11177278973889</v>
      </c>
      <c r="J297" s="382">
        <f>J291/J296</f>
        <v>114.19260700389106</v>
      </c>
      <c r="K297" s="382">
        <f>K291/K296</f>
        <v>112.07435107787066</v>
      </c>
      <c r="L297" s="382">
        <f>L291/L296</f>
        <v>102.32844335778321</v>
      </c>
      <c r="M297" s="403"/>
      <c r="N297" s="382">
        <f>N291/N296</f>
        <v>108.33609271523179</v>
      </c>
      <c r="O297" s="382">
        <f>O291/O296</f>
        <v>108.91719118804092</v>
      </c>
      <c r="P297" s="382">
        <f>P291/P296</f>
        <v>110.23324186593493</v>
      </c>
      <c r="Q297" s="382">
        <f>Q291/Q296</f>
        <v>110.4797164237889</v>
      </c>
      <c r="R297" s="403"/>
      <c r="S297" s="382">
        <f>S291/S296</f>
        <v>116.09159034138219</v>
      </c>
      <c r="T297" s="382">
        <f>T291/T296</f>
        <v>108.91719118804092</v>
      </c>
      <c r="U297" s="382">
        <f>U291/U296</f>
        <v>110.23324186593493</v>
      </c>
      <c r="V297" s="382">
        <f>V291/V296</f>
        <v>110.4797164237889</v>
      </c>
      <c r="W297" s="403"/>
      <c r="X297" s="382">
        <f>X291/X296</f>
        <v>116.09159034138219</v>
      </c>
      <c r="Y297" s="382">
        <f>Y291/Y296</f>
        <v>108.91719118804092</v>
      </c>
      <c r="Z297" s="382">
        <f>Z291/Z296</f>
        <v>111.45805566444531</v>
      </c>
      <c r="AA297" s="382">
        <f>AA291/AA296</f>
        <v>110.4797164237889</v>
      </c>
      <c r="AB297" s="403"/>
      <c r="AC297" s="382">
        <f>AC291/AC296</f>
        <v>116.09159034138219</v>
      </c>
      <c r="AD297" s="382">
        <f>AD291/AD296</f>
        <v>108.91719118804092</v>
      </c>
      <c r="AE297" s="382">
        <f>AE291/AE296</f>
        <v>110.23324186593493</v>
      </c>
      <c r="AF297" s="382">
        <f>AF291/AF296</f>
        <v>110.4797164237889</v>
      </c>
      <c r="AG297" s="403"/>
      <c r="AH297" s="382">
        <f>AH291/AH296</f>
        <v>116.09159034138219</v>
      </c>
      <c r="AI297" s="382">
        <f>AI291/AI296</f>
        <v>108.91719118804092</v>
      </c>
      <c r="AJ297" s="382">
        <f>AJ291/AJ296</f>
        <v>110.23324186593493</v>
      </c>
      <c r="AK297" s="382">
        <f>AK291/AK296</f>
        <v>110.4797164237889</v>
      </c>
      <c r="AL297" s="403"/>
      <c r="AM297" s="382">
        <f>AM291/AM296</f>
        <v>116.09159034138219</v>
      </c>
      <c r="AN297" s="382">
        <f>AN291/AN296</f>
        <v>108.91719118804092</v>
      </c>
      <c r="AO297" s="382">
        <f>AO291/AO296</f>
        <v>110.23324186593493</v>
      </c>
      <c r="AP297" s="382">
        <f>AP291/AP296</f>
        <v>110.4797164237889</v>
      </c>
      <c r="AQ297" s="403"/>
    </row>
    <row r="298" spans="2:43" s="116" customFormat="1" outlineLevel="1" x14ac:dyDescent="0.3">
      <c r="B298" s="183" t="s">
        <v>312</v>
      </c>
      <c r="C298" s="133"/>
      <c r="D298" s="373">
        <f>+((D264+2436)/2)/D13</f>
        <v>0.19798029155468685</v>
      </c>
      <c r="E298" s="373">
        <f>+((E264+D264)/2)/E13</f>
        <v>0.18967317112342408</v>
      </c>
      <c r="F298" s="373">
        <f>+((F264+E264)/2)/F13</f>
        <v>0.18772720088509562</v>
      </c>
      <c r="G298" s="373">
        <f>+((G264+F264)/2)/G13</f>
        <v>0.21249711071731259</v>
      </c>
      <c r="H298" s="403"/>
      <c r="I298" s="373">
        <f>+((I264+G264)/2)/I13</f>
        <v>0.20582418331855692</v>
      </c>
      <c r="J298" s="373">
        <f>+((J264+I264)/2)/J13</f>
        <v>0.20152702431183445</v>
      </c>
      <c r="K298" s="373">
        <f>+((K264+J264)/2)/K13</f>
        <v>0.20180702807228112</v>
      </c>
      <c r="L298" s="373">
        <f>+((L264+K264)/2)/L13</f>
        <v>0.1983087487283825</v>
      </c>
      <c r="M298" s="403"/>
      <c r="N298" s="373">
        <f>+((N264+L264)/2)/N13</f>
        <v>0.2094201477413872</v>
      </c>
      <c r="O298" s="373">
        <f>+((O264+N264)/2)/O13</f>
        <v>0.18647704284926134</v>
      </c>
      <c r="P298" s="373">
        <f>+((P264+O264)/2)/P13</f>
        <v>0.17548106014764614</v>
      </c>
      <c r="Q298" s="373">
        <f>+((Q264+P264)/2)/Q13</f>
        <v>0.17254697331676186</v>
      </c>
      <c r="R298" s="404"/>
      <c r="S298" s="373">
        <f>+((S264+Q264)/2)/S13</f>
        <v>0.18276448510438659</v>
      </c>
      <c r="T298" s="251">
        <f t="shared" ref="T298:V299" si="91">+O298</f>
        <v>0.18647704284926134</v>
      </c>
      <c r="U298" s="251">
        <f t="shared" si="91"/>
        <v>0.17548106014764614</v>
      </c>
      <c r="V298" s="251">
        <f t="shared" si="91"/>
        <v>0.17254697331676186</v>
      </c>
      <c r="W298" s="403"/>
      <c r="X298" s="251">
        <f>+S298</f>
        <v>0.18276448510438659</v>
      </c>
      <c r="Y298" s="251">
        <f t="shared" ref="Y298:Y299" si="92">+T298</f>
        <v>0.18647704284926134</v>
      </c>
      <c r="Z298" s="251">
        <f t="shared" ref="Z298:Z299" si="93">+U298</f>
        <v>0.17548106014764614</v>
      </c>
      <c r="AA298" s="251">
        <f t="shared" ref="AA298:AA299" si="94">+V298</f>
        <v>0.17254697331676186</v>
      </c>
      <c r="AB298" s="403"/>
      <c r="AC298" s="251">
        <f>+X298</f>
        <v>0.18276448510438659</v>
      </c>
      <c r="AD298" s="251">
        <f t="shared" ref="AD298:AD299" si="95">+Y298</f>
        <v>0.18647704284926134</v>
      </c>
      <c r="AE298" s="251">
        <f t="shared" ref="AE298:AE299" si="96">+Z298</f>
        <v>0.17548106014764614</v>
      </c>
      <c r="AF298" s="251">
        <f t="shared" ref="AF298:AF299" si="97">+AA298</f>
        <v>0.17254697331676186</v>
      </c>
      <c r="AG298" s="403"/>
      <c r="AH298" s="251">
        <f>+AC298</f>
        <v>0.18276448510438659</v>
      </c>
      <c r="AI298" s="251">
        <f t="shared" ref="AI298:AI299" si="98">+AD298</f>
        <v>0.18647704284926134</v>
      </c>
      <c r="AJ298" s="251">
        <f t="shared" ref="AJ298:AJ299" si="99">+AE298</f>
        <v>0.17548106014764614</v>
      </c>
      <c r="AK298" s="251">
        <f t="shared" ref="AK298:AK299" si="100">+AF298</f>
        <v>0.17254697331676186</v>
      </c>
      <c r="AL298" s="403"/>
      <c r="AM298" s="251">
        <f>+AH298</f>
        <v>0.18276448510438659</v>
      </c>
      <c r="AN298" s="251">
        <f t="shared" ref="AN298:AN299" si="101">+AI298</f>
        <v>0.18647704284926134</v>
      </c>
      <c r="AO298" s="251">
        <f t="shared" ref="AO298:AO299" si="102">+AJ298</f>
        <v>0.17548106014764614</v>
      </c>
      <c r="AP298" s="251">
        <f t="shared" ref="AP298:AP299" si="103">+AK298</f>
        <v>0.17254697331676186</v>
      </c>
      <c r="AQ298" s="403"/>
    </row>
    <row r="299" spans="2:43" s="235" customFormat="1" outlineLevel="1" x14ac:dyDescent="0.3">
      <c r="B299" s="183" t="s">
        <v>325</v>
      </c>
      <c r="C299" s="133"/>
      <c r="D299" s="373">
        <f>((D269+1120)/2)/D13</f>
        <v>9.3900154735727659E-2</v>
      </c>
      <c r="E299" s="373">
        <f>((E269+D269)/2)/E13</f>
        <v>9.8410021681522519E-2</v>
      </c>
      <c r="F299" s="373">
        <f>((F269+E269)/2)/F13</f>
        <v>0.10064011379800854</v>
      </c>
      <c r="G299" s="373">
        <f>((G269+F269)/2)/G13</f>
        <v>0.10000770475383311</v>
      </c>
      <c r="H299" s="403"/>
      <c r="I299" s="373">
        <f>((I269+G269)/2)/I13</f>
        <v>9.0431698833799354E-2</v>
      </c>
      <c r="J299" s="373">
        <f>((J269+I269)/2)/J13</f>
        <v>8.9980577322349473E-2</v>
      </c>
      <c r="K299" s="373">
        <f>((K269+J269)/2)/K13</f>
        <v>9.0851503634060152E-2</v>
      </c>
      <c r="L299" s="373">
        <f>((L269+K269)/2)/L13</f>
        <v>9.1238555442522892E-2</v>
      </c>
      <c r="M299" s="403"/>
      <c r="N299" s="373">
        <f>((N269+L269)/2)/N13</f>
        <v>0.10122899915016016</v>
      </c>
      <c r="O299" s="373">
        <f>((O269+N269)/2)/O13</f>
        <v>9.9736406546925768E-2</v>
      </c>
      <c r="P299" s="373">
        <f>((P269+O269)/2)/P13</f>
        <v>0.1018395255960305</v>
      </c>
      <c r="Q299" s="373">
        <f>((Q269+P269)/2)/Q13</f>
        <v>0.10104466270047695</v>
      </c>
      <c r="R299" s="404"/>
      <c r="S299" s="373">
        <f>((S269+Q269)/2)/S13</f>
        <v>0.10535421064977715</v>
      </c>
      <c r="T299" s="251">
        <f t="shared" si="91"/>
        <v>9.9736406546925768E-2</v>
      </c>
      <c r="U299" s="251">
        <f t="shared" si="91"/>
        <v>0.1018395255960305</v>
      </c>
      <c r="V299" s="251">
        <f t="shared" si="91"/>
        <v>0.10104466270047695</v>
      </c>
      <c r="W299" s="403"/>
      <c r="X299" s="251">
        <f>+S299</f>
        <v>0.10535421064977715</v>
      </c>
      <c r="Y299" s="251">
        <f t="shared" si="92"/>
        <v>9.9736406546925768E-2</v>
      </c>
      <c r="Z299" s="251">
        <f t="shared" si="93"/>
        <v>0.1018395255960305</v>
      </c>
      <c r="AA299" s="251">
        <f t="shared" si="94"/>
        <v>0.10104466270047695</v>
      </c>
      <c r="AB299" s="403"/>
      <c r="AC299" s="251">
        <f>+X299</f>
        <v>0.10535421064977715</v>
      </c>
      <c r="AD299" s="251">
        <f t="shared" si="95"/>
        <v>9.9736406546925768E-2</v>
      </c>
      <c r="AE299" s="251">
        <f t="shared" si="96"/>
        <v>0.1018395255960305</v>
      </c>
      <c r="AF299" s="251">
        <f t="shared" si="97"/>
        <v>0.10104466270047695</v>
      </c>
      <c r="AG299" s="403"/>
      <c r="AH299" s="251">
        <f>+AC299</f>
        <v>0.10535421064977715</v>
      </c>
      <c r="AI299" s="251">
        <f t="shared" si="98"/>
        <v>9.9736406546925768E-2</v>
      </c>
      <c r="AJ299" s="251">
        <f t="shared" si="99"/>
        <v>0.1018395255960305</v>
      </c>
      <c r="AK299" s="251">
        <f t="shared" si="100"/>
        <v>0.10104466270047695</v>
      </c>
      <c r="AL299" s="403"/>
      <c r="AM299" s="251">
        <f>+AH299</f>
        <v>0.10535421064977715</v>
      </c>
      <c r="AN299" s="251">
        <f t="shared" si="101"/>
        <v>9.9736406546925768E-2</v>
      </c>
      <c r="AO299" s="251">
        <f t="shared" si="102"/>
        <v>0.1018395255960305</v>
      </c>
      <c r="AP299" s="251">
        <f t="shared" si="103"/>
        <v>0.10104466270047695</v>
      </c>
      <c r="AQ299" s="403"/>
    </row>
    <row r="300" spans="2:43" outlineLevel="1" x14ac:dyDescent="0.3">
      <c r="B300" s="649" t="s">
        <v>306</v>
      </c>
      <c r="C300" s="650"/>
      <c r="D300" s="151"/>
      <c r="E300" s="151">
        <f>+E310/((E253+D253)/2)</f>
        <v>1.4636169044390402E-2</v>
      </c>
      <c r="F300" s="151">
        <f>+F310/((F253+E253)/2)</f>
        <v>1.4527685868922146E-2</v>
      </c>
      <c r="G300" s="151">
        <f>+G310/((G253+F253)/2)</f>
        <v>1.4336378291241268E-2</v>
      </c>
      <c r="H300" s="184"/>
      <c r="I300" s="151">
        <f>+I310/((I253+H253)/2)</f>
        <v>1.5535164338494204E-2</v>
      </c>
      <c r="J300" s="151">
        <f>+J310/((J253+I253)/2)</f>
        <v>1.5251599872216325E-2</v>
      </c>
      <c r="K300" s="151">
        <f>+K310/((K253+J253)/2)</f>
        <v>1.5445424141076315E-2</v>
      </c>
      <c r="L300" s="151">
        <f>+L310/((L253+K253)/2)</f>
        <v>1.5023212257666023E-2</v>
      </c>
      <c r="M300" s="184"/>
      <c r="N300" s="151">
        <f>+N310/((N253+M253)/2)</f>
        <v>1.470156412113619E-2</v>
      </c>
      <c r="O300" s="151">
        <f>+O310/((O253+N253)/2)</f>
        <v>1.4430234777629319E-2</v>
      </c>
      <c r="P300" s="151">
        <f>+P310/((P253+O253)/2)</f>
        <v>1.4607357573617551E-2</v>
      </c>
      <c r="Q300" s="151">
        <f>+Q310/((Q253+P253)/2)</f>
        <v>1.4648669382089171E-2</v>
      </c>
      <c r="R300" s="184"/>
      <c r="S300" s="151">
        <f>+S310/((S253+R253)/2)</f>
        <v>1.4500165998187479E-2</v>
      </c>
      <c r="T300" s="251">
        <v>1.3034756654086887E-2</v>
      </c>
      <c r="U300" s="251">
        <v>1.3034756654086887E-2</v>
      </c>
      <c r="V300" s="251">
        <v>1.3034756654086887E-2</v>
      </c>
      <c r="W300" s="404"/>
      <c r="X300" s="251">
        <v>1.3034756654086887E-2</v>
      </c>
      <c r="Y300" s="251">
        <v>1.3034756654086887E-2</v>
      </c>
      <c r="Z300" s="251">
        <v>1.3034756654086887E-2</v>
      </c>
      <c r="AA300" s="251">
        <v>1.3034756654086887E-2</v>
      </c>
      <c r="AB300" s="404"/>
      <c r="AC300" s="251">
        <v>1.3034756654086887E-2</v>
      </c>
      <c r="AD300" s="251">
        <v>1.3034756654086887E-2</v>
      </c>
      <c r="AE300" s="251">
        <v>1.3034756654086887E-2</v>
      </c>
      <c r="AF300" s="251">
        <v>1.3034756654086887E-2</v>
      </c>
      <c r="AG300" s="404"/>
      <c r="AH300" s="251">
        <v>1.3034756654086887E-2</v>
      </c>
      <c r="AI300" s="251">
        <v>1.3034756654086887E-2</v>
      </c>
      <c r="AJ300" s="251">
        <v>1.3034756654086887E-2</v>
      </c>
      <c r="AK300" s="251">
        <v>1.3034756654086887E-2</v>
      </c>
      <c r="AL300" s="404"/>
      <c r="AM300" s="251">
        <v>1.3034756654086887E-2</v>
      </c>
      <c r="AN300" s="251">
        <v>1.3034756654086887E-2</v>
      </c>
      <c r="AO300" s="251">
        <v>1.3034756654086887E-2</v>
      </c>
      <c r="AP300" s="251">
        <v>1.3034756654086887E-2</v>
      </c>
      <c r="AQ300" s="184"/>
    </row>
    <row r="301" spans="2:43" s="116" customFormat="1" outlineLevel="1" x14ac:dyDescent="0.3">
      <c r="B301" s="716" t="s">
        <v>83</v>
      </c>
      <c r="C301" s="717"/>
      <c r="D301" s="392">
        <f>(D266+D261+D260)/(D286)</f>
        <v>0.47490675914414709</v>
      </c>
      <c r="E301" s="393">
        <f>(E266+E261+E260)/(E286)</f>
        <v>0.56671114076050699</v>
      </c>
      <c r="F301" s="393">
        <f>(F266+F261+F260)/(F286)</f>
        <v>0.59244782578348576</v>
      </c>
      <c r="G301" s="393">
        <f>(G266+G261+G260)/(G286)</f>
        <v>0.99840394660475917</v>
      </c>
      <c r="H301" s="394"/>
      <c r="I301" s="392">
        <f>(I266+I261+I260)/(I286)</f>
        <v>0.97454391175222743</v>
      </c>
      <c r="J301" s="393">
        <f>(J266+J261+J260)/(J286)</f>
        <v>0.93565480696442094</v>
      </c>
      <c r="K301" s="393">
        <f>(K266+K261+K260)/(K286)</f>
        <v>0.97194415173867232</v>
      </c>
      <c r="L301" s="393">
        <f>(L266+L261+L260)/(L286)</f>
        <v>0.92894916941454608</v>
      </c>
      <c r="M301" s="394"/>
      <c r="N301" s="392">
        <f>(N266+N261+N260)/(N286)</f>
        <v>0.91202310747382354</v>
      </c>
      <c r="O301" s="393">
        <f>(O266+O261+O260)/(O286)</f>
        <v>0.90536499560246264</v>
      </c>
      <c r="P301" s="393">
        <f>(P266+P261+P260)/(P286)</f>
        <v>0.93045411241664022</v>
      </c>
      <c r="Q301" s="393">
        <f>(Q266+Q261+Q260)/(Q286)</f>
        <v>0.85419241862381545</v>
      </c>
      <c r="R301" s="394"/>
      <c r="S301" s="392">
        <f>(S266+S261+S260)/(S286)</f>
        <v>0.88374276326083556</v>
      </c>
      <c r="T301" s="395">
        <f>+S301</f>
        <v>0.88374276326083556</v>
      </c>
      <c r="U301" s="395">
        <f>+T301</f>
        <v>0.88374276326083556</v>
      </c>
      <c r="V301" s="395">
        <f>+U301</f>
        <v>0.88374276326083556</v>
      </c>
      <c r="W301" s="394"/>
      <c r="X301" s="395">
        <f>+V301</f>
        <v>0.88374276326083556</v>
      </c>
      <c r="Y301" s="395">
        <f>+X301</f>
        <v>0.88374276326083556</v>
      </c>
      <c r="Z301" s="395">
        <f>+Y301</f>
        <v>0.88374276326083556</v>
      </c>
      <c r="AA301" s="395">
        <f>+Z301</f>
        <v>0.88374276326083556</v>
      </c>
      <c r="AB301" s="394"/>
      <c r="AC301" s="395">
        <f>+AA301</f>
        <v>0.88374276326083556</v>
      </c>
      <c r="AD301" s="395">
        <f>+AC301</f>
        <v>0.88374276326083556</v>
      </c>
      <c r="AE301" s="395">
        <f>+AD301</f>
        <v>0.88374276326083556</v>
      </c>
      <c r="AF301" s="395">
        <f>+AE301</f>
        <v>0.88374276326083556</v>
      </c>
      <c r="AG301" s="394"/>
      <c r="AH301" s="395">
        <f>+AF301-0.5%</f>
        <v>0.87874276326083556</v>
      </c>
      <c r="AI301" s="395">
        <f>+AH301-0.5%</f>
        <v>0.87374276326083555</v>
      </c>
      <c r="AJ301" s="395">
        <f>+AI301-0.5%</f>
        <v>0.86874276326083555</v>
      </c>
      <c r="AK301" s="395">
        <f>+AJ301-0.5%</f>
        <v>0.86374276326083554</v>
      </c>
      <c r="AL301" s="394"/>
      <c r="AM301" s="395">
        <f>+AK301-0.5%</f>
        <v>0.85874276326083554</v>
      </c>
      <c r="AN301" s="395">
        <f>+AM301-0.5%</f>
        <v>0.85374276326083554</v>
      </c>
      <c r="AO301" s="395">
        <f>+AN301-0.5%</f>
        <v>0.84874276326083553</v>
      </c>
      <c r="AP301" s="395">
        <f>+AO301-0.5%</f>
        <v>0.84374276326083553</v>
      </c>
      <c r="AQ301" s="394"/>
    </row>
    <row r="302" spans="2:43" outlineLevel="1" x14ac:dyDescent="0.3">
      <c r="B302" s="296" t="s">
        <v>310</v>
      </c>
      <c r="C302" s="415"/>
      <c r="D302" s="199">
        <f>D260/(D260+D261+D266)</f>
        <v>0</v>
      </c>
      <c r="E302" s="240">
        <f>E260/(E260+E261+E266)</f>
        <v>0</v>
      </c>
      <c r="F302" s="240">
        <f>F260/(F260+F261+F266)</f>
        <v>0</v>
      </c>
      <c r="G302" s="240">
        <f>G260/(G260+G261+G266)</f>
        <v>0</v>
      </c>
      <c r="H302" s="66"/>
      <c r="I302" s="199">
        <f>I260/(I260+I261+I266)</f>
        <v>0</v>
      </c>
      <c r="J302" s="240">
        <f>J260/(J260+J261+J266)</f>
        <v>0</v>
      </c>
      <c r="K302" s="240">
        <f>K260/(K260+K261+K266)</f>
        <v>0</v>
      </c>
      <c r="L302" s="240">
        <f>L260/(L260+L261+L266)</f>
        <v>0</v>
      </c>
      <c r="M302" s="66"/>
      <c r="N302" s="199">
        <f>N260/(N260+N261+N266)</f>
        <v>0</v>
      </c>
      <c r="O302" s="240">
        <f>O260/(O260+O261+O266)</f>
        <v>1.6190661226604494E-2</v>
      </c>
      <c r="P302" s="240">
        <f>P260/(P260+P261+P266)</f>
        <v>4.5449374288964735E-2</v>
      </c>
      <c r="Q302" s="240">
        <f>Q260/(Q260+Q261+Q266)</f>
        <v>0</v>
      </c>
      <c r="R302" s="214"/>
      <c r="S302" s="199">
        <f>S260/(S260+S261+S266)</f>
        <v>1.7646364494806423E-2</v>
      </c>
      <c r="T302" s="251">
        <f t="shared" ref="T302:V303" si="104">S302</f>
        <v>1.7646364494806423E-2</v>
      </c>
      <c r="U302" s="251">
        <f t="shared" si="104"/>
        <v>1.7646364494806423E-2</v>
      </c>
      <c r="V302" s="251">
        <f t="shared" si="104"/>
        <v>1.7646364494806423E-2</v>
      </c>
      <c r="W302" s="66"/>
      <c r="X302" s="250">
        <f>AVERAGE(V302,U302,T302,S302)</f>
        <v>1.7646364494806423E-2</v>
      </c>
      <c r="Y302" s="250">
        <f>AVERAGE(X302,V302,U302,T302)</f>
        <v>1.7646364494806423E-2</v>
      </c>
      <c r="Z302" s="250">
        <f>AVERAGE(Y302,X302,V302,U302)</f>
        <v>1.7646364494806423E-2</v>
      </c>
      <c r="AA302" s="250">
        <f>AVERAGE(Z302,Y302,X302,V302)</f>
        <v>1.7646364494806423E-2</v>
      </c>
      <c r="AB302" s="66"/>
      <c r="AC302" s="250">
        <f>AVERAGE(AA302,Z302,Y302,X302)</f>
        <v>1.7646364494806423E-2</v>
      </c>
      <c r="AD302" s="250">
        <f>AVERAGE(AC302,AA302,Z302,Y302)</f>
        <v>1.7646364494806423E-2</v>
      </c>
      <c r="AE302" s="250">
        <f>AVERAGE(AD302,AC302,AA302,Z302)</f>
        <v>1.7646364494806423E-2</v>
      </c>
      <c r="AF302" s="250">
        <f>AVERAGE(AE302,AD302,AC302,AA302)</f>
        <v>1.7646364494806423E-2</v>
      </c>
      <c r="AG302" s="66"/>
      <c r="AH302" s="250">
        <f>AVERAGE(AF302,AE302,AD302,AC302)</f>
        <v>1.7646364494806423E-2</v>
      </c>
      <c r="AI302" s="250">
        <f>AVERAGE(AH302,AF302,AE302,AD302)</f>
        <v>1.7646364494806423E-2</v>
      </c>
      <c r="AJ302" s="250">
        <f>AVERAGE(AI302,AH302,AF302,AE302)</f>
        <v>1.7646364494806423E-2</v>
      </c>
      <c r="AK302" s="250">
        <f>AVERAGE(AJ302,AI302,AH302,AF302)</f>
        <v>1.7646364494806423E-2</v>
      </c>
      <c r="AL302" s="66"/>
      <c r="AM302" s="250">
        <f>AVERAGE(AK302,AJ302,AI302,AH302)</f>
        <v>1.7646364494806423E-2</v>
      </c>
      <c r="AN302" s="250">
        <f>AVERAGE(AM302,AK302,AJ302,AI302)</f>
        <v>1.7646364494806423E-2</v>
      </c>
      <c r="AO302" s="250">
        <f>AVERAGE(AN302,AM302,AK302,AJ302)</f>
        <v>1.7646364494806423E-2</v>
      </c>
      <c r="AP302" s="250">
        <f>AVERAGE(AO302,AN302,AM302,AK302)</f>
        <v>1.7646364494806423E-2</v>
      </c>
      <c r="AQ302" s="66"/>
    </row>
    <row r="303" spans="2:43" outlineLevel="1" x14ac:dyDescent="0.3">
      <c r="B303" s="296" t="s">
        <v>311</v>
      </c>
      <c r="C303" s="415"/>
      <c r="D303" s="199">
        <f>D261/(D260+D261+D266)</f>
        <v>1.9289060347203086E-3</v>
      </c>
      <c r="E303" s="240">
        <f>E261/(E260+E261+E266)</f>
        <v>1.64802825191289E-3</v>
      </c>
      <c r="F303" s="240">
        <f>F261/(F260+F261+F266)</f>
        <v>1.2959472196041471E-3</v>
      </c>
      <c r="G303" s="240">
        <f>G261/(G260+G261+G266)</f>
        <v>2.1072518529283535E-3</v>
      </c>
      <c r="H303" s="66"/>
      <c r="I303" s="199">
        <f>I261/(I260+I261+I266)</f>
        <v>3.4102452474241763E-3</v>
      </c>
      <c r="J303" s="240">
        <f>J261/(J260+J261+J266)</f>
        <v>3.162694910267726E-3</v>
      </c>
      <c r="K303" s="240">
        <f>K261/(K260+K261+K266)</f>
        <v>3.0491936576771922E-3</v>
      </c>
      <c r="L303" s="240">
        <f>L261/(L260+L261+L266)</f>
        <v>1.4734445114191949E-3</v>
      </c>
      <c r="M303" s="66"/>
      <c r="N303" s="199">
        <f>N261/(N260+N261+N266)</f>
        <v>1.253628925837952E-3</v>
      </c>
      <c r="O303" s="240">
        <f>O261/(O260+O261+O266)</f>
        <v>7.1238909397059781E-4</v>
      </c>
      <c r="P303" s="240">
        <f>P261/(P260+P261+P266)</f>
        <v>4.3458475540386801E-2</v>
      </c>
      <c r="Q303" s="240">
        <f>Q261/(Q260+Q261+Q266)</f>
        <v>8.091649080494423E-2</v>
      </c>
      <c r="R303" s="214"/>
      <c r="S303" s="199">
        <f>S261/(S260+S261+S266)</f>
        <v>8.2861189801699722E-2</v>
      </c>
      <c r="T303" s="251">
        <f t="shared" si="104"/>
        <v>8.2861189801699722E-2</v>
      </c>
      <c r="U303" s="251">
        <f t="shared" si="104"/>
        <v>8.2861189801699722E-2</v>
      </c>
      <c r="V303" s="251">
        <f t="shared" si="104"/>
        <v>8.2861189801699722E-2</v>
      </c>
      <c r="W303" s="66"/>
      <c r="X303" s="250">
        <f>AVERAGE(V303,U303,T303,S303)</f>
        <v>8.2861189801699722E-2</v>
      </c>
      <c r="Y303" s="250">
        <f>AVERAGE(X303,V303,U303,T303)</f>
        <v>8.2861189801699722E-2</v>
      </c>
      <c r="Z303" s="250">
        <f>AVERAGE(Y303,X303,V303,U303)</f>
        <v>8.2861189801699722E-2</v>
      </c>
      <c r="AA303" s="250">
        <f>AVERAGE(Z303,Y303,X303,V303)</f>
        <v>8.2861189801699722E-2</v>
      </c>
      <c r="AB303" s="66"/>
      <c r="AC303" s="250">
        <f>AVERAGE(AA303,Z303,Y303,X303)</f>
        <v>8.2861189801699722E-2</v>
      </c>
      <c r="AD303" s="250">
        <f>AVERAGE(AC303,AA303,Z303,Y303)</f>
        <v>8.2861189801699722E-2</v>
      </c>
      <c r="AE303" s="250">
        <f>AVERAGE(AD303,AC303,AA303,Z303)</f>
        <v>8.2861189801699722E-2</v>
      </c>
      <c r="AF303" s="250">
        <f>AVERAGE(AE303,AD303,AC303,AA303)</f>
        <v>8.2861189801699722E-2</v>
      </c>
      <c r="AG303" s="66"/>
      <c r="AH303" s="250">
        <f>AVERAGE(AF303,AE303,AD303,AC303)</f>
        <v>8.2861189801699722E-2</v>
      </c>
      <c r="AI303" s="250">
        <f>AVERAGE(AH303,AF303,AE303,AD303)</f>
        <v>8.2861189801699722E-2</v>
      </c>
      <c r="AJ303" s="250">
        <f>AVERAGE(AI303,AH303,AF303,AE303)</f>
        <v>8.2861189801699722E-2</v>
      </c>
      <c r="AK303" s="250">
        <f>AVERAGE(AJ303,AI303,AH303,AF303)</f>
        <v>8.2861189801699722E-2</v>
      </c>
      <c r="AL303" s="66"/>
      <c r="AM303" s="250">
        <f>AVERAGE(AK303,AJ303,AI303,AH303)</f>
        <v>8.2861189801699722E-2</v>
      </c>
      <c r="AN303" s="250">
        <f>AVERAGE(AM303,AK303,AJ303,AI303)</f>
        <v>8.2861189801699722E-2</v>
      </c>
      <c r="AO303" s="250">
        <f>AVERAGE(AN303,AM303,AK303,AJ303)</f>
        <v>8.2861189801699722E-2</v>
      </c>
      <c r="AP303" s="250">
        <f>AVERAGE(AO303,AN303,AM303,AK303)</f>
        <v>8.2861189801699722E-2</v>
      </c>
      <c r="AQ303" s="66"/>
    </row>
    <row r="304" spans="2:43" outlineLevel="1" x14ac:dyDescent="0.3">
      <c r="B304" s="680" t="s">
        <v>309</v>
      </c>
      <c r="C304" s="681"/>
      <c r="D304" s="49"/>
      <c r="E304" s="279"/>
      <c r="F304" s="49"/>
      <c r="G304" s="49"/>
      <c r="H304" s="68"/>
      <c r="I304" s="49"/>
      <c r="J304" s="49"/>
      <c r="K304" s="49"/>
      <c r="L304" s="49"/>
      <c r="M304" s="68"/>
      <c r="N304" s="280" t="str">
        <f>(ROUND(((((N260+N261+N266)+(L260+L261+L266)+(K260+K261+K266)+(J260+J261+J266))/4)/(N36+L36+K36+J36+N206+L206+K206+J206)),0))&amp;"x"</f>
        <v>2x</v>
      </c>
      <c r="O304" s="280" t="str">
        <f>(ROUND(((((O260+O261+O266)+(N260+N261+N266)+(L260+L261+L266)+(K260+K261+K266))/4)/(O36+N36+L36+K36+O206+N206+L206+K206)),0))&amp;"x"</f>
        <v>2x</v>
      </c>
      <c r="P304" s="280" t="str">
        <f>(ROUND(((((P260+P261+P266)+(O260+O261+O266)+(N260+N261+N266)+(L260+L261+L266))/4)/(P36+O36+N36+L36+P206+O206+N206+L206)),0))&amp;"x"</f>
        <v>2x</v>
      </c>
      <c r="Q304" s="280" t="str">
        <f>(ROUND(((((Q260+Q261+Q266)+(P260+P261+P266)+(O260+O261+O266)+(N260+N261+N266))/4)/(Q36+P36+O36+N36+Q206+P206+O206+N206)),0))&amp;"x"</f>
        <v>2x</v>
      </c>
      <c r="R304" s="313" t="str">
        <f>(ROUND(((((Q260+Q261+Q266)+(P260+P261+P266)+(O260+O261+O266)+(N260+N261+N266))/4)/(R36+R206)),0))&amp;"x"</f>
        <v>2x</v>
      </c>
      <c r="S304" s="280" t="str">
        <f>(ROUND(((((S260+S261+S266)+(Q260+Q261+Q266)+(P260+P261+P266)+(O260+O261+O266))/4)/(S36+Q36+P36+O36+S206+Q206+P206+O206)),0))&amp;"x"</f>
        <v>2x</v>
      </c>
      <c r="T304" s="280" t="str">
        <f>(ROUND(((((T260+T261+T266)+(S260+S261+S266)+(Q260+Q261+Q266)+(P260+P261+P266))/4)/(T36+S36+Q36+P36+T206+S206+Q206+P206)),0))&amp;"x"</f>
        <v>2x</v>
      </c>
      <c r="U304" s="280" t="str">
        <f>(ROUND(((((U260+U261+U266)+(T260+T261+T266)+(S260+S261+S266)+(Q260+Q261+Q266))/4)/(U36+T36+S36+Q36+U206+T206+S206+Q206)),0))&amp;"x"</f>
        <v>2x</v>
      </c>
      <c r="V304" s="280" t="str">
        <f>(ROUND(((((V260+V261+V266)+(U260+U261+U266)+(T260+T261+T266)+(S260+S261+S266))/4)/(V36+U36+T36+S36+V206+U206+T206+S206)),0))&amp;"x"</f>
        <v>2x</v>
      </c>
      <c r="W304" s="313" t="str">
        <f>(ROUND(((((V260+V261+V266)+(U260+U261+U266)+(T260+T261+T266)+(S260+S261+S266))/4)/(W36+W206)),0))&amp;"x"</f>
        <v>2x</v>
      </c>
      <c r="X304" s="280" t="str">
        <f>(ROUND(((((X260+X261+X266)+(V260+V261+V266)+(U260+U261+U266)+(T260+T261+T266))/4)/(X36+V36+U36+T36+X206+V206+U206+T206)),0))&amp;"x"</f>
        <v>2x</v>
      </c>
      <c r="Y304" s="280" t="str">
        <f>(ROUND(((((Y260+Y261+Y266)+(X260+X261+X266)+(V260+V261+V266)+(U260+U261+U266))/4)/(Y36+X36+V36+U36+Y206+X206+V206+U206)),0))&amp;"x"</f>
        <v>2x</v>
      </c>
      <c r="Z304" s="280" t="str">
        <f>(ROUND(((((Z260+Z261+Z266)+(Y260+Y261+Y266)+(X260+X261+X266)+(V260+V261+V266))/4)/(Z36+Y36+X36+V36+Z206+Y206+X206+V206)),0))&amp;"x"</f>
        <v>2x</v>
      </c>
      <c r="AA304" s="280" t="str">
        <f>(ROUND(((((AA260+AA261+AA266)+(Z260+Z261+Z266)+(Y260+Y261+Y266)+(X260+X261+X266))/4)/(AA36+Z36+Y36+X36+AA206+Z206+Y206+X206)),0))&amp;"x"</f>
        <v>2x</v>
      </c>
      <c r="AB304" s="313" t="str">
        <f>(ROUND(((((AA260+AA261+AA266)+(Z260+Z261+Z266)+(Y260+Y261+Y266)+(X260+X261+X266))/4)/(AB36+AB206)),0))&amp;"x"</f>
        <v>2x</v>
      </c>
      <c r="AC304" s="280" t="str">
        <f>(ROUND(((((AC260+AC261+AC266)+(AA260+AA261+AA266)+(Z260+Z261+Z266)+(Y260+Y261+Y266))/4)/(AC36+AA36+Z36+Y36+AC206+AA206+Z206+Y206)),0))&amp;"x"</f>
        <v>2x</v>
      </c>
      <c r="AD304" s="280" t="str">
        <f>(ROUND(((((AD260+AD261+AD266)+(AC260+AC261+AC266)+(AA260+AA261+AA266)+(Z260+Z261+Z266))/4)/(AD36+AC36+AA36+Z36+AD206+AC206+AA206+Z206)),0))&amp;"x"</f>
        <v>2x</v>
      </c>
      <c r="AE304" s="280" t="str">
        <f>(ROUND(((((AE260+AE261+AE266)+(AD260+AD261+AD266)+(AC260+AC261+AC266)+(AA260+AA261+AA266))/4)/(AE36+AD36+AC36+AA36+AE206+AD206+AC206+AA206)),0))&amp;"x"</f>
        <v>2x</v>
      </c>
      <c r="AF304" s="280" t="str">
        <f>(ROUND(((((AF260+AF261+AF266)+(AE260+AE261+AE266)+(AD260+AD261+AD266)+(AC260+AC261+AC266))/4)/(AF36+AE36+AD36+AC36+AF206+AE206+AD206+AC206)),0))&amp;"x"</f>
        <v>2x</v>
      </c>
      <c r="AG304" s="313" t="str">
        <f>(ROUND(((((AF260+AF261+AF266)+(AE260+AE261+AE266)+(AD260+AD261+AD266)+(AC260+AC261+AC266))/4)/(AG36+AG206)),0))&amp;"x"</f>
        <v>2x</v>
      </c>
      <c r="AH304" s="280" t="str">
        <f>(ROUND(((((AH260+AH261+AH266)+(AF260+AF261+AF266)+(AE260+AE261+AE266)+(AD260+AD261+AD266))/4)/(AH36+AF36+AE36+AD36+AH206+AF206+AE206+AD206)),0))&amp;"x"</f>
        <v>2x</v>
      </c>
      <c r="AI304" s="280" t="str">
        <f>(ROUND(((((AI260+AI261+AI266)+(AH260+AH261+AH266)+(AF260+AF261+AF266)+(AE260+AE261+AE266))/4)/(AI36+AH36+AF36+AE36+AI206+AH206+AF206+AE206)),0))&amp;"x"</f>
        <v>2x</v>
      </c>
      <c r="AJ304" s="280" t="str">
        <f>(ROUND(((((AJ260+AJ261+AJ266)+(AI260+AI261+AI266)+(AH260+AH261+AH266)+(AF260+AF261+AF266))/4)/(AJ36+AI36+AH36+AF36+AJ206+AI206+AH206+AF206)),0))&amp;"x"</f>
        <v>2x</v>
      </c>
      <c r="AK304" s="280" t="str">
        <f>(ROUND(((((AK260+AK261+AK266)+(AJ260+AJ261+AJ266)+(AI260+AI261+AI266)+(AH260+AH261+AH266))/4)/(AK36+AJ36+AI36+AH36+AK206+AJ206+AI206+AH206)),0))&amp;"x"</f>
        <v>2x</v>
      </c>
      <c r="AL304" s="313" t="str">
        <f>(ROUND(((((AK260+AK261+AK266)+(AJ260+AJ261+AJ266)+(AI260+AI261+AI266)+(AH260+AH261+AH266))/4)/(AL36+AL206)),0))&amp;"x"</f>
        <v>2x</v>
      </c>
      <c r="AM304" s="280" t="str">
        <f>(ROUND(((((AM260+AM261+AM266)+(AK260+AK261+AK266)+(AJ260+AJ261+AJ266)+(AI260+AI261+AI266))/4)/(AM36+AK36+AJ36+AI36+AM206+AK206+AJ206+AI206)),0))&amp;"x"</f>
        <v>2x</v>
      </c>
      <c r="AN304" s="280" t="str">
        <f>(ROUND(((((AN260+AN261+AN266)+(AM260+AM261+AM266)+(AK260+AK261+AK266)+(AJ260+AJ261+AJ266))/4)/(AN36+AM36+AK36+AJ36+AN206+AM206+AK206+AJ206)),0))&amp;"x"</f>
        <v>2x</v>
      </c>
      <c r="AO304" s="280" t="str">
        <f>(ROUND(((((AO260+AO261+AO266)+(AN260+AN261+AN266)+(AM260+AM261+AM266)+(AK260+AK261+AK266))/4)/(AO36+AN36+AM36+AK36+AO206+AN206+AM206+AK206)),0))&amp;"x"</f>
        <v>3x</v>
      </c>
      <c r="AP304" s="280" t="str">
        <f>(ROUND(((((AP260+AP261+AP266)+(AO260+AO261+AO266)+(AN260+AN261+AN266)+(AM260+AM261+AM266))/4)/(AP36+AO36+AN36+AM36+AP206+AO206+AN206+AM206)),0))&amp;"x"</f>
        <v>3x</v>
      </c>
      <c r="AQ304" s="313" t="str">
        <f>(ROUND(((((AP260+AP261+AP266)+(AO260+AO261+AO266)+(AN260+AN261+AN266)+(AM260+AM261+AM266))/4)/(AQ36+AQ206)),0))&amp;"x"</f>
        <v>3x</v>
      </c>
    </row>
    <row r="305" spans="2:43" x14ac:dyDescent="0.3">
      <c r="B305" s="57"/>
      <c r="C305" s="57"/>
      <c r="D305" s="69"/>
      <c r="H305" s="84"/>
      <c r="M305" s="42"/>
      <c r="N305" s="42"/>
      <c r="O305" s="85"/>
      <c r="S305" s="69"/>
    </row>
    <row r="306" spans="2:43" ht="15.6" x14ac:dyDescent="0.3">
      <c r="B306" s="630" t="s">
        <v>113</v>
      </c>
      <c r="C306" s="638"/>
      <c r="D306" s="95" t="s">
        <v>121</v>
      </c>
      <c r="E306" s="95" t="s">
        <v>122</v>
      </c>
      <c r="F306" s="95" t="s">
        <v>123</v>
      </c>
      <c r="G306" s="95" t="s">
        <v>124</v>
      </c>
      <c r="H306" s="408" t="s">
        <v>124</v>
      </c>
      <c r="I306" s="95" t="s">
        <v>125</v>
      </c>
      <c r="J306" s="95" t="s">
        <v>126</v>
      </c>
      <c r="K306" s="95" t="s">
        <v>127</v>
      </c>
      <c r="L306" s="95" t="s">
        <v>128</v>
      </c>
      <c r="M306" s="408" t="s">
        <v>128</v>
      </c>
      <c r="N306" s="95" t="s">
        <v>129</v>
      </c>
      <c r="O306" s="95" t="s">
        <v>130</v>
      </c>
      <c r="P306" s="95" t="s">
        <v>131</v>
      </c>
      <c r="Q306" s="95" t="s">
        <v>132</v>
      </c>
      <c r="R306" s="408" t="s">
        <v>132</v>
      </c>
      <c r="S306" s="95" t="s">
        <v>133</v>
      </c>
      <c r="T306" s="97" t="s">
        <v>134</v>
      </c>
      <c r="U306" s="97" t="s">
        <v>135</v>
      </c>
      <c r="V306" s="97" t="s">
        <v>136</v>
      </c>
      <c r="W306" s="412" t="s">
        <v>136</v>
      </c>
      <c r="X306" s="97" t="s">
        <v>137</v>
      </c>
      <c r="Y306" s="97" t="s">
        <v>138</v>
      </c>
      <c r="Z306" s="97" t="s">
        <v>139</v>
      </c>
      <c r="AA306" s="97" t="s">
        <v>140</v>
      </c>
      <c r="AB306" s="412" t="s">
        <v>140</v>
      </c>
      <c r="AC306" s="97" t="s">
        <v>141</v>
      </c>
      <c r="AD306" s="97" t="s">
        <v>142</v>
      </c>
      <c r="AE306" s="97" t="s">
        <v>143</v>
      </c>
      <c r="AF306" s="97" t="s">
        <v>144</v>
      </c>
      <c r="AG306" s="412" t="s">
        <v>144</v>
      </c>
      <c r="AH306" s="97" t="s">
        <v>145</v>
      </c>
      <c r="AI306" s="97" t="s">
        <v>146</v>
      </c>
      <c r="AJ306" s="97" t="s">
        <v>147</v>
      </c>
      <c r="AK306" s="97" t="s">
        <v>148</v>
      </c>
      <c r="AL306" s="412" t="s">
        <v>148</v>
      </c>
      <c r="AM306" s="97" t="s">
        <v>149</v>
      </c>
      <c r="AN306" s="97" t="s">
        <v>150</v>
      </c>
      <c r="AO306" s="97" t="s">
        <v>151</v>
      </c>
      <c r="AP306" s="97" t="s">
        <v>152</v>
      </c>
      <c r="AQ306" s="412" t="s">
        <v>152</v>
      </c>
    </row>
    <row r="307" spans="2:43" ht="16.2" x14ac:dyDescent="0.45">
      <c r="B307" s="298" t="s">
        <v>3</v>
      </c>
      <c r="C307" s="414"/>
      <c r="D307" s="96" t="s">
        <v>71</v>
      </c>
      <c r="E307" s="96" t="s">
        <v>74</v>
      </c>
      <c r="F307" s="96" t="s">
        <v>75</v>
      </c>
      <c r="G307" s="96" t="s">
        <v>79</v>
      </c>
      <c r="H307" s="409" t="s">
        <v>80</v>
      </c>
      <c r="I307" s="96" t="s">
        <v>81</v>
      </c>
      <c r="J307" s="96" t="s">
        <v>92</v>
      </c>
      <c r="K307" s="96" t="s">
        <v>110</v>
      </c>
      <c r="L307" s="96" t="s">
        <v>114</v>
      </c>
      <c r="M307" s="409" t="s">
        <v>115</v>
      </c>
      <c r="N307" s="96" t="s">
        <v>116</v>
      </c>
      <c r="O307" s="96" t="s">
        <v>117</v>
      </c>
      <c r="P307" s="96" t="s">
        <v>118</v>
      </c>
      <c r="Q307" s="96" t="s">
        <v>119</v>
      </c>
      <c r="R307" s="409" t="s">
        <v>120</v>
      </c>
      <c r="S307" s="96" t="s">
        <v>518</v>
      </c>
      <c r="T307" s="94" t="s">
        <v>378</v>
      </c>
      <c r="U307" s="94" t="s">
        <v>379</v>
      </c>
      <c r="V307" s="94" t="s">
        <v>380</v>
      </c>
      <c r="W307" s="413" t="s">
        <v>381</v>
      </c>
      <c r="X307" s="94" t="s">
        <v>382</v>
      </c>
      <c r="Y307" s="94" t="s">
        <v>383</v>
      </c>
      <c r="Z307" s="94" t="s">
        <v>384</v>
      </c>
      <c r="AA307" s="94" t="s">
        <v>385</v>
      </c>
      <c r="AB307" s="413" t="s">
        <v>386</v>
      </c>
      <c r="AC307" s="94" t="s">
        <v>387</v>
      </c>
      <c r="AD307" s="94" t="s">
        <v>388</v>
      </c>
      <c r="AE307" s="94" t="s">
        <v>389</v>
      </c>
      <c r="AF307" s="94" t="s">
        <v>390</v>
      </c>
      <c r="AG307" s="413" t="s">
        <v>391</v>
      </c>
      <c r="AH307" s="94" t="s">
        <v>392</v>
      </c>
      <c r="AI307" s="94" t="s">
        <v>393</v>
      </c>
      <c r="AJ307" s="94" t="s">
        <v>394</v>
      </c>
      <c r="AK307" s="94" t="s">
        <v>395</v>
      </c>
      <c r="AL307" s="413" t="s">
        <v>396</v>
      </c>
      <c r="AM307" s="94" t="s">
        <v>397</v>
      </c>
      <c r="AN307" s="94" t="s">
        <v>398</v>
      </c>
      <c r="AO307" s="94" t="s">
        <v>399</v>
      </c>
      <c r="AP307" s="94" t="s">
        <v>400</v>
      </c>
      <c r="AQ307" s="413" t="s">
        <v>401</v>
      </c>
    </row>
    <row r="308" spans="2:43" outlineLevel="1" x14ac:dyDescent="0.3">
      <c r="B308" s="643" t="s">
        <v>13</v>
      </c>
      <c r="C308" s="644"/>
      <c r="D308" s="77"/>
      <c r="E308" s="77"/>
      <c r="F308" s="77"/>
      <c r="G308" s="77"/>
      <c r="H308" s="48"/>
      <c r="I308" s="77"/>
      <c r="J308" s="98"/>
      <c r="K308" s="77"/>
      <c r="L308" s="77"/>
      <c r="M308" s="48"/>
      <c r="N308" s="77"/>
      <c r="O308" s="77"/>
      <c r="P308" s="77"/>
      <c r="Q308" s="77"/>
      <c r="R308" s="48"/>
      <c r="S308" s="77"/>
      <c r="T308" s="77"/>
      <c r="U308" s="77"/>
      <c r="V308" s="77"/>
      <c r="W308" s="48"/>
      <c r="X308" s="77"/>
      <c r="Y308" s="77"/>
      <c r="Z308" s="77"/>
      <c r="AA308" s="77"/>
      <c r="AB308" s="48"/>
      <c r="AC308" s="77"/>
      <c r="AD308" s="77"/>
      <c r="AE308" s="77"/>
      <c r="AF308" s="77"/>
      <c r="AG308" s="48"/>
      <c r="AH308" s="77"/>
      <c r="AI308" s="77"/>
      <c r="AJ308" s="77"/>
      <c r="AK308" s="77"/>
      <c r="AL308" s="48"/>
      <c r="AM308" s="77"/>
      <c r="AN308" s="77"/>
      <c r="AO308" s="77"/>
      <c r="AP308" s="77"/>
      <c r="AQ308" s="48"/>
    </row>
    <row r="309" spans="2:43" outlineLevel="1" x14ac:dyDescent="0.3">
      <c r="B309" s="645" t="s">
        <v>14</v>
      </c>
      <c r="C309" s="646"/>
      <c r="D309" s="98">
        <f t="shared" ref="D309:AQ309" si="105">D38</f>
        <v>692</v>
      </c>
      <c r="E309" s="98">
        <f t="shared" si="105"/>
        <v>691</v>
      </c>
      <c r="F309" s="98">
        <f t="shared" si="105"/>
        <v>507</v>
      </c>
      <c r="G309" s="98">
        <f t="shared" si="105"/>
        <v>-70</v>
      </c>
      <c r="H309" s="99">
        <f t="shared" si="105"/>
        <v>1820</v>
      </c>
      <c r="I309" s="98">
        <f t="shared" si="105"/>
        <v>715</v>
      </c>
      <c r="J309" s="98">
        <f t="shared" si="105"/>
        <v>700</v>
      </c>
      <c r="K309" s="98">
        <f t="shared" si="105"/>
        <v>562</v>
      </c>
      <c r="L309" s="98">
        <f t="shared" si="105"/>
        <v>1020</v>
      </c>
      <c r="M309" s="99">
        <f t="shared" si="105"/>
        <v>2997</v>
      </c>
      <c r="N309" s="98">
        <f t="shared" si="105"/>
        <v>596</v>
      </c>
      <c r="O309" s="98">
        <f t="shared" si="105"/>
        <v>775</v>
      </c>
      <c r="P309" s="98">
        <f t="shared" si="105"/>
        <v>2074</v>
      </c>
      <c r="Q309" s="98">
        <f t="shared" si="105"/>
        <v>1127.1257859999969</v>
      </c>
      <c r="R309" s="99">
        <f t="shared" si="105"/>
        <v>4572.1257859999969</v>
      </c>
      <c r="S309" s="98">
        <f t="shared" si="105"/>
        <v>835</v>
      </c>
      <c r="T309" s="98">
        <f t="shared" si="105"/>
        <v>989.86041045509705</v>
      </c>
      <c r="U309" s="98">
        <f t="shared" si="105"/>
        <v>950.30207024016181</v>
      </c>
      <c r="V309" s="98">
        <f t="shared" si="105"/>
        <v>1717.8094542571287</v>
      </c>
      <c r="W309" s="99">
        <f t="shared" si="105"/>
        <v>4492.9719349524021</v>
      </c>
      <c r="X309" s="98">
        <f t="shared" si="105"/>
        <v>1147.6413473631567</v>
      </c>
      <c r="Y309" s="98">
        <f t="shared" si="105"/>
        <v>1180.7587804604782</v>
      </c>
      <c r="Z309" s="98">
        <f t="shared" si="105"/>
        <v>1106.1736503672537</v>
      </c>
      <c r="AA309" s="98">
        <f t="shared" si="105"/>
        <v>1897.8429887854224</v>
      </c>
      <c r="AB309" s="99">
        <f t="shared" si="105"/>
        <v>5332.416766976311</v>
      </c>
      <c r="AC309" s="98">
        <f t="shared" si="105"/>
        <v>1369.3986566715841</v>
      </c>
      <c r="AD309" s="98">
        <f t="shared" si="105"/>
        <v>1387.4794798077735</v>
      </c>
      <c r="AE309" s="98">
        <f t="shared" si="105"/>
        <v>1322.5504232519274</v>
      </c>
      <c r="AF309" s="98">
        <f t="shared" si="105"/>
        <v>2130.8555072061831</v>
      </c>
      <c r="AG309" s="99">
        <f t="shared" si="105"/>
        <v>6210.2840669374764</v>
      </c>
      <c r="AH309" s="98">
        <f t="shared" si="105"/>
        <v>1356.72024901642</v>
      </c>
      <c r="AI309" s="98">
        <f t="shared" si="105"/>
        <v>1354.0491744354301</v>
      </c>
      <c r="AJ309" s="98">
        <f t="shared" si="105"/>
        <v>1291.796236367064</v>
      </c>
      <c r="AK309" s="98">
        <f t="shared" si="105"/>
        <v>2136.3134840930261</v>
      </c>
      <c r="AL309" s="99">
        <f t="shared" si="105"/>
        <v>6138.8791439119295</v>
      </c>
      <c r="AM309" s="98">
        <f t="shared" si="105"/>
        <v>1355.9779981252002</v>
      </c>
      <c r="AN309" s="98">
        <f t="shared" si="105"/>
        <v>1331.1686136042413</v>
      </c>
      <c r="AO309" s="98">
        <f t="shared" si="105"/>
        <v>1271.6883427525397</v>
      </c>
      <c r="AP309" s="98">
        <f t="shared" si="105"/>
        <v>2147.8420717417921</v>
      </c>
      <c r="AQ309" s="99">
        <f t="shared" si="105"/>
        <v>6106.6770262237842</v>
      </c>
    </row>
    <row r="310" spans="2:43" outlineLevel="1" x14ac:dyDescent="0.3">
      <c r="B310" s="645" t="s">
        <v>225</v>
      </c>
      <c r="C310" s="646"/>
      <c r="D310" s="105">
        <v>648</v>
      </c>
      <c r="E310" s="98">
        <f>1301-D310</f>
        <v>653</v>
      </c>
      <c r="F310" s="98">
        <f>1964-E310-D310</f>
        <v>663</v>
      </c>
      <c r="G310" s="98">
        <f>2631-F310-E310-D310</f>
        <v>667</v>
      </c>
      <c r="H310" s="99">
        <f t="shared" ref="H310:H316" si="106">SUM(D310:G310)</f>
        <v>2631</v>
      </c>
      <c r="I310" s="105">
        <v>739</v>
      </c>
      <c r="J310" s="98">
        <f>1479-I310</f>
        <v>740</v>
      </c>
      <c r="K310" s="98">
        <f>2241-J310-I310</f>
        <v>762</v>
      </c>
      <c r="L310" s="98">
        <f>2995-K310-J310-I310</f>
        <v>754</v>
      </c>
      <c r="M310" s="99">
        <f t="shared" ref="M310:M316" si="107">SUM(I310:L310)</f>
        <v>2995</v>
      </c>
      <c r="N310" s="105">
        <v>751</v>
      </c>
      <c r="O310" s="98">
        <f>1507-N310</f>
        <v>756</v>
      </c>
      <c r="P310" s="98">
        <f>2293-O310-N310</f>
        <v>786</v>
      </c>
      <c r="Q310" s="105">
        <f>3095-P310-O310-N310</f>
        <v>802</v>
      </c>
      <c r="R310" s="99">
        <f t="shared" ref="R310:R316" si="108">SUM(N310:Q310)</f>
        <v>3095</v>
      </c>
      <c r="S310" s="105">
        <v>808</v>
      </c>
      <c r="T310" s="105">
        <f>(((S253+T253)/2)*T300)</f>
        <v>743.57794190980576</v>
      </c>
      <c r="U310" s="105">
        <f>(((S253+U253)/2)*U300)</f>
        <v>753.02157618056776</v>
      </c>
      <c r="V310" s="105">
        <f>(((T253+V253)/2)*V300)</f>
        <v>772.39127149366482</v>
      </c>
      <c r="W310" s="99">
        <f t="shared" ref="W310:W316" si="109">SUM(S310:V310)</f>
        <v>3076.9907895840388</v>
      </c>
      <c r="X310" s="105">
        <f>(((V253+X253)/2)*X300)</f>
        <v>801.01841295060035</v>
      </c>
      <c r="Y310" s="105">
        <f>(((X253+Y253)/2)*Y300)</f>
        <v>820.00165148412441</v>
      </c>
      <c r="Z310" s="105">
        <f>(((X253+Z253)/2)*Z300)</f>
        <v>829.88846253359361</v>
      </c>
      <c r="AA310" s="105">
        <f>(((Y253+AA253)/2)*AA300)</f>
        <v>850.00164342296227</v>
      </c>
      <c r="AB310" s="99">
        <f t="shared" ref="AB310:AB316" si="110">SUM(X310:AA310)</f>
        <v>3300.9101703912806</v>
      </c>
      <c r="AC310" s="105">
        <f>(((AA253+AC253)/2)*AC300)</f>
        <v>880.12419082882798</v>
      </c>
      <c r="AD310" s="105">
        <f>(((AC253+AD253)/2)*AD300)</f>
        <v>900.32052048782361</v>
      </c>
      <c r="AE310" s="105">
        <f>(((AC253+AE253)/2)*AE300)</f>
        <v>910.74448980872398</v>
      </c>
      <c r="AF310" s="105">
        <f>(((AD253+AF253)/2)*AF300)</f>
        <v>931.93610238526912</v>
      </c>
      <c r="AG310" s="99">
        <f t="shared" ref="AG310:AG316" si="111">SUM(AC310:AF310)</f>
        <v>3623.1253035106447</v>
      </c>
      <c r="AH310" s="105">
        <f>(((AF253+AH253)/2)*AH300)</f>
        <v>963.73530981789838</v>
      </c>
      <c r="AI310" s="105">
        <f>(((AH253+AI253)/2)*AI300)</f>
        <v>985.01239151026482</v>
      </c>
      <c r="AJ310" s="105">
        <f>(((AH253+AJ253)/2)*AJ300)</f>
        <v>995.9751957691891</v>
      </c>
      <c r="AK310" s="105">
        <f>(((AI253+AK253)/2)*AK300)</f>
        <v>1018.2423932980661</v>
      </c>
      <c r="AL310" s="99">
        <f t="shared" ref="AL310:AL316" si="112">SUM(AH310:AK310)</f>
        <v>3962.9652903954184</v>
      </c>
      <c r="AM310" s="105">
        <f>(((AK253+AM253)/2)*AM300)</f>
        <v>1051.6519641268635</v>
      </c>
      <c r="AN310" s="105">
        <f>(((AM253+AN253)/2)*AN300)</f>
        <v>1073.9498245572713</v>
      </c>
      <c r="AO310" s="105">
        <f>(((AM253+AO253)/2)*AO300)</f>
        <v>1085.4262295188032</v>
      </c>
      <c r="AP310" s="105">
        <f>(((AN253+AP253)/2)*AP300)</f>
        <v>1108.7203713661445</v>
      </c>
      <c r="AQ310" s="99">
        <f t="shared" ref="AQ310:AQ316" si="113">SUM(AM310:AP310)</f>
        <v>4319.7483895690821</v>
      </c>
    </row>
    <row r="311" spans="2:43" outlineLevel="1" x14ac:dyDescent="0.3">
      <c r="B311" s="296" t="s">
        <v>226</v>
      </c>
      <c r="C311" s="297"/>
      <c r="D311" s="105">
        <v>28</v>
      </c>
      <c r="E311" s="98">
        <f>57-D311</f>
        <v>29</v>
      </c>
      <c r="F311" s="98">
        <f>90-E311-D311</f>
        <v>33</v>
      </c>
      <c r="G311" s="98">
        <f>121-F311-E311-D311</f>
        <v>31</v>
      </c>
      <c r="H311" s="99">
        <f t="shared" si="106"/>
        <v>121</v>
      </c>
      <c r="I311" s="105">
        <v>39</v>
      </c>
      <c r="J311" s="98">
        <f>76-I311</f>
        <v>37</v>
      </c>
      <c r="K311" s="98">
        <f>115-J311-I311</f>
        <v>39</v>
      </c>
      <c r="L311" s="98">
        <f>136-K311-J311-I311</f>
        <v>21</v>
      </c>
      <c r="M311" s="99">
        <f t="shared" si="107"/>
        <v>136</v>
      </c>
      <c r="N311" s="105">
        <v>60</v>
      </c>
      <c r="O311" s="98">
        <f>116-N311</f>
        <v>56</v>
      </c>
      <c r="P311" s="98">
        <f>177-O311-N311</f>
        <v>61</v>
      </c>
      <c r="Q311" s="105">
        <f>246-P311-O311-N311</f>
        <v>69</v>
      </c>
      <c r="R311" s="99">
        <f t="shared" si="108"/>
        <v>246</v>
      </c>
      <c r="S311" s="105">
        <v>82</v>
      </c>
      <c r="T311" s="105">
        <f>T354*(S248+S311)</f>
        <v>67.670727360301285</v>
      </c>
      <c r="U311" s="105">
        <f>U354*(T248+T311)</f>
        <v>76.096209811866913</v>
      </c>
      <c r="V311" s="105">
        <f>V354*(U248+U311)</f>
        <v>77.630234387719483</v>
      </c>
      <c r="W311" s="99">
        <f t="shared" si="109"/>
        <v>303.39717155988768</v>
      </c>
      <c r="X311" s="105">
        <f>X354*(V248+V311)</f>
        <v>77.547216027824078</v>
      </c>
      <c r="Y311" s="105">
        <f>Y354*(X248+X311)</f>
        <v>73.092085626604188</v>
      </c>
      <c r="Z311" s="105">
        <f>Z354*(Y248+Y311)</f>
        <v>82.723446766121455</v>
      </c>
      <c r="AA311" s="105">
        <f>AA354*(Z248+Z311)</f>
        <v>80.341497933349004</v>
      </c>
      <c r="AB311" s="99">
        <f t="shared" si="110"/>
        <v>313.70424635389872</v>
      </c>
      <c r="AC311" s="105">
        <f>AC354*(AA248+AA311)</f>
        <v>81.562501931708525</v>
      </c>
      <c r="AD311" s="105">
        <f>AD354*(AC248+AC311)</f>
        <v>77.006016066105886</v>
      </c>
      <c r="AE311" s="105">
        <f>AE354*(AD248+AD311)</f>
        <v>88.260748569013685</v>
      </c>
      <c r="AF311" s="105">
        <f>AF354*(AE248+AE311)</f>
        <v>84.040814990256607</v>
      </c>
      <c r="AG311" s="99">
        <f t="shared" si="111"/>
        <v>330.87008155708469</v>
      </c>
      <c r="AH311" s="105">
        <f>AH354*(AF248+AF311)</f>
        <v>86.846705116413915</v>
      </c>
      <c r="AI311" s="105">
        <f>AI354*(AH248+AH311)</f>
        <v>80.184076306391788</v>
      </c>
      <c r="AJ311" s="105">
        <f>AJ354*(AI248+AI311)</f>
        <v>93.77705998761023</v>
      </c>
      <c r="AK311" s="105">
        <f>AK354*(AJ248+AJ311)</f>
        <v>87.458803408544199</v>
      </c>
      <c r="AL311" s="99">
        <f t="shared" si="112"/>
        <v>348.26664481896017</v>
      </c>
      <c r="AM311" s="105">
        <f>AM354*(AK248+AK311)</f>
        <v>92.06919394857961</v>
      </c>
      <c r="AN311" s="105">
        <f>AN354*(AM248+AM311)</f>
        <v>83.144857066107704</v>
      </c>
      <c r="AO311" s="105">
        <f>AO354*(AN248+AN311)</f>
        <v>99.005076574939054</v>
      </c>
      <c r="AP311" s="105">
        <f>AP354*(AO248+AO311)</f>
        <v>90.714967592419953</v>
      </c>
      <c r="AQ311" s="99">
        <f t="shared" si="113"/>
        <v>364.93409518204629</v>
      </c>
    </row>
    <row r="312" spans="2:43" outlineLevel="1" x14ac:dyDescent="0.3">
      <c r="B312" s="645" t="s">
        <v>227</v>
      </c>
      <c r="C312" s="646"/>
      <c r="D312" s="98">
        <v>53</v>
      </c>
      <c r="E312" s="98">
        <f>86-D312</f>
        <v>33</v>
      </c>
      <c r="F312" s="98">
        <f>115-E312-D312</f>
        <v>29</v>
      </c>
      <c r="G312" s="98">
        <f>144-F312-E312-D312</f>
        <v>29</v>
      </c>
      <c r="H312" s="99">
        <f t="shared" si="106"/>
        <v>144</v>
      </c>
      <c r="I312" s="98">
        <v>57</v>
      </c>
      <c r="J312" s="98">
        <f>93-I312</f>
        <v>36</v>
      </c>
      <c r="K312" s="98">
        <f>123-J312-I312</f>
        <v>30</v>
      </c>
      <c r="L312" s="98">
        <f>154-K312-J312-I312</f>
        <v>31</v>
      </c>
      <c r="M312" s="99">
        <f t="shared" si="107"/>
        <v>154</v>
      </c>
      <c r="N312" s="98">
        <v>62</v>
      </c>
      <c r="O312" s="98">
        <f>103-N312</f>
        <v>41</v>
      </c>
      <c r="P312" s="98">
        <f>135-O312-N312</f>
        <v>32</v>
      </c>
      <c r="Q312" s="98">
        <f>167-P312-O312-N312</f>
        <v>32</v>
      </c>
      <c r="R312" s="99">
        <f t="shared" si="108"/>
        <v>167</v>
      </c>
      <c r="S312" s="105">
        <v>68</v>
      </c>
      <c r="T312" s="98">
        <f>T13*T355</f>
        <v>45.700560015480214</v>
      </c>
      <c r="U312" s="98">
        <f>U13*U355</f>
        <v>46.259392680356015</v>
      </c>
      <c r="V312" s="98">
        <f>V13*V355</f>
        <v>51.372821162419413</v>
      </c>
      <c r="W312" s="99">
        <f t="shared" si="109"/>
        <v>211.33277385825568</v>
      </c>
      <c r="X312" s="98">
        <f>X13*X355</f>
        <v>53.594779380111419</v>
      </c>
      <c r="Y312" s="98">
        <f>Y13*Y355</f>
        <v>50.695177073915083</v>
      </c>
      <c r="Z312" s="98">
        <f>Z13*Z355</f>
        <v>51.979569326638483</v>
      </c>
      <c r="AA312" s="98">
        <f>AA13*AA355</f>
        <v>55.223118387181444</v>
      </c>
      <c r="AB312" s="99">
        <f t="shared" si="110"/>
        <v>211.49264416784644</v>
      </c>
      <c r="AC312" s="98">
        <f>AC13*AC355</f>
        <v>53.516159079892944</v>
      </c>
      <c r="AD312" s="98">
        <f>AD13*AD355</f>
        <v>54.479267343905086</v>
      </c>
      <c r="AE312" s="98">
        <f>AE13*AE355</f>
        <v>55.511395590684302</v>
      </c>
      <c r="AF312" s="98">
        <f>AF13*AF355</f>
        <v>58.258896718136576</v>
      </c>
      <c r="AG312" s="99">
        <f t="shared" si="111"/>
        <v>221.76571873261892</v>
      </c>
      <c r="AH312" s="98">
        <f>AH13*AH355</f>
        <v>55.92130635101568</v>
      </c>
      <c r="AI312" s="98">
        <f>AI13*AI355</f>
        <v>57.559653702617553</v>
      </c>
      <c r="AJ312" s="98">
        <f>AJ13*AJ355</f>
        <v>58.47269003182457</v>
      </c>
      <c r="AK312" s="98">
        <f>AK13*AK355</f>
        <v>61.150353999558348</v>
      </c>
      <c r="AL312" s="99">
        <f t="shared" si="112"/>
        <v>233.10400408501616</v>
      </c>
      <c r="AM312" s="98">
        <f>AM13*AM355</f>
        <v>58.603749968387554</v>
      </c>
      <c r="AN312" s="98">
        <f>AN13*AN355</f>
        <v>60.318045061301945</v>
      </c>
      <c r="AO312" s="98">
        <f>AO13*AO355</f>
        <v>61.215844314308079</v>
      </c>
      <c r="AP312" s="98">
        <f>AP13*AP355</f>
        <v>63.917539597024266</v>
      </c>
      <c r="AQ312" s="99">
        <f t="shared" si="113"/>
        <v>244.05517894102184</v>
      </c>
    </row>
    <row r="313" spans="2:43" outlineLevel="1" x14ac:dyDescent="0.3">
      <c r="B313" s="645" t="s">
        <v>228</v>
      </c>
      <c r="C313" s="646"/>
      <c r="D313" s="98">
        <v>20</v>
      </c>
      <c r="E313" s="98">
        <f>-48-D313</f>
        <v>-68</v>
      </c>
      <c r="F313" s="98">
        <f>288-E313-D313</f>
        <v>336</v>
      </c>
      <c r="G313" s="98">
        <f>31-F313-E313-D313</f>
        <v>-257</v>
      </c>
      <c r="H313" s="99">
        <f t="shared" si="106"/>
        <v>31</v>
      </c>
      <c r="I313" s="98">
        <v>173</v>
      </c>
      <c r="J313" s="98">
        <f>320-I313</f>
        <v>147</v>
      </c>
      <c r="K313" s="98">
        <f>474-J313-I313</f>
        <v>154</v>
      </c>
      <c r="L313" s="98">
        <f>909-K313-J313-I313</f>
        <v>435</v>
      </c>
      <c r="M313" s="99">
        <f t="shared" si="107"/>
        <v>909</v>
      </c>
      <c r="N313" s="98">
        <v>97</v>
      </c>
      <c r="O313" s="98">
        <f>327-N313</f>
        <v>230</v>
      </c>
      <c r="P313" s="98">
        <f>-914-O313-N313</f>
        <v>-1241</v>
      </c>
      <c r="Q313" s="98">
        <f>-231-P313-O313-N313</f>
        <v>683</v>
      </c>
      <c r="R313" s="99">
        <f t="shared" si="108"/>
        <v>-231</v>
      </c>
      <c r="S313" s="105">
        <v>23</v>
      </c>
      <c r="T313" s="98">
        <f>T267-S267</f>
        <v>112.02399999999989</v>
      </c>
      <c r="U313" s="98">
        <f>U267-T267</f>
        <v>116.28091200000017</v>
      </c>
      <c r="V313" s="98">
        <f>V267-U267</f>
        <v>120.69958665600006</v>
      </c>
      <c r="W313" s="99">
        <f t="shared" si="109"/>
        <v>372.00449865600012</v>
      </c>
      <c r="X313" s="98">
        <f>X267-V267</f>
        <v>125.28617094892797</v>
      </c>
      <c r="Y313" s="98">
        <f>Y267-X267</f>
        <v>130.04704544498736</v>
      </c>
      <c r="Z313" s="98">
        <f>Z267-Y267</f>
        <v>134.98883317189711</v>
      </c>
      <c r="AA313" s="98">
        <f>AA267-Z267</f>
        <v>140.11840883242894</v>
      </c>
      <c r="AB313" s="99">
        <f t="shared" si="110"/>
        <v>530.44045839824139</v>
      </c>
      <c r="AC313" s="98">
        <f>AC267-AA267</f>
        <v>145.44290836806113</v>
      </c>
      <c r="AD313" s="98">
        <f>AD267-AC267</f>
        <v>150.96973888604771</v>
      </c>
      <c r="AE313" s="98">
        <f>AE267-AD267</f>
        <v>156.70658896371788</v>
      </c>
      <c r="AF313" s="98">
        <f>AF267-AE267</f>
        <v>162.66143934433876</v>
      </c>
      <c r="AG313" s="99">
        <f t="shared" si="111"/>
        <v>615.78067556216547</v>
      </c>
      <c r="AH313" s="98">
        <f>AH267-AF267</f>
        <v>168.8425740394232</v>
      </c>
      <c r="AI313" s="98">
        <f>AI267-AH267</f>
        <v>175.25859185292211</v>
      </c>
      <c r="AJ313" s="98">
        <f>AJ267-AI267</f>
        <v>181.91841834333263</v>
      </c>
      <c r="AK313" s="98">
        <f>AK267-AJ267</f>
        <v>188.83131824037901</v>
      </c>
      <c r="AL313" s="99">
        <f t="shared" si="112"/>
        <v>714.85090247605694</v>
      </c>
      <c r="AM313" s="98">
        <f>AM267-AK267</f>
        <v>196.00690833351382</v>
      </c>
      <c r="AN313" s="98">
        <f>AN267-AM267</f>
        <v>203.45517085018764</v>
      </c>
      <c r="AO313" s="98">
        <f>AO267-AN267</f>
        <v>211.18646734249432</v>
      </c>
      <c r="AP313" s="98">
        <f>AP267-AO267</f>
        <v>219.21155310150971</v>
      </c>
      <c r="AQ313" s="99">
        <f t="shared" si="113"/>
        <v>829.86009962770549</v>
      </c>
    </row>
    <row r="314" spans="2:43" outlineLevel="1" x14ac:dyDescent="0.3">
      <c r="B314" s="296" t="s">
        <v>161</v>
      </c>
      <c r="C314" s="297"/>
      <c r="D314" s="98">
        <v>0</v>
      </c>
      <c r="E314" s="98">
        <f>0-D314</f>
        <v>0</v>
      </c>
      <c r="F314" s="98">
        <f>0-E314-D314</f>
        <v>0</v>
      </c>
      <c r="G314" s="98">
        <f>0-F314-E314-D314</f>
        <v>0</v>
      </c>
      <c r="H314" s="99">
        <f t="shared" si="106"/>
        <v>0</v>
      </c>
      <c r="I314" s="98"/>
      <c r="J314" s="98">
        <f>0-I314</f>
        <v>0</v>
      </c>
      <c r="K314" s="98">
        <f>0-J314-I314</f>
        <v>0</v>
      </c>
      <c r="L314" s="98">
        <f>0-K314-J314-I314</f>
        <v>0</v>
      </c>
      <c r="M314" s="99">
        <f t="shared" si="107"/>
        <v>0</v>
      </c>
      <c r="N314" s="98">
        <v>0</v>
      </c>
      <c r="O314" s="98">
        <f>0-N314</f>
        <v>0</v>
      </c>
      <c r="P314" s="98">
        <f>0-O314-N314</f>
        <v>0</v>
      </c>
      <c r="Q314" s="98">
        <f>380-P314-O314-N314</f>
        <v>380</v>
      </c>
      <c r="R314" s="99">
        <f t="shared" si="108"/>
        <v>380</v>
      </c>
      <c r="S314" s="105">
        <v>0</v>
      </c>
      <c r="T314" s="98">
        <f t="shared" ref="T314:V315" si="114">+T21</f>
        <v>0</v>
      </c>
      <c r="U314" s="98">
        <f t="shared" si="114"/>
        <v>0</v>
      </c>
      <c r="V314" s="98">
        <f t="shared" si="114"/>
        <v>0</v>
      </c>
      <c r="W314" s="99">
        <f t="shared" si="109"/>
        <v>0</v>
      </c>
      <c r="X314" s="98">
        <f t="shared" ref="X314:AA315" si="115">+X21</f>
        <v>0</v>
      </c>
      <c r="Y314" s="98">
        <f t="shared" si="115"/>
        <v>0</v>
      </c>
      <c r="Z314" s="98">
        <f t="shared" si="115"/>
        <v>0</v>
      </c>
      <c r="AA314" s="98">
        <f t="shared" si="115"/>
        <v>0</v>
      </c>
      <c r="AB314" s="99">
        <f t="shared" si="110"/>
        <v>0</v>
      </c>
      <c r="AC314" s="98">
        <f t="shared" ref="AC314:AF315" si="116">+AC21</f>
        <v>0</v>
      </c>
      <c r="AD314" s="98">
        <f t="shared" si="116"/>
        <v>0</v>
      </c>
      <c r="AE314" s="98">
        <f t="shared" si="116"/>
        <v>0</v>
      </c>
      <c r="AF314" s="98">
        <f t="shared" si="116"/>
        <v>0</v>
      </c>
      <c r="AG314" s="99">
        <f t="shared" si="111"/>
        <v>0</v>
      </c>
      <c r="AH314" s="98">
        <f t="shared" ref="AH314:AK315" si="117">+AH21</f>
        <v>0</v>
      </c>
      <c r="AI314" s="98">
        <f t="shared" si="117"/>
        <v>0</v>
      </c>
      <c r="AJ314" s="98">
        <f t="shared" si="117"/>
        <v>0</v>
      </c>
      <c r="AK314" s="98">
        <f t="shared" si="117"/>
        <v>0</v>
      </c>
      <c r="AL314" s="99">
        <f t="shared" si="112"/>
        <v>0</v>
      </c>
      <c r="AM314" s="98">
        <f t="shared" ref="AM314:AP315" si="118">+AM21</f>
        <v>0</v>
      </c>
      <c r="AN314" s="98">
        <f t="shared" si="118"/>
        <v>0</v>
      </c>
      <c r="AO314" s="98">
        <f t="shared" si="118"/>
        <v>0</v>
      </c>
      <c r="AP314" s="98">
        <f t="shared" si="118"/>
        <v>0</v>
      </c>
      <c r="AQ314" s="99">
        <f t="shared" si="113"/>
        <v>0</v>
      </c>
    </row>
    <row r="315" spans="2:43" outlineLevel="1" x14ac:dyDescent="0.3">
      <c r="B315" s="296" t="s">
        <v>162</v>
      </c>
      <c r="C315" s="297"/>
      <c r="D315" s="98">
        <v>0</v>
      </c>
      <c r="E315" s="98">
        <f>0-D315</f>
        <v>0</v>
      </c>
      <c r="F315" s="98">
        <f>0-E315-D315</f>
        <v>0</v>
      </c>
      <c r="G315" s="98">
        <f>1498-F315-E315-D315</f>
        <v>1498</v>
      </c>
      <c r="H315" s="99">
        <f t="shared" si="106"/>
        <v>1498</v>
      </c>
      <c r="I315" s="98"/>
      <c r="J315" s="98">
        <f>0-I315</f>
        <v>0</v>
      </c>
      <c r="K315" s="98">
        <f>0-J315-I315</f>
        <v>0</v>
      </c>
      <c r="L315" s="98">
        <f>-24-K315-J315-I315</f>
        <v>-24</v>
      </c>
      <c r="M315" s="99">
        <f t="shared" si="107"/>
        <v>-24</v>
      </c>
      <c r="N315" s="98">
        <v>0</v>
      </c>
      <c r="O315" s="98">
        <f>0-N315</f>
        <v>0</v>
      </c>
      <c r="P315" s="98">
        <f>0-O315-N315</f>
        <v>0</v>
      </c>
      <c r="Q315" s="98">
        <f>-10-P315-O315-N315</f>
        <v>-10</v>
      </c>
      <c r="R315" s="99">
        <f t="shared" si="108"/>
        <v>-10</v>
      </c>
      <c r="S315" s="105">
        <v>0</v>
      </c>
      <c r="T315" s="98">
        <f t="shared" si="114"/>
        <v>0</v>
      </c>
      <c r="U315" s="98">
        <f t="shared" si="114"/>
        <v>0</v>
      </c>
      <c r="V315" s="98">
        <f t="shared" si="114"/>
        <v>-227.23050661764719</v>
      </c>
      <c r="W315" s="99">
        <f t="shared" si="109"/>
        <v>-227.23050661764719</v>
      </c>
      <c r="X315" s="98">
        <f t="shared" si="115"/>
        <v>0</v>
      </c>
      <c r="Y315" s="98">
        <f t="shared" si="115"/>
        <v>0</v>
      </c>
      <c r="Z315" s="98">
        <f t="shared" si="115"/>
        <v>0</v>
      </c>
      <c r="AA315" s="105">
        <f t="shared" si="115"/>
        <v>-99.999999999999943</v>
      </c>
      <c r="AB315" s="99">
        <f t="shared" si="110"/>
        <v>-99.999999999999943</v>
      </c>
      <c r="AC315" s="98">
        <f t="shared" si="116"/>
        <v>0</v>
      </c>
      <c r="AD315" s="98">
        <f t="shared" si="116"/>
        <v>0</v>
      </c>
      <c r="AE315" s="98">
        <f t="shared" si="116"/>
        <v>0</v>
      </c>
      <c r="AF315" s="98">
        <f t="shared" si="116"/>
        <v>-55.00000000000005</v>
      </c>
      <c r="AG315" s="99">
        <f t="shared" si="111"/>
        <v>-55.00000000000005</v>
      </c>
      <c r="AH315" s="98">
        <f t="shared" si="117"/>
        <v>0</v>
      </c>
      <c r="AI315" s="98">
        <f t="shared" si="117"/>
        <v>0</v>
      </c>
      <c r="AJ315" s="98">
        <f t="shared" si="117"/>
        <v>0</v>
      </c>
      <c r="AK315" s="98">
        <f t="shared" si="117"/>
        <v>-55.00000000000005</v>
      </c>
      <c r="AL315" s="99">
        <f t="shared" si="112"/>
        <v>-55.00000000000005</v>
      </c>
      <c r="AM315" s="98">
        <f t="shared" si="118"/>
        <v>0</v>
      </c>
      <c r="AN315" s="98">
        <f t="shared" si="118"/>
        <v>0</v>
      </c>
      <c r="AO315" s="98">
        <f t="shared" si="118"/>
        <v>0</v>
      </c>
      <c r="AP315" s="98">
        <f t="shared" si="118"/>
        <v>-55.00000000000005</v>
      </c>
      <c r="AQ315" s="99">
        <f t="shared" si="113"/>
        <v>-55.00000000000005</v>
      </c>
    </row>
    <row r="316" spans="2:43" outlineLevel="1" x14ac:dyDescent="0.3">
      <c r="B316" s="645" t="s">
        <v>229</v>
      </c>
      <c r="C316" s="646"/>
      <c r="D316" s="98">
        <v>0</v>
      </c>
      <c r="E316" s="98">
        <f>0-D316</f>
        <v>0</v>
      </c>
      <c r="F316" s="98">
        <f>0-E316-D316</f>
        <v>0</v>
      </c>
      <c r="G316" s="98">
        <f>0-F316-E316-D316</f>
        <v>0</v>
      </c>
      <c r="H316" s="99">
        <f t="shared" si="106"/>
        <v>0</v>
      </c>
      <c r="I316" s="98"/>
      <c r="J316" s="98">
        <f>-35-I316</f>
        <v>-35</v>
      </c>
      <c r="K316" s="98">
        <f>-35-J316-I316</f>
        <v>0</v>
      </c>
      <c r="L316" s="98">
        <f>-35-K316-J316-I316</f>
        <v>0</v>
      </c>
      <c r="M316" s="99">
        <f t="shared" si="107"/>
        <v>-35</v>
      </c>
      <c r="N316" s="98">
        <v>0</v>
      </c>
      <c r="O316" s="98">
        <f>0-N316</f>
        <v>0</v>
      </c>
      <c r="P316" s="98">
        <f>0-O316-N316</f>
        <v>0</v>
      </c>
      <c r="Q316" s="98">
        <f>-85-P316-O316-N316</f>
        <v>-85</v>
      </c>
      <c r="R316" s="99">
        <f t="shared" si="108"/>
        <v>-85</v>
      </c>
      <c r="S316" s="105">
        <v>0</v>
      </c>
      <c r="T316" s="249">
        <v>0</v>
      </c>
      <c r="U316" s="249">
        <v>0</v>
      </c>
      <c r="V316" s="249">
        <v>0</v>
      </c>
      <c r="W316" s="99">
        <f t="shared" si="109"/>
        <v>0</v>
      </c>
      <c r="X316" s="249">
        <v>0</v>
      </c>
      <c r="Y316" s="249">
        <v>0</v>
      </c>
      <c r="Z316" s="249">
        <v>0</v>
      </c>
      <c r="AA316" s="249">
        <v>0</v>
      </c>
      <c r="AB316" s="99">
        <f t="shared" si="110"/>
        <v>0</v>
      </c>
      <c r="AC316" s="249">
        <v>0</v>
      </c>
      <c r="AD316" s="249">
        <v>0</v>
      </c>
      <c r="AE316" s="249">
        <v>0</v>
      </c>
      <c r="AF316" s="249">
        <v>0</v>
      </c>
      <c r="AG316" s="99">
        <f t="shared" si="111"/>
        <v>0</v>
      </c>
      <c r="AH316" s="249">
        <v>0</v>
      </c>
      <c r="AI316" s="249">
        <v>0</v>
      </c>
      <c r="AJ316" s="249">
        <v>0</v>
      </c>
      <c r="AK316" s="249">
        <v>0</v>
      </c>
      <c r="AL316" s="99">
        <f t="shared" si="112"/>
        <v>0</v>
      </c>
      <c r="AM316" s="249">
        <v>0</v>
      </c>
      <c r="AN316" s="249">
        <v>0</v>
      </c>
      <c r="AO316" s="249">
        <v>0</v>
      </c>
      <c r="AP316" s="249">
        <v>0</v>
      </c>
      <c r="AQ316" s="99">
        <f t="shared" si="113"/>
        <v>0</v>
      </c>
    </row>
    <row r="317" spans="2:43" outlineLevel="1" x14ac:dyDescent="0.3">
      <c r="B317" s="639" t="s">
        <v>230</v>
      </c>
      <c r="C317" s="640"/>
      <c r="D317" s="379"/>
      <c r="E317" s="379"/>
      <c r="F317" s="379"/>
      <c r="G317" s="379"/>
      <c r="H317" s="380"/>
      <c r="I317" s="379"/>
      <c r="J317" s="379"/>
      <c r="K317" s="379"/>
      <c r="L317" s="379"/>
      <c r="M317" s="380"/>
      <c r="N317" s="379"/>
      <c r="O317" s="379"/>
      <c r="P317" s="379"/>
      <c r="Q317" s="379"/>
      <c r="R317" s="380"/>
      <c r="S317" s="381"/>
      <c r="T317" s="381"/>
      <c r="U317" s="381"/>
      <c r="V317" s="381"/>
      <c r="W317" s="380"/>
      <c r="X317" s="381"/>
      <c r="Y317" s="381"/>
      <c r="Z317" s="381"/>
      <c r="AA317" s="381"/>
      <c r="AB317" s="380"/>
      <c r="AC317" s="381"/>
      <c r="AD317" s="381"/>
      <c r="AE317" s="381"/>
      <c r="AF317" s="381"/>
      <c r="AG317" s="380"/>
      <c r="AH317" s="381"/>
      <c r="AI317" s="381"/>
      <c r="AJ317" s="381"/>
      <c r="AK317" s="381"/>
      <c r="AL317" s="380"/>
      <c r="AM317" s="381"/>
      <c r="AN317" s="381"/>
      <c r="AO317" s="381"/>
      <c r="AP317" s="381"/>
      <c r="AQ317" s="380"/>
    </row>
    <row r="318" spans="2:43" outlineLevel="1" x14ac:dyDescent="0.3">
      <c r="B318" s="649" t="s">
        <v>231</v>
      </c>
      <c r="C318" s="650"/>
      <c r="D318" s="382">
        <v>50</v>
      </c>
      <c r="E318" s="382">
        <f>-263-D318</f>
        <v>-313</v>
      </c>
      <c r="F318" s="382">
        <f>-78-E318-D318</f>
        <v>185</v>
      </c>
      <c r="G318" s="382">
        <f>-199-F318-E318-D318</f>
        <v>-121</v>
      </c>
      <c r="H318" s="383">
        <f>SUM(D318:G318)</f>
        <v>-199</v>
      </c>
      <c r="I318" s="382">
        <v>20</v>
      </c>
      <c r="J318" s="382">
        <f>-513-I318</f>
        <v>-533</v>
      </c>
      <c r="K318" s="382">
        <f>-340-J318-I318</f>
        <v>173</v>
      </c>
      <c r="L318" s="382">
        <f>-556-K318-J318-I318</f>
        <v>-216</v>
      </c>
      <c r="M318" s="383">
        <f>SUM(I318:L318)</f>
        <v>-556</v>
      </c>
      <c r="N318" s="382">
        <v>-271</v>
      </c>
      <c r="O318" s="382">
        <f>-983-N318</f>
        <v>-712</v>
      </c>
      <c r="P318" s="382">
        <f>-986-O318-N318</f>
        <v>-3</v>
      </c>
      <c r="Q318" s="382">
        <f>-1049-P318-O318-N318</f>
        <v>-63</v>
      </c>
      <c r="R318" s="383">
        <f>SUM(N318:Q318)</f>
        <v>-1049</v>
      </c>
      <c r="S318" s="382">
        <v>-380</v>
      </c>
      <c r="T318" s="382">
        <f>-(T248-S248)-T311</f>
        <v>-787.30577302940105</v>
      </c>
      <c r="U318" s="382">
        <f>-(U248-T248)-U311</f>
        <v>40.402684624479832</v>
      </c>
      <c r="V318" s="382">
        <f>-(V248-U248)-V311</f>
        <v>-0.89074461908408864</v>
      </c>
      <c r="W318" s="383">
        <f>SUM(S318:V318)</f>
        <v>-1127.7938330240052</v>
      </c>
      <c r="X318" s="382">
        <f>-(X248-V248)-X311</f>
        <v>185.74400626705213</v>
      </c>
      <c r="Y318" s="382">
        <f>-(Y248-X248)-Y311</f>
        <v>-1152.0223217738805</v>
      </c>
      <c r="Z318" s="382">
        <f>-(Z248-Y248)-Z311</f>
        <v>265.97478393417668</v>
      </c>
      <c r="AA318" s="382">
        <f>-(AA248-Z248)-AA311</f>
        <v>-249.12944029840463</v>
      </c>
      <c r="AB318" s="383">
        <f>SUM(X318:AA318)</f>
        <v>-949.43297187105645</v>
      </c>
      <c r="AC318" s="382">
        <f>-(AC248-AA248)-AC311</f>
        <v>438.46503909524836</v>
      </c>
      <c r="AD318" s="382">
        <f>-(AD248-AC248)-AD311</f>
        <v>-1432.380502311099</v>
      </c>
      <c r="AE318" s="382">
        <f>-(AE248-AD248)-AE311</f>
        <v>443.37564942165727</v>
      </c>
      <c r="AF318" s="382">
        <f>-(AF248-AE248)-AF311</f>
        <v>-438.19113222443292</v>
      </c>
      <c r="AG318" s="383">
        <f>SUM(AC318:AF318)</f>
        <v>-988.73094601862635</v>
      </c>
      <c r="AH318" s="382">
        <f>-(AH248-AF248)-AH311</f>
        <v>726.90904335212463</v>
      </c>
      <c r="AI318" s="382">
        <f>-(AI248-AH248)-AI311</f>
        <v>-1743.8239124380414</v>
      </c>
      <c r="AJ318" s="382">
        <f>-(AJ248-AI248)-AJ311</f>
        <v>692.07197780140552</v>
      </c>
      <c r="AK318" s="382">
        <f>-(AK248-AJ248)-AK311</f>
        <v>-659.08366562350204</v>
      </c>
      <c r="AL318" s="383">
        <f>SUM(AH318:AK318)</f>
        <v>-983.92655690801325</v>
      </c>
      <c r="AM318" s="382">
        <f>-(AM248-AK248)-AM311</f>
        <v>1003.7938241490165</v>
      </c>
      <c r="AN318" s="382">
        <f>-(AN248-AM248)-AN311</f>
        <v>-2030.609789097768</v>
      </c>
      <c r="AO318" s="382">
        <f>-(AO248-AN248)-AO311</f>
        <v>930.3191377357191</v>
      </c>
      <c r="AP318" s="382">
        <f>-(AP248-AO248)-AP311</f>
        <v>-865.78753759245296</v>
      </c>
      <c r="AQ318" s="383">
        <f>SUM(AM318:AP318)</f>
        <v>-962.28436480548544</v>
      </c>
    </row>
    <row r="319" spans="2:43" outlineLevel="1" x14ac:dyDescent="0.3">
      <c r="B319" s="649" t="s">
        <v>9</v>
      </c>
      <c r="C319" s="650"/>
      <c r="D319" s="382">
        <v>-89</v>
      </c>
      <c r="E319" s="382">
        <f>-113-D319</f>
        <v>-24</v>
      </c>
      <c r="F319" s="382">
        <f>-322-E319-D319</f>
        <v>-209</v>
      </c>
      <c r="G319" s="382">
        <f>-234-F319-E319-D319</f>
        <v>88</v>
      </c>
      <c r="H319" s="383">
        <f>SUM(D319:G319)</f>
        <v>-234</v>
      </c>
      <c r="I319" s="382">
        <v>-4</v>
      </c>
      <c r="J319" s="382">
        <f>-250-I319</f>
        <v>-246</v>
      </c>
      <c r="K319" s="382">
        <f>-235-J319-I319</f>
        <v>15</v>
      </c>
      <c r="L319" s="382">
        <f>78-K319-J319-I319</f>
        <v>313</v>
      </c>
      <c r="M319" s="383">
        <f>SUM(I319:L319)</f>
        <v>78</v>
      </c>
      <c r="N319" s="382">
        <v>-142</v>
      </c>
      <c r="O319" s="382">
        <f>-338-N319</f>
        <v>-196</v>
      </c>
      <c r="P319" s="382">
        <f>-151-O319-N319</f>
        <v>187</v>
      </c>
      <c r="Q319" s="382">
        <f>-135-P319-O319-N319</f>
        <v>16</v>
      </c>
      <c r="R319" s="383">
        <f>SUM(N319:Q319)</f>
        <v>-135</v>
      </c>
      <c r="S319" s="382">
        <v>-120</v>
      </c>
      <c r="T319" s="382">
        <f>-(T250-S250)-(T251-S251)-(T249-S249)</f>
        <v>-146.61328511211821</v>
      </c>
      <c r="U319" s="382">
        <f>-(U250-T250)-(U251-T251)-(U249-T249)</f>
        <v>-63.605666327508175</v>
      </c>
      <c r="V319" s="382">
        <f>-(V250-U250)-(V251-U251)-(V249-U249)</f>
        <v>84.296351460510891</v>
      </c>
      <c r="W319" s="383">
        <f>SUM(S319:V319)</f>
        <v>-245.92259997911549</v>
      </c>
      <c r="X319" s="382">
        <f>-(X250-V250)-(X251-V251)-(X249-V249)</f>
        <v>-29.198978889297791</v>
      </c>
      <c r="Y319" s="382">
        <f>-(Y250-X250)-(Y251-X251)-(Y249-X249)</f>
        <v>-39.536134907027304</v>
      </c>
      <c r="Z319" s="382">
        <f>-(Z250-Y250)-(Z251-Y251)-(Z249-Y249)</f>
        <v>-12.255202669278788</v>
      </c>
      <c r="AA319" s="382">
        <f>-(AA250-Z250)-(AA251-Z251)-(AA249-Z249)</f>
        <v>-3.8148522173855781E-2</v>
      </c>
      <c r="AB319" s="383">
        <f>SUM(X319:AA319)</f>
        <v>-81.028464987777738</v>
      </c>
      <c r="AC319" s="382">
        <f>-(AC250-AA250)-(AC251-AA251)-(AC249-AA249)</f>
        <v>-20.436573579037145</v>
      </c>
      <c r="AD319" s="382">
        <f>-(AD250-AC250)-(AD251-AC251)-(AD249-AC249)</f>
        <v>-18.560468284559647</v>
      </c>
      <c r="AE319" s="382">
        <f>-(AE250-AD250)-(AE251-AD251)-(AE249-AD249)</f>
        <v>-13.255805167465951</v>
      </c>
      <c r="AF319" s="382">
        <f>-(AF250-AE250)-(AF251-AE251)-(AF249-AE249)</f>
        <v>-14.046630615327786</v>
      </c>
      <c r="AG319" s="383">
        <f>SUM(AC319:AF319)</f>
        <v>-66.299477646390528</v>
      </c>
      <c r="AH319" s="382">
        <f>-(AH250-AF250)-(AH251-AF251)-(AH249-AF249)</f>
        <v>-16.711334916295755</v>
      </c>
      <c r="AI319" s="382">
        <f>-(AI250-AH250)-(AI251-AH251)-(AI249-AH249)</f>
        <v>-16.063407003798261</v>
      </c>
      <c r="AJ319" s="382">
        <f>-(AJ250-AI250)-(AJ251-AI251)-(AJ249-AI249)</f>
        <v>-15.466275311856748</v>
      </c>
      <c r="AK319" s="382">
        <f>-(AK250-AJ250)-(AK251-AJ251)-(AK249-AJ249)</f>
        <v>-16.555255852650816</v>
      </c>
      <c r="AL319" s="383">
        <f>SUM(AH319:AK319)</f>
        <v>-64.79627308460158</v>
      </c>
      <c r="AM319" s="382">
        <f>-(AM250-AK250)-(AM251-AK251)-(AM249-AK249)</f>
        <v>-16.289976261816491</v>
      </c>
      <c r="AN319" s="382">
        <f>-(AN250-AM250)-(AN251-AM251)-(AN249-AM249)</f>
        <v>-16.468647596441201</v>
      </c>
      <c r="AO319" s="382">
        <f>-(AO250-AN250)-(AO251-AN251)-(AO249-AN249)</f>
        <v>-16.625504140878661</v>
      </c>
      <c r="AP319" s="382">
        <f>-(AP250-AO250)-(AP251-AO251)-(AP249-AO249)</f>
        <v>-17.467422028809438</v>
      </c>
      <c r="AQ319" s="383">
        <f>SUM(AM319:AP319)</f>
        <v>-66.851550027945791</v>
      </c>
    </row>
    <row r="320" spans="2:43" outlineLevel="1" x14ac:dyDescent="0.3">
      <c r="B320" s="183" t="s">
        <v>232</v>
      </c>
      <c r="C320" s="133"/>
      <c r="D320" s="382">
        <v>0</v>
      </c>
      <c r="E320" s="382">
        <f>0-D320</f>
        <v>0</v>
      </c>
      <c r="F320" s="382">
        <f>0-E320-D320</f>
        <v>0</v>
      </c>
      <c r="G320" s="382">
        <f>-346-F320-E320-D320</f>
        <v>-346</v>
      </c>
      <c r="H320" s="383">
        <f>SUM(D320:G320)</f>
        <v>-346</v>
      </c>
      <c r="I320" s="382">
        <v>0</v>
      </c>
      <c r="J320" s="382">
        <f>0-I320</f>
        <v>0</v>
      </c>
      <c r="K320" s="382">
        <f>0-J320-I320</f>
        <v>0</v>
      </c>
      <c r="L320" s="382">
        <f>-1688-K320-J320-I320</f>
        <v>-1688</v>
      </c>
      <c r="M320" s="383">
        <f>SUM(I320:L320)</f>
        <v>-1688</v>
      </c>
      <c r="N320" s="382">
        <v>0</v>
      </c>
      <c r="O320" s="382">
        <f>0-N320</f>
        <v>0</v>
      </c>
      <c r="P320" s="382">
        <f>0-O320-N320</f>
        <v>0</v>
      </c>
      <c r="Q320" s="382">
        <f>-2345-P320-O320-N320</f>
        <v>-2345</v>
      </c>
      <c r="R320" s="383">
        <f>SUM(N320:Q320)</f>
        <v>-2345</v>
      </c>
      <c r="S320" s="382">
        <v>0</v>
      </c>
      <c r="T320" s="382">
        <f>+U189-P189</f>
        <v>0</v>
      </c>
      <c r="U320" s="382">
        <f>+V189-Q189</f>
        <v>0</v>
      </c>
      <c r="V320" s="382">
        <f>+W189-R189</f>
        <v>383.62000000000262</v>
      </c>
      <c r="W320" s="383">
        <f>SUM(S320:V320)</f>
        <v>383.62000000000262</v>
      </c>
      <c r="X320" s="382">
        <f>+Y189-T189</f>
        <v>0</v>
      </c>
      <c r="Y320" s="382">
        <f>+Z189-U189</f>
        <v>0</v>
      </c>
      <c r="Z320" s="382">
        <f>+AA189-V189</f>
        <v>0</v>
      </c>
      <c r="AA320" s="382">
        <f>+AB189-W189</f>
        <v>-154.48470000000088</v>
      </c>
      <c r="AB320" s="383">
        <f>SUM(X320:AA320)</f>
        <v>-154.48470000000088</v>
      </c>
      <c r="AC320" s="382">
        <f>+AD189-Y189</f>
        <v>0</v>
      </c>
      <c r="AD320" s="382">
        <f>+AE189-Z189</f>
        <v>0</v>
      </c>
      <c r="AE320" s="382">
        <f>+AF189-AA189</f>
        <v>0</v>
      </c>
      <c r="AF320" s="382">
        <f>+AG189-AB189</f>
        <v>52.279471000001649</v>
      </c>
      <c r="AG320" s="383">
        <f>SUM(AC320:AF320)</f>
        <v>52.279471000001649</v>
      </c>
      <c r="AH320" s="382">
        <f>+AI189-AD189</f>
        <v>0</v>
      </c>
      <c r="AI320" s="382">
        <f>+AJ189-AE189</f>
        <v>0</v>
      </c>
      <c r="AJ320" s="382">
        <f>+AK189-AF189</f>
        <v>0</v>
      </c>
      <c r="AK320" s="382">
        <f>+AL189-AG189</f>
        <v>46.93903397000031</v>
      </c>
      <c r="AL320" s="383">
        <f>SUM(AH320:AK320)</f>
        <v>46.93903397000031</v>
      </c>
      <c r="AM320" s="382">
        <f>+AN189-AI189</f>
        <v>0</v>
      </c>
      <c r="AN320" s="382">
        <f>+AO189-AJ189</f>
        <v>0</v>
      </c>
      <c r="AO320" s="382">
        <f>+AP189-AK189</f>
        <v>0</v>
      </c>
      <c r="AP320" s="382">
        <f>+AQ189-AL189</f>
        <v>48.224766347902914</v>
      </c>
      <c r="AQ320" s="383">
        <f>SUM(AM320:AP320)</f>
        <v>48.224766347902914</v>
      </c>
    </row>
    <row r="321" spans="2:43" outlineLevel="1" x14ac:dyDescent="0.3">
      <c r="B321" s="649" t="s">
        <v>233</v>
      </c>
      <c r="C321" s="650"/>
      <c r="D321" s="382">
        <v>-151</v>
      </c>
      <c r="E321" s="382">
        <f>66-D321</f>
        <v>217</v>
      </c>
      <c r="F321" s="382">
        <f>-146-E321-D321</f>
        <v>-212</v>
      </c>
      <c r="G321" s="382">
        <f>467-F321-E321-D321</f>
        <v>613</v>
      </c>
      <c r="H321" s="383">
        <f>SUM(D321:G321)</f>
        <v>467</v>
      </c>
      <c r="I321" s="382">
        <v>-753</v>
      </c>
      <c r="J321" s="382">
        <f>67-I321</f>
        <v>820</v>
      </c>
      <c r="K321" s="382">
        <f>-1642-J321-I321</f>
        <v>-1709</v>
      </c>
      <c r="L321" s="382">
        <f>103-K321-J321-I321</f>
        <v>1745</v>
      </c>
      <c r="M321" s="383">
        <f>SUM(I321:L321)</f>
        <v>103</v>
      </c>
      <c r="N321" s="382">
        <v>-540</v>
      </c>
      <c r="O321" s="382">
        <f>-564-N321</f>
        <v>-24</v>
      </c>
      <c r="P321" s="382">
        <f>-2781-O321-N321</f>
        <v>-2217</v>
      </c>
      <c r="Q321" s="382">
        <f>141-P321-O321-N321</f>
        <v>2922</v>
      </c>
      <c r="R321" s="383">
        <f>SUM(N321:Q321)</f>
        <v>141</v>
      </c>
      <c r="S321" s="382">
        <v>-584</v>
      </c>
      <c r="T321" s="382">
        <f>T263-S263</f>
        <v>445.98067741531304</v>
      </c>
      <c r="U321" s="382">
        <f>U263-T263</f>
        <v>-334.64757805176941</v>
      </c>
      <c r="V321" s="382">
        <f>V263-U263</f>
        <v>169.13863101186598</v>
      </c>
      <c r="W321" s="383">
        <f>SUM(S321:V321)</f>
        <v>-303.52826962459039</v>
      </c>
      <c r="X321" s="382">
        <f>X263-V263</f>
        <v>-385.42112868616186</v>
      </c>
      <c r="Y321" s="382">
        <f>Y263-X263</f>
        <v>906.48011085123017</v>
      </c>
      <c r="Z321" s="382">
        <f>Z263-Y263</f>
        <v>-759.37537987348696</v>
      </c>
      <c r="AA321" s="382">
        <f>AA263-Z263</f>
        <v>588.13952189932661</v>
      </c>
      <c r="AB321" s="383">
        <f>SUM(X321:AA321)</f>
        <v>349.82312419090795</v>
      </c>
      <c r="AC321" s="382">
        <f>AC263-AA263</f>
        <v>-840.1080883772338</v>
      </c>
      <c r="AD321" s="382">
        <f>AD263-AC263</f>
        <v>1383.9105138469249</v>
      </c>
      <c r="AE321" s="382">
        <f>AE263-AD263</f>
        <v>-1215.6347603858203</v>
      </c>
      <c r="AF321" s="382">
        <f>AF263-AE263</f>
        <v>1034.2454427483481</v>
      </c>
      <c r="AG321" s="383">
        <f>SUM(AC321:AF321)</f>
        <v>362.41310783221888</v>
      </c>
      <c r="AH321" s="382">
        <f>AH263-AF263</f>
        <v>-1204.2674676353363</v>
      </c>
      <c r="AI321" s="382">
        <f>AI263-AH263</f>
        <v>1778.0952101934354</v>
      </c>
      <c r="AJ321" s="382">
        <f>AJ263-AI263</f>
        <v>-1600.2344870265106</v>
      </c>
      <c r="AK321" s="382">
        <f>AK263-AJ263</f>
        <v>1399.0434421485807</v>
      </c>
      <c r="AL321" s="383">
        <f>SUM(AH321:AK321)</f>
        <v>372.63669768016916</v>
      </c>
      <c r="AM321" s="382">
        <f>AM263-AK263</f>
        <v>-1597.6861420957021</v>
      </c>
      <c r="AN321" s="382">
        <f>AN263-AM263</f>
        <v>2196.7830217551864</v>
      </c>
      <c r="AO321" s="382">
        <f>AO263-AN263</f>
        <v>-2014.2856047498017</v>
      </c>
      <c r="AP321" s="382">
        <f>AP263-AO263</f>
        <v>1793.02544176632</v>
      </c>
      <c r="AQ321" s="383">
        <f>SUM(AM321:AP321)</f>
        <v>377.83671667600265</v>
      </c>
    </row>
    <row r="322" spans="2:43" ht="16.2" outlineLevel="1" x14ac:dyDescent="0.45">
      <c r="B322" s="649" t="s">
        <v>234</v>
      </c>
      <c r="C322" s="650"/>
      <c r="D322" s="384">
        <v>-10</v>
      </c>
      <c r="E322" s="384">
        <f>-15-D322</f>
        <v>-5</v>
      </c>
      <c r="F322" s="384">
        <f>-5-E322-D322</f>
        <v>10</v>
      </c>
      <c r="G322" s="384">
        <f>-225-F322-E322-D322</f>
        <v>-220</v>
      </c>
      <c r="H322" s="385">
        <f>SUM(D322:G322)</f>
        <v>-225</v>
      </c>
      <c r="I322" s="384">
        <v>-15</v>
      </c>
      <c r="J322" s="384">
        <f>-17-I322</f>
        <v>-2</v>
      </c>
      <c r="K322" s="384">
        <f>-33-J322-I322</f>
        <v>-16</v>
      </c>
      <c r="L322" s="384">
        <f>-139-K322-J322-I322</f>
        <v>-106</v>
      </c>
      <c r="M322" s="385">
        <f>SUM(I322:L322)</f>
        <v>-139</v>
      </c>
      <c r="N322" s="384">
        <v>-23</v>
      </c>
      <c r="O322" s="384">
        <f>-41-N322</f>
        <v>-18</v>
      </c>
      <c r="P322" s="384">
        <f>-56-O322-N322</f>
        <v>-15</v>
      </c>
      <c r="Q322" s="384">
        <f>-72-P322-O322-N322</f>
        <v>-16</v>
      </c>
      <c r="R322" s="385">
        <f>SUM(N322:Q322)</f>
        <v>-72</v>
      </c>
      <c r="S322" s="384">
        <v>-31</v>
      </c>
      <c r="T322" s="384">
        <f>(T264-S264)+(T272-S272)+(T269-S269)+(T270-S270)+(T271-S271)-(T257-S257)+(T262-S262)+(T268-S268)+T194</f>
        <v>305.12535234785145</v>
      </c>
      <c r="U322" s="384">
        <f>(U264-T264)+(U272-T272)+(U269-T269)+(U270-T270)+(U271-T271)-(U257-T257)+(U262-T262)+(U268-T268)+U194</f>
        <v>-243.10152386379377</v>
      </c>
      <c r="V322" s="384">
        <f>(V264-U264)+(V272-U272)+(V269-U269)+(V270-U270)+(V271-U271)-(V257-U257)+(V262-U262)+(V268-U268)+V194-V206-(W189-R189)</f>
        <v>21.460391885958416</v>
      </c>
      <c r="W322" s="385">
        <f>SUM(S322:V322)</f>
        <v>52.484220370016089</v>
      </c>
      <c r="X322" s="384">
        <f>(X264-V264)+(X272-V272)+(X269-V269)+(X270-V270)+(X271-V271)-(X257-V257)+(X262-V262)+(X268-V268)+X194</f>
        <v>-22.994611823920025</v>
      </c>
      <c r="Y322" s="384">
        <f>(Y264-X264)+(Y272-X272)+(Y269-X269)+(Y270-X270)+(Y271-X271)-(Y257-X257)+(Y262-X262)+(Y268-X268)+Y194</f>
        <v>-12.61942470198403</v>
      </c>
      <c r="Z322" s="384">
        <f>(Z264-Y264)+(Z272-Y272)+(Z269-Y269)+(Z270-Y270)+(Z271-Y271)-(Z257-Y257)+(Z262-Y262)+(Z268-Y268)+Z194</f>
        <v>180.73194878962536</v>
      </c>
      <c r="AA322" s="384">
        <f>(AA264-Z264)+(AA272-Z272)+(AA269-Z269)+(AA270-Z270)+(AA271-Z271)-(AA257-Z257)+(AA262-Z262)+(AA268-Z268)+AA194-AA206-(AB189-W189)</f>
        <v>274.58040503334678</v>
      </c>
      <c r="AB322" s="385">
        <f>SUM(X322:AA322)</f>
        <v>419.69831729706812</v>
      </c>
      <c r="AC322" s="384">
        <f>(AC264-AA264)+(AC272-AA272)+(AC269-AA269)+(AC270-AA270)+(AC271-AA271)-(AC257-AA257)+(AC262-AA262)+(AC268-AA268)+AC194</f>
        <v>36.060570658851248</v>
      </c>
      <c r="AD322" s="384">
        <f>(AD264-AC264)+(AD272-AC272)+(AD269-AC269)+(AD270-AC270)+(AD271-AC271)-(AD257-AC257)+(AD262-AC262)+(AD268-AC268)+AD194</f>
        <v>-150.90453555174423</v>
      </c>
      <c r="AE322" s="384">
        <f>(AE264-AD264)+(AE272-AD272)+(AE269-AD269)+(AE270-AD270)+(AE271-AD271)-(AE257-AD257)+(AE262-AD262)+(AE268-AD268)+AE194</f>
        <v>250.76846603258821</v>
      </c>
      <c r="AF322" s="384">
        <f>(AF264-AE264)+(AF272-AE272)+(AF269-AE269)+(AF270-AE270)+(AF271-AE271)-(AF257-AE257)+(AF262-AE262)+(AF268-AE268)+AF194-AF206-(AG189-AB189)</f>
        <v>-120.72177705146802</v>
      </c>
      <c r="AG322" s="385">
        <f>SUM(AC322:AF322)</f>
        <v>15.2027240882272</v>
      </c>
      <c r="AH322" s="384">
        <f>(AH264-AF264)+(AH272-AF272)+(AH269-AF269)+(AH270-AF270)+(AH271-AF271)-(AH257-AF257)+(AH262-AF262)+(AH268-AF268)+AH194</f>
        <v>141.63803832808128</v>
      </c>
      <c r="AI322" s="384">
        <f>(AI264-AH264)+(AI272-AH272)+(AI269-AH269)+(AI270-AH270)+(AI271-AH271)-(AI257-AH257)+(AI262-AH262)+(AI268-AH268)+AI194</f>
        <v>-243.5242306880757</v>
      </c>
      <c r="AJ322" s="384">
        <f>(AJ264-AI264)+(AJ272-AI272)+(AJ269-AI269)+(AJ270-AI270)+(AJ271-AI271)-(AJ257-AI257)+(AJ262-AI262)+(AJ268-AI268)+AJ194</f>
        <v>360.93006793504162</v>
      </c>
      <c r="AK322" s="384">
        <f>(AK264-AJ264)+(AK272-AJ272)+(AK269-AJ269)+(AK270-AJ270)+(AK271-AJ271)-(AK257-AJ257)+(AK262-AJ262)+(AK268-AJ268)+AK194-AK206-(AL189-AG189)</f>
        <v>-213.70403474826253</v>
      </c>
      <c r="AL322" s="385">
        <f>SUM(AH322:AK322)</f>
        <v>45.339840826784666</v>
      </c>
      <c r="AM322" s="384">
        <f>(AM264-AK264)+(AM272-AK272)+(AM269-AK269)+(AM270-AK270)+(AM271-AK271)-(AM257-AK257)+(AM262-AK262)+(AM268-AK268)+AM194</f>
        <v>239.99903609766301</v>
      </c>
      <c r="AN322" s="384">
        <f>(AN264-AM264)+(AN272-AM272)+(AN269-AM269)+(AN270-AM270)+(AN271-AM271)-(AN257-AM257)+(AN262-AM262)+(AN268-AM268)+AN194</f>
        <v>-351.17083903346952</v>
      </c>
      <c r="AO322" s="384">
        <f>(AO264-AN264)+(AO272-AN272)+(AO269-AN269)+(AO270-AN270)+(AO271-AN271)-(AO257-AN257)+(AO262-AN262)+(AO268-AN268)+AO194</f>
        <v>466.91342916554009</v>
      </c>
      <c r="AP322" s="384">
        <f>(AP264-AO264)+(AP272-AO272)+(AP269-AO269)+(AP270-AO270)+(AP271-AO271)-(AP257-AO257)+(AP262-AO262)+(AP268-AO268)+AP194-AP206-(AQ189-AL189)</f>
        <v>-326.94082073275507</v>
      </c>
      <c r="AQ322" s="385">
        <f>SUM(AM322:AP322)</f>
        <v>28.800805496978512</v>
      </c>
    </row>
    <row r="323" spans="2:43" outlineLevel="1" x14ac:dyDescent="0.3">
      <c r="B323" s="647" t="s">
        <v>15</v>
      </c>
      <c r="C323" s="648"/>
      <c r="D323" s="368">
        <f t="shared" ref="D323:AQ323" si="119">D309+SUM(D310:D322)</f>
        <v>1241</v>
      </c>
      <c r="E323" s="368">
        <f t="shared" si="119"/>
        <v>1213</v>
      </c>
      <c r="F323" s="368">
        <f t="shared" si="119"/>
        <v>1342</v>
      </c>
      <c r="G323" s="368">
        <f t="shared" si="119"/>
        <v>1912</v>
      </c>
      <c r="H323" s="369">
        <f t="shared" si="119"/>
        <v>5708</v>
      </c>
      <c r="I323" s="368">
        <f t="shared" si="119"/>
        <v>971</v>
      </c>
      <c r="J323" s="368">
        <f t="shared" si="119"/>
        <v>1664</v>
      </c>
      <c r="K323" s="368">
        <f t="shared" si="119"/>
        <v>10</v>
      </c>
      <c r="L323" s="368">
        <f t="shared" si="119"/>
        <v>2285</v>
      </c>
      <c r="M323" s="369">
        <f t="shared" si="119"/>
        <v>4930</v>
      </c>
      <c r="N323" s="368">
        <f t="shared" si="119"/>
        <v>590</v>
      </c>
      <c r="O323" s="368">
        <f t="shared" si="119"/>
        <v>908</v>
      </c>
      <c r="P323" s="368">
        <f t="shared" si="119"/>
        <v>-336</v>
      </c>
      <c r="Q323" s="368">
        <f t="shared" si="119"/>
        <v>3512.1257859999969</v>
      </c>
      <c r="R323" s="369">
        <f t="shared" si="119"/>
        <v>4674.1257859999969</v>
      </c>
      <c r="S323" s="368">
        <f t="shared" si="119"/>
        <v>701</v>
      </c>
      <c r="T323" s="368">
        <f t="shared" si="119"/>
        <v>1776.0206113623294</v>
      </c>
      <c r="U323" s="368">
        <f t="shared" si="119"/>
        <v>1341.0080772943611</v>
      </c>
      <c r="V323" s="368">
        <f t="shared" si="119"/>
        <v>3170.2974910785388</v>
      </c>
      <c r="W323" s="369">
        <f t="shared" si="119"/>
        <v>6988.3261797352443</v>
      </c>
      <c r="X323" s="368">
        <f t="shared" si="119"/>
        <v>1953.2172135382928</v>
      </c>
      <c r="Y323" s="368">
        <f t="shared" si="119"/>
        <v>1956.8969695584474</v>
      </c>
      <c r="Z323" s="368">
        <f t="shared" si="119"/>
        <v>1880.8301123465408</v>
      </c>
      <c r="AA323" s="368">
        <f t="shared" si="119"/>
        <v>3382.5952954734385</v>
      </c>
      <c r="AB323" s="369">
        <f t="shared" si="119"/>
        <v>9173.53959091672</v>
      </c>
      <c r="AC323" s="368">
        <f t="shared" si="119"/>
        <v>2144.0253646779038</v>
      </c>
      <c r="AD323" s="368">
        <f t="shared" si="119"/>
        <v>2352.3200302911778</v>
      </c>
      <c r="AE323" s="368">
        <f t="shared" si="119"/>
        <v>1999.0271960850264</v>
      </c>
      <c r="AF323" s="368">
        <f t="shared" si="119"/>
        <v>3826.3181345013054</v>
      </c>
      <c r="AG323" s="369">
        <f t="shared" si="119"/>
        <v>10321.69072555542</v>
      </c>
      <c r="AH323" s="368">
        <f t="shared" si="119"/>
        <v>2279.6344234697449</v>
      </c>
      <c r="AI323" s="368">
        <f t="shared" si="119"/>
        <v>2426.7475478711467</v>
      </c>
      <c r="AJ323" s="368">
        <f t="shared" si="119"/>
        <v>2059.2408838971005</v>
      </c>
      <c r="AK323" s="368">
        <f t="shared" si="119"/>
        <v>3993.6358729337394</v>
      </c>
      <c r="AL323" s="369">
        <f t="shared" si="119"/>
        <v>10759.258728171721</v>
      </c>
      <c r="AM323" s="368">
        <f t="shared" si="119"/>
        <v>2384.1265563917059</v>
      </c>
      <c r="AN323" s="368">
        <f t="shared" si="119"/>
        <v>2550.5702571666179</v>
      </c>
      <c r="AO323" s="368">
        <f t="shared" si="119"/>
        <v>2094.843418513663</v>
      </c>
      <c r="AP323" s="368">
        <f t="shared" si="119"/>
        <v>4206.4609311590957</v>
      </c>
      <c r="AQ323" s="369">
        <f t="shared" si="119"/>
        <v>11236.001163231093</v>
      </c>
    </row>
    <row r="324" spans="2:43" outlineLevel="1" x14ac:dyDescent="0.3">
      <c r="B324" s="632" t="s">
        <v>16</v>
      </c>
      <c r="C324" s="633"/>
      <c r="D324" s="377"/>
      <c r="E324" s="377"/>
      <c r="F324" s="377"/>
      <c r="G324" s="377"/>
      <c r="H324" s="405"/>
      <c r="I324" s="377"/>
      <c r="J324" s="377"/>
      <c r="K324" s="377"/>
      <c r="L324" s="377"/>
      <c r="M324" s="405"/>
      <c r="N324" s="377"/>
      <c r="O324" s="377"/>
      <c r="P324" s="377"/>
      <c r="Q324" s="377"/>
      <c r="R324" s="405"/>
      <c r="S324" s="406"/>
      <c r="T324" s="406"/>
      <c r="U324" s="406"/>
      <c r="V324" s="406"/>
      <c r="W324" s="405"/>
      <c r="X324" s="406"/>
      <c r="Y324" s="406"/>
      <c r="Z324" s="406"/>
      <c r="AA324" s="406"/>
      <c r="AB324" s="405"/>
      <c r="AC324" s="406"/>
      <c r="AD324" s="406"/>
      <c r="AE324" s="406"/>
      <c r="AF324" s="406"/>
      <c r="AG324" s="405"/>
      <c r="AH324" s="406"/>
      <c r="AI324" s="406"/>
      <c r="AJ324" s="406"/>
      <c r="AK324" s="406"/>
      <c r="AL324" s="405"/>
      <c r="AM324" s="406"/>
      <c r="AN324" s="406"/>
      <c r="AO324" s="406"/>
      <c r="AP324" s="406"/>
      <c r="AQ324" s="405"/>
    </row>
    <row r="325" spans="2:43" outlineLevel="1" x14ac:dyDescent="0.3">
      <c r="B325" s="628" t="s">
        <v>235</v>
      </c>
      <c r="C325" s="629"/>
      <c r="D325" s="105">
        <v>-1209</v>
      </c>
      <c r="E325" s="105">
        <f>-2562-D325</f>
        <v>-1353</v>
      </c>
      <c r="F325" s="98">
        <f>-3562-E325-D325</f>
        <v>-1000</v>
      </c>
      <c r="G325" s="105">
        <f>-4818-F325-E325-D325</f>
        <v>-1256</v>
      </c>
      <c r="H325" s="117">
        <f>SUM(D325:G325)</f>
        <v>-4818</v>
      </c>
      <c r="I325" s="105">
        <v>-1215</v>
      </c>
      <c r="J325" s="105">
        <f>-2681-I325</f>
        <v>-1466</v>
      </c>
      <c r="K325" s="98">
        <f>-3790-J325-I325</f>
        <v>-1109</v>
      </c>
      <c r="L325" s="105">
        <f>-5116-K325-J325-I325</f>
        <v>-1326</v>
      </c>
      <c r="M325" s="117">
        <f>SUM(I325:L325)</f>
        <v>-5116</v>
      </c>
      <c r="N325" s="105">
        <v>-1044</v>
      </c>
      <c r="O325" s="105">
        <f>-2621-N325</f>
        <v>-1577</v>
      </c>
      <c r="P325" s="98">
        <f>-3994-O325-N325</f>
        <v>-1373</v>
      </c>
      <c r="Q325" s="105">
        <f>-5663-P325-O325-N325</f>
        <v>-1669</v>
      </c>
      <c r="R325" s="117">
        <f>SUM(N325:Q325)</f>
        <v>-5663</v>
      </c>
      <c r="S325" s="105">
        <v>-1179</v>
      </c>
      <c r="T325" s="105">
        <f>-T13*T357</f>
        <v>-1439.5725</v>
      </c>
      <c r="U325" s="105">
        <f>-U13*U357</f>
        <v>-1448.9928</v>
      </c>
      <c r="V325" s="105">
        <f>-V13*V357</f>
        <v>-1532.4346999999996</v>
      </c>
      <c r="W325" s="431">
        <f>SUM(S325:V325)</f>
        <v>-5600</v>
      </c>
      <c r="X325" s="105">
        <f>-X13*X357</f>
        <v>-1411.0045517268563</v>
      </c>
      <c r="Y325" s="105">
        <f>-Y13*Y357</f>
        <v>-1501.7062931775054</v>
      </c>
      <c r="Z325" s="105">
        <f>-Z13*Z357</f>
        <v>-1516.9920408708485</v>
      </c>
      <c r="AA325" s="105">
        <f>-AA13*AA357</f>
        <v>-1584.3783071149508</v>
      </c>
      <c r="AB325" s="117">
        <f>SUM(X325:AA325)</f>
        <v>-6014.0811928901612</v>
      </c>
      <c r="AC325" s="105">
        <f>-AC13*AC357</f>
        <v>-1520.510705147811</v>
      </c>
      <c r="AD325" s="105">
        <f>-AD13*AD357</f>
        <v>-1578.3319038798522</v>
      </c>
      <c r="AE325" s="105">
        <f>-AE13*AE357</f>
        <v>-1599.4114194118342</v>
      </c>
      <c r="AF325" s="105">
        <f>-AF13*AF357</f>
        <v>-1673.2228644864304</v>
      </c>
      <c r="AG325" s="117">
        <f>SUM(AC325:AF325)</f>
        <v>-6371.476892925928</v>
      </c>
      <c r="AH325" s="105">
        <f>-AH13*AH357</f>
        <v>-1606.5066585080183</v>
      </c>
      <c r="AI325" s="105">
        <f>-AI13*AI357</f>
        <v>-1658.1621430680088</v>
      </c>
      <c r="AJ325" s="105">
        <f>-AJ13*AJ357</f>
        <v>-1682.0880588495238</v>
      </c>
      <c r="AK325" s="105">
        <f>-AK13*AK357</f>
        <v>-1758.4260019657995</v>
      </c>
      <c r="AL325" s="117">
        <f>SUM(AH325:AK325)</f>
        <v>-6705.1828623913507</v>
      </c>
      <c r="AM325" s="105">
        <f>-AM13*AM357</f>
        <v>-1685.7144857409753</v>
      </c>
      <c r="AN325" s="105">
        <f>-AN13*AN357</f>
        <v>-1735.5784500833117</v>
      </c>
      <c r="AO325" s="105">
        <f>-AO13*AO357</f>
        <v>-1760.8928599266585</v>
      </c>
      <c r="AP325" s="105">
        <f>-AP13*AP357</f>
        <v>-1838.5798507604086</v>
      </c>
      <c r="AQ325" s="117">
        <f>SUM(AM325:AP325)</f>
        <v>-7020.7656465113541</v>
      </c>
    </row>
    <row r="326" spans="2:43" outlineLevel="1" x14ac:dyDescent="0.3">
      <c r="B326" s="628" t="s">
        <v>236</v>
      </c>
      <c r="C326" s="629"/>
      <c r="D326" s="105">
        <v>0</v>
      </c>
      <c r="E326" s="105">
        <f>0-D326</f>
        <v>0</v>
      </c>
      <c r="F326" s="98">
        <f>0-E326-D326</f>
        <v>0</v>
      </c>
      <c r="G326" s="105">
        <f>-4618-F326-E326-D326</f>
        <v>-4618</v>
      </c>
      <c r="H326" s="117">
        <f>SUM(D326:G326)</f>
        <v>-4618</v>
      </c>
      <c r="I326" s="105">
        <v>0</v>
      </c>
      <c r="J326" s="105">
        <f>0-I326</f>
        <v>0</v>
      </c>
      <c r="K326" s="98">
        <f>0-J326-I326</f>
        <v>0</v>
      </c>
      <c r="L326" s="105">
        <f>0-K326-J326-I326</f>
        <v>0</v>
      </c>
      <c r="M326" s="117">
        <f>SUM(I326:L326)</f>
        <v>0</v>
      </c>
      <c r="N326" s="105">
        <v>0</v>
      </c>
      <c r="O326" s="105">
        <f>-44-N326</f>
        <v>-44</v>
      </c>
      <c r="P326" s="98">
        <f>-44-O326-N326</f>
        <v>0</v>
      </c>
      <c r="Q326" s="105">
        <f>-179-P326-O326-N326</f>
        <v>-135</v>
      </c>
      <c r="R326" s="117">
        <f>SUM(N326:Q326)</f>
        <v>-179</v>
      </c>
      <c r="S326" s="105">
        <v>0</v>
      </c>
      <c r="T326" s="249">
        <v>0</v>
      </c>
      <c r="U326" s="249">
        <v>0</v>
      </c>
      <c r="V326" s="249">
        <v>0</v>
      </c>
      <c r="W326" s="117">
        <f>SUM(S326:V326)</f>
        <v>0</v>
      </c>
      <c r="X326" s="249">
        <v>0</v>
      </c>
      <c r="Y326" s="249">
        <v>0</v>
      </c>
      <c r="Z326" s="249">
        <v>0</v>
      </c>
      <c r="AA326" s="249">
        <v>0</v>
      </c>
      <c r="AB326" s="117">
        <f>SUM(X326:AA326)</f>
        <v>0</v>
      </c>
      <c r="AC326" s="249">
        <v>0</v>
      </c>
      <c r="AD326" s="249">
        <v>0</v>
      </c>
      <c r="AE326" s="249">
        <v>0</v>
      </c>
      <c r="AF326" s="249">
        <v>0</v>
      </c>
      <c r="AG326" s="117">
        <f>SUM(AC326:AF326)</f>
        <v>0</v>
      </c>
      <c r="AH326" s="249">
        <v>0</v>
      </c>
      <c r="AI326" s="249">
        <v>0</v>
      </c>
      <c r="AJ326" s="249">
        <v>0</v>
      </c>
      <c r="AK326" s="249">
        <v>0</v>
      </c>
      <c r="AL326" s="117">
        <f>SUM(AH326:AK326)</f>
        <v>0</v>
      </c>
      <c r="AM326" s="249">
        <v>0</v>
      </c>
      <c r="AN326" s="249">
        <v>0</v>
      </c>
      <c r="AO326" s="249">
        <v>0</v>
      </c>
      <c r="AP326" s="249">
        <v>0</v>
      </c>
      <c r="AQ326" s="117">
        <f>SUM(AM326:AP326)</f>
        <v>0</v>
      </c>
    </row>
    <row r="327" spans="2:43" ht="16.2" outlineLevel="1" x14ac:dyDescent="0.45">
      <c r="B327" s="628" t="s">
        <v>237</v>
      </c>
      <c r="C327" s="629"/>
      <c r="D327" s="106">
        <v>10</v>
      </c>
      <c r="E327" s="106">
        <f>12-D327</f>
        <v>2</v>
      </c>
      <c r="F327" s="103">
        <f>-17-E327-D327</f>
        <v>-29</v>
      </c>
      <c r="G327" s="106">
        <f>-10-F327-E327-D327</f>
        <v>7</v>
      </c>
      <c r="H327" s="158">
        <f>SUM(D327:G327)</f>
        <v>-10</v>
      </c>
      <c r="I327" s="106">
        <v>9</v>
      </c>
      <c r="J327" s="106">
        <f>100-I327</f>
        <v>91</v>
      </c>
      <c r="K327" s="103">
        <f>123-J327-I327</f>
        <v>23</v>
      </c>
      <c r="L327" s="106">
        <f>135-K327-J327-I327</f>
        <v>12</v>
      </c>
      <c r="M327" s="158">
        <f>SUM(I327:L327)</f>
        <v>135</v>
      </c>
      <c r="N327" s="106">
        <v>6</v>
      </c>
      <c r="O327" s="106">
        <f>12-N327</f>
        <v>6</v>
      </c>
      <c r="P327" s="103">
        <f>21-O327-N327</f>
        <v>9</v>
      </c>
      <c r="Q327" s="106">
        <f>123+42-P327-O327-N327</f>
        <v>144</v>
      </c>
      <c r="R327" s="158">
        <f>SUM(N327:Q327)</f>
        <v>165</v>
      </c>
      <c r="S327" s="106">
        <v>78</v>
      </c>
      <c r="T327" s="106">
        <f>-(T256-S256)</f>
        <v>-34.344999999999345</v>
      </c>
      <c r="U327" s="106">
        <f>-(U256-T256)</f>
        <v>-34.516724999999497</v>
      </c>
      <c r="V327" s="106">
        <f>-(V256-U256)</f>
        <v>-34.689308624999285</v>
      </c>
      <c r="W327" s="158">
        <f>SUM(S327:V327)</f>
        <v>-25.551033624998126</v>
      </c>
      <c r="X327" s="106">
        <f>-(X256-V256)</f>
        <v>-34.86275516812384</v>
      </c>
      <c r="Y327" s="106">
        <f>-(Y256-X256)</f>
        <v>-35.037068943965096</v>
      </c>
      <c r="Z327" s="106">
        <f>-(Z256-Y256)</f>
        <v>-35.212254288684562</v>
      </c>
      <c r="AA327" s="106">
        <f>-(AA256-Z256)</f>
        <v>-35.388315560127921</v>
      </c>
      <c r="AB327" s="158">
        <f>SUM(X327:AA327)</f>
        <v>-140.50039396090142</v>
      </c>
      <c r="AC327" s="106">
        <f>-(AC256-AA256)</f>
        <v>-35.565257137928711</v>
      </c>
      <c r="AD327" s="106">
        <f>-(AD256-AC256)</f>
        <v>-35.743083423618373</v>
      </c>
      <c r="AE327" s="106">
        <f>-(AE256-AD256)</f>
        <v>-35.921798840736301</v>
      </c>
      <c r="AF327" s="106">
        <f>-(AF256-AE256)</f>
        <v>-36.101407834939891</v>
      </c>
      <c r="AG327" s="158">
        <f>SUM(AC327:AF327)</f>
        <v>-143.33154723722328</v>
      </c>
      <c r="AH327" s="106">
        <f>-(AH256-AF256)</f>
        <v>-36.281914874114591</v>
      </c>
      <c r="AI327" s="106">
        <f>-(AI256-AH256)</f>
        <v>-36.463324448485764</v>
      </c>
      <c r="AJ327" s="106">
        <f>-(AJ256-AI256)</f>
        <v>-36.645641070727834</v>
      </c>
      <c r="AK327" s="106">
        <f>-(AK256-AJ256)</f>
        <v>-36.828869276081605</v>
      </c>
      <c r="AL327" s="158">
        <f>SUM(AH327:AK327)</f>
        <v>-146.21974966940979</v>
      </c>
      <c r="AM327" s="106">
        <f>-(AM256-AK256)</f>
        <v>-37.013013622461585</v>
      </c>
      <c r="AN327" s="106">
        <f>-(AN256-AM256)</f>
        <v>-37.198078690574221</v>
      </c>
      <c r="AO327" s="106">
        <f>-(AO256-AN256)</f>
        <v>-37.384069084027033</v>
      </c>
      <c r="AP327" s="106">
        <f>-(AP256-AO256)</f>
        <v>-37.570989429446854</v>
      </c>
      <c r="AQ327" s="158">
        <f>SUM(AM327:AP327)</f>
        <v>-149.16615082650969</v>
      </c>
    </row>
    <row r="328" spans="2:43" outlineLevel="1" x14ac:dyDescent="0.3">
      <c r="B328" s="641" t="s">
        <v>17</v>
      </c>
      <c r="C328" s="642"/>
      <c r="D328" s="114">
        <f>SUM(D324:D327)</f>
        <v>-1199</v>
      </c>
      <c r="E328" s="114">
        <f>SUM(E324:E327)</f>
        <v>-1351</v>
      </c>
      <c r="F328" s="114">
        <f>SUM(F324:F327)</f>
        <v>-1029</v>
      </c>
      <c r="G328" s="114">
        <f>SUM(G324:G327)</f>
        <v>-5867</v>
      </c>
      <c r="H328" s="115">
        <f>SUM(H325:H327)</f>
        <v>-9446</v>
      </c>
      <c r="I328" s="114">
        <f>SUM(I324:I327)</f>
        <v>-1206</v>
      </c>
      <c r="J328" s="114">
        <f>SUM(J324:J327)</f>
        <v>-1375</v>
      </c>
      <c r="K328" s="114">
        <f>SUM(K324:K327)</f>
        <v>-1086</v>
      </c>
      <c r="L328" s="114">
        <f>SUM(L324:L327)</f>
        <v>-1314</v>
      </c>
      <c r="M328" s="115">
        <f>SUM(M325:M327)</f>
        <v>-4981</v>
      </c>
      <c r="N328" s="114">
        <f>SUM(N324:N327)</f>
        <v>-1038</v>
      </c>
      <c r="O328" s="114">
        <f>SUM(O324:O327)</f>
        <v>-1615</v>
      </c>
      <c r="P328" s="114">
        <f>SUM(P324:P327)</f>
        <v>-1364</v>
      </c>
      <c r="Q328" s="114">
        <f>SUM(Q324:Q327)</f>
        <v>-1660</v>
      </c>
      <c r="R328" s="115">
        <f>SUM(R325:R327)</f>
        <v>-5677</v>
      </c>
      <c r="S328" s="114">
        <f>SUM(S324:S327)</f>
        <v>-1101</v>
      </c>
      <c r="T328" s="114">
        <f>SUM(T324:T327)</f>
        <v>-1473.9174999999993</v>
      </c>
      <c r="U328" s="114">
        <f>SUM(U324:U327)</f>
        <v>-1483.5095249999995</v>
      </c>
      <c r="V328" s="114">
        <f>SUM(V324:V327)</f>
        <v>-1567.1240086249989</v>
      </c>
      <c r="W328" s="115">
        <f>SUM(W325:W327)</f>
        <v>-5625.5510336249981</v>
      </c>
      <c r="X328" s="114">
        <f>SUM(X324:X327)</f>
        <v>-1445.8673068949802</v>
      </c>
      <c r="Y328" s="114">
        <f>SUM(Y324:Y327)</f>
        <v>-1536.7433621214705</v>
      </c>
      <c r="Z328" s="114">
        <f>SUM(Z324:Z327)</f>
        <v>-1552.2042951595331</v>
      </c>
      <c r="AA328" s="114">
        <f>SUM(AA324:AA327)</f>
        <v>-1619.7666226750787</v>
      </c>
      <c r="AB328" s="115">
        <f>SUM(AB325:AB327)</f>
        <v>-6154.5815868510626</v>
      </c>
      <c r="AC328" s="114">
        <f>SUM(AC324:AC327)</f>
        <v>-1556.0759622857397</v>
      </c>
      <c r="AD328" s="114">
        <f>SUM(AD324:AD327)</f>
        <v>-1614.0749873034706</v>
      </c>
      <c r="AE328" s="114">
        <f>SUM(AE324:AE327)</f>
        <v>-1635.3332182525705</v>
      </c>
      <c r="AF328" s="114">
        <f>SUM(AF324:AF327)</f>
        <v>-1709.3242723213702</v>
      </c>
      <c r="AG328" s="115">
        <f>SUM(AG325:AG327)</f>
        <v>-6514.8084401631513</v>
      </c>
      <c r="AH328" s="114">
        <f>SUM(AH324:AH327)</f>
        <v>-1642.7885733821329</v>
      </c>
      <c r="AI328" s="114">
        <f>SUM(AI324:AI327)</f>
        <v>-1694.6254675164946</v>
      </c>
      <c r="AJ328" s="114">
        <f>SUM(AJ324:AJ327)</f>
        <v>-1718.7336999202516</v>
      </c>
      <c r="AK328" s="114">
        <f>SUM(AK324:AK327)</f>
        <v>-1795.2548712418811</v>
      </c>
      <c r="AL328" s="115">
        <f>SUM(AL325:AL327)</f>
        <v>-6851.4026120607605</v>
      </c>
      <c r="AM328" s="114">
        <f>SUM(AM324:AM327)</f>
        <v>-1722.7274993634369</v>
      </c>
      <c r="AN328" s="114">
        <f>SUM(AN324:AN327)</f>
        <v>-1772.776528773886</v>
      </c>
      <c r="AO328" s="114">
        <f>SUM(AO324:AO327)</f>
        <v>-1798.2769290106855</v>
      </c>
      <c r="AP328" s="114">
        <f>SUM(AP324:AP327)</f>
        <v>-1876.1508401898554</v>
      </c>
      <c r="AQ328" s="115">
        <f>SUM(AQ325:AQ327)</f>
        <v>-7169.9317973378638</v>
      </c>
    </row>
    <row r="329" spans="2:43" outlineLevel="1" x14ac:dyDescent="0.3">
      <c r="B329" s="639" t="s">
        <v>18</v>
      </c>
      <c r="C329" s="640"/>
      <c r="D329" s="379"/>
      <c r="E329" s="379"/>
      <c r="F329" s="379"/>
      <c r="G329" s="379"/>
      <c r="H329" s="380"/>
      <c r="I329" s="379"/>
      <c r="J329" s="379"/>
      <c r="K329" s="379"/>
      <c r="L329" s="379"/>
      <c r="M329" s="380"/>
      <c r="N329" s="379"/>
      <c r="O329" s="379"/>
      <c r="P329" s="379"/>
      <c r="Q329" s="379"/>
      <c r="R329" s="380"/>
      <c r="S329" s="381"/>
      <c r="T329" s="381"/>
      <c r="U329" s="381"/>
      <c r="V329" s="381"/>
      <c r="W329" s="380"/>
      <c r="X329" s="381"/>
      <c r="Y329" s="381"/>
      <c r="Z329" s="381"/>
      <c r="AA329" s="381"/>
      <c r="AB329" s="380"/>
      <c r="AC329" s="381"/>
      <c r="AD329" s="381"/>
      <c r="AE329" s="381"/>
      <c r="AF329" s="381"/>
      <c r="AG329" s="380"/>
      <c r="AH329" s="381"/>
      <c r="AI329" s="381"/>
      <c r="AJ329" s="381"/>
      <c r="AK329" s="381"/>
      <c r="AL329" s="380"/>
      <c r="AM329" s="381"/>
      <c r="AN329" s="381"/>
      <c r="AO329" s="381"/>
      <c r="AP329" s="381"/>
      <c r="AQ329" s="380"/>
    </row>
    <row r="330" spans="2:43" outlineLevel="1" x14ac:dyDescent="0.3">
      <c r="B330" s="649" t="s">
        <v>238</v>
      </c>
      <c r="C330" s="650"/>
      <c r="D330" s="382">
        <v>0</v>
      </c>
      <c r="E330" s="382">
        <f>0-D330</f>
        <v>0</v>
      </c>
      <c r="F330" s="382">
        <f>0-E330-D330</f>
        <v>0</v>
      </c>
      <c r="G330" s="382">
        <f>0-F330-E330-D330</f>
        <v>0</v>
      </c>
      <c r="H330" s="383">
        <f t="shared" ref="H330:H337" si="120">SUM(D330:G330)</f>
        <v>0</v>
      </c>
      <c r="I330" s="382">
        <v>0</v>
      </c>
      <c r="J330" s="382">
        <f>0-I330</f>
        <v>0</v>
      </c>
      <c r="K330" s="382">
        <f>0-J330-I330</f>
        <v>0</v>
      </c>
      <c r="L330" s="382">
        <f>0-K330-J330-I330</f>
        <v>0</v>
      </c>
      <c r="M330" s="383">
        <f t="shared" ref="M330:M337" si="121">SUM(I330:L330)</f>
        <v>0</v>
      </c>
      <c r="N330" s="382">
        <v>0</v>
      </c>
      <c r="O330" s="382">
        <f>250-N330</f>
        <v>250</v>
      </c>
      <c r="P330" s="382">
        <f>797-O330-N330</f>
        <v>547</v>
      </c>
      <c r="Q330" s="382">
        <f>0-P330-O330-N330</f>
        <v>-797</v>
      </c>
      <c r="R330" s="383">
        <f t="shared" ref="R330:R337" si="122">SUM(N330:Q330)</f>
        <v>0</v>
      </c>
      <c r="S330" s="382">
        <v>299</v>
      </c>
      <c r="T330" s="382">
        <f t="shared" ref="T330:V331" si="123">T260-S260</f>
        <v>9.9912673480724834</v>
      </c>
      <c r="U330" s="382">
        <f t="shared" si="123"/>
        <v>9.3784097322339335</v>
      </c>
      <c r="V330" s="382">
        <f t="shared" si="123"/>
        <v>22.977592024982698</v>
      </c>
      <c r="W330" s="383">
        <f t="shared" ref="W330:W337" si="124">SUM(S330:V330)</f>
        <v>341.34726910528912</v>
      </c>
      <c r="X330" s="382">
        <f>X260-V260</f>
        <v>10.614206346789501</v>
      </c>
      <c r="Y330" s="382">
        <f t="shared" ref="Y330:AA331" si="125">Y260-X260</f>
        <v>12.417762458284358</v>
      </c>
      <c r="Z330" s="382">
        <f t="shared" si="125"/>
        <v>11.286459345716537</v>
      </c>
      <c r="AA330" s="382">
        <f t="shared" si="125"/>
        <v>23.699224627124067</v>
      </c>
      <c r="AB330" s="383">
        <f t="shared" ref="AB330:AB337" si="126">SUM(X330:AA330)</f>
        <v>58.017652777914464</v>
      </c>
      <c r="AC330" s="382">
        <f>AC260-AA260</f>
        <v>14.212372433989856</v>
      </c>
      <c r="AD330" s="382">
        <f t="shared" ref="AD330:AF331" si="127">AD260-AC260</f>
        <v>14.756069030798187</v>
      </c>
      <c r="AE330" s="382">
        <f t="shared" si="127"/>
        <v>13.735336055857829</v>
      </c>
      <c r="AF330" s="382">
        <f t="shared" si="127"/>
        <v>26.350695817796122</v>
      </c>
      <c r="AG330" s="383">
        <f t="shared" ref="AG330:AG337" si="128">SUM(AC330:AF330)</f>
        <v>69.054473338441994</v>
      </c>
      <c r="AH330" s="382">
        <f>AH260-AF260</f>
        <v>11.769494047741262</v>
      </c>
      <c r="AI330" s="382">
        <f t="shared" ref="AI330:AK331" si="129">AI260-AH260</f>
        <v>11.905269299237204</v>
      </c>
      <c r="AJ330" s="382">
        <f t="shared" si="129"/>
        <v>11.129612332780425</v>
      </c>
      <c r="AK330" s="382">
        <f t="shared" si="129"/>
        <v>24.301138731690116</v>
      </c>
      <c r="AL330" s="383">
        <f t="shared" ref="AL330:AL337" si="130">SUM(AH330:AK330)</f>
        <v>59.105514411449008</v>
      </c>
      <c r="AM330" s="382">
        <f>AM260-AK260</f>
        <v>11.888003234725943</v>
      </c>
      <c r="AN330" s="382">
        <f t="shared" ref="AN330:AP331" si="131">AN260-AM260</f>
        <v>11.750748404280444</v>
      </c>
      <c r="AO330" s="382">
        <f t="shared" si="131"/>
        <v>11.103219880657093</v>
      </c>
      <c r="AP330" s="382">
        <f t="shared" si="131"/>
        <v>24.443892392332486</v>
      </c>
      <c r="AQ330" s="383">
        <f t="shared" ref="AQ330:AQ337" si="132">SUM(AM330:AP330)</f>
        <v>59.185863911995966</v>
      </c>
    </row>
    <row r="331" spans="2:43" outlineLevel="1" x14ac:dyDescent="0.3">
      <c r="B331" s="183" t="s">
        <v>239</v>
      </c>
      <c r="C331" s="133"/>
      <c r="D331" s="382">
        <v>-15</v>
      </c>
      <c r="E331" s="382">
        <f>-17-D331</f>
        <v>-2</v>
      </c>
      <c r="F331" s="382">
        <f>-28-E331-D331</f>
        <v>-11</v>
      </c>
      <c r="G331" s="382">
        <f>-41-F331-E331-D331</f>
        <v>-13</v>
      </c>
      <c r="H331" s="383">
        <f t="shared" si="120"/>
        <v>-41</v>
      </c>
      <c r="I331" s="382">
        <v>-12</v>
      </c>
      <c r="J331" s="382">
        <f>-43-I331</f>
        <v>-31</v>
      </c>
      <c r="K331" s="382">
        <f>-49-J331-I331</f>
        <v>-6</v>
      </c>
      <c r="L331" s="382">
        <f>-82-K331-J331-I331</f>
        <v>-33</v>
      </c>
      <c r="M331" s="383">
        <f t="shared" si="121"/>
        <v>-82</v>
      </c>
      <c r="N331" s="382">
        <v>-12</v>
      </c>
      <c r="O331" s="382">
        <f>-28-N331</f>
        <v>-16</v>
      </c>
      <c r="P331" s="382">
        <f>-31-O331-N331</f>
        <v>-3</v>
      </c>
      <c r="Q331" s="382">
        <f>-38-P331-O331-N331</f>
        <v>-7</v>
      </c>
      <c r="R331" s="383">
        <f t="shared" si="122"/>
        <v>-38</v>
      </c>
      <c r="S331" s="382">
        <v>-2</v>
      </c>
      <c r="T331" s="382">
        <f t="shared" si="123"/>
        <v>46.915516243122966</v>
      </c>
      <c r="U331" s="382">
        <f t="shared" si="123"/>
        <v>44.037750047011514</v>
      </c>
      <c r="V331" s="382">
        <f t="shared" si="123"/>
        <v>107.894779943397</v>
      </c>
      <c r="W331" s="383">
        <f t="shared" si="124"/>
        <v>196.84804623353148</v>
      </c>
      <c r="X331" s="382">
        <f>X261-V261</f>
        <v>49.840621106663775</v>
      </c>
      <c r="Y331" s="382">
        <f t="shared" si="125"/>
        <v>58.309493282378753</v>
      </c>
      <c r="Z331" s="382">
        <f t="shared" si="125"/>
        <v>52.997287362494944</v>
      </c>
      <c r="AA331" s="382">
        <f t="shared" si="125"/>
        <v>111.28331564040877</v>
      </c>
      <c r="AB331" s="383">
        <f t="shared" si="126"/>
        <v>272.43071739194625</v>
      </c>
      <c r="AC331" s="382">
        <f>AC261-AA261</f>
        <v>66.736357516126191</v>
      </c>
      <c r="AD331" s="382">
        <f t="shared" si="127"/>
        <v>69.289367622878444</v>
      </c>
      <c r="AE331" s="382">
        <f t="shared" si="127"/>
        <v>64.496360610115062</v>
      </c>
      <c r="AF331" s="382">
        <f t="shared" si="127"/>
        <v>123.73370210095572</v>
      </c>
      <c r="AG331" s="383">
        <f t="shared" si="128"/>
        <v>324.25578785007542</v>
      </c>
      <c r="AH331" s="382">
        <f>AH261-AF261</f>
        <v>55.265450311132554</v>
      </c>
      <c r="AI331" s="382">
        <f t="shared" si="129"/>
        <v>55.903003665983761</v>
      </c>
      <c r="AJ331" s="382">
        <f t="shared" si="129"/>
        <v>52.260788345229685</v>
      </c>
      <c r="AK331" s="382">
        <f t="shared" si="129"/>
        <v>114.10969491402284</v>
      </c>
      <c r="AL331" s="383">
        <f t="shared" si="130"/>
        <v>277.53893723636884</v>
      </c>
      <c r="AM331" s="382">
        <f>AM261-AK261</f>
        <v>55.82192823262676</v>
      </c>
      <c r="AN331" s="382">
        <f t="shared" si="131"/>
        <v>55.177427289664138</v>
      </c>
      <c r="AO331" s="382">
        <f t="shared" si="131"/>
        <v>52.136858570042477</v>
      </c>
      <c r="AP331" s="382">
        <f t="shared" si="131"/>
        <v>114.78001645095264</v>
      </c>
      <c r="AQ331" s="383">
        <f t="shared" si="132"/>
        <v>277.91623054328602</v>
      </c>
    </row>
    <row r="332" spans="2:43" outlineLevel="1" x14ac:dyDescent="0.3">
      <c r="B332" s="649" t="s">
        <v>240</v>
      </c>
      <c r="C332" s="650"/>
      <c r="D332" s="382">
        <v>0</v>
      </c>
      <c r="E332" s="382">
        <f>1238-D332</f>
        <v>1238</v>
      </c>
      <c r="F332" s="382">
        <f>1238-E332-D332</f>
        <v>0</v>
      </c>
      <c r="G332" s="382">
        <f>6519-F332-E332-D332</f>
        <v>5281</v>
      </c>
      <c r="H332" s="383">
        <f t="shared" si="120"/>
        <v>6519</v>
      </c>
      <c r="I332" s="382">
        <v>0</v>
      </c>
      <c r="J332" s="382">
        <f>0-I332</f>
        <v>0</v>
      </c>
      <c r="K332" s="382">
        <f>1190-J332-I332</f>
        <v>1190</v>
      </c>
      <c r="L332" s="382">
        <f>1190-K332-J332-I332</f>
        <v>0</v>
      </c>
      <c r="M332" s="383">
        <f t="shared" si="121"/>
        <v>1190</v>
      </c>
      <c r="N332" s="382">
        <v>0</v>
      </c>
      <c r="O332" s="382">
        <f>0-N332</f>
        <v>0</v>
      </c>
      <c r="P332" s="382">
        <f>1481-O332-N332</f>
        <v>1481</v>
      </c>
      <c r="Q332" s="382">
        <f>1480-P332-O332-N332</f>
        <v>-1</v>
      </c>
      <c r="R332" s="383">
        <f t="shared" si="122"/>
        <v>1480</v>
      </c>
      <c r="S332" s="382">
        <v>0</v>
      </c>
      <c r="T332" s="382">
        <f>T266-S266</f>
        <v>509.28730987281597</v>
      </c>
      <c r="U332" s="382">
        <f>U266-T266</f>
        <v>478.04796899323628</v>
      </c>
      <c r="V332" s="382">
        <f>V266-U266</f>
        <v>1171.2424082032157</v>
      </c>
      <c r="W332" s="383">
        <f t="shared" si="124"/>
        <v>2158.577687069268</v>
      </c>
      <c r="X332" s="382">
        <f>X266-V266</f>
        <v>541.04053154320718</v>
      </c>
      <c r="Y332" s="382">
        <f>Y266-X266</f>
        <v>632.97363754752951</v>
      </c>
      <c r="Z332" s="382">
        <f>Z266-Y266</f>
        <v>575.30744778617373</v>
      </c>
      <c r="AA332" s="382">
        <f>AA266-Z266</f>
        <v>1208.0263630167137</v>
      </c>
      <c r="AB332" s="383">
        <f t="shared" si="126"/>
        <v>2957.3479798936241</v>
      </c>
      <c r="AC332" s="382">
        <f>AC266-AA266</f>
        <v>724.45072998809337</v>
      </c>
      <c r="AD332" s="382">
        <f>AD266-AC266</f>
        <v>752.16470935917823</v>
      </c>
      <c r="AE332" s="382">
        <f>AE266-AD266</f>
        <v>700.13463821849655</v>
      </c>
      <c r="AF332" s="382">
        <f>AF266-AE266</f>
        <v>1343.1804513679926</v>
      </c>
      <c r="AG332" s="383">
        <f t="shared" si="128"/>
        <v>3519.9305289337608</v>
      </c>
      <c r="AH332" s="382">
        <f>AH266-AF266</f>
        <v>599.92929358402762</v>
      </c>
      <c r="AI332" s="382">
        <f>AI266-AH266</f>
        <v>606.85019862767513</v>
      </c>
      <c r="AJ332" s="382">
        <f>AJ266-AI266</f>
        <v>567.31244670202796</v>
      </c>
      <c r="AK332" s="382">
        <f>AK266-AJ266</f>
        <v>1238.7078776243761</v>
      </c>
      <c r="AL332" s="383">
        <f t="shared" si="130"/>
        <v>3012.7998165381068</v>
      </c>
      <c r="AM332" s="382">
        <f>AM266-AK266</f>
        <v>605.97009130588049</v>
      </c>
      <c r="AN332" s="382">
        <f>AN266-AM266</f>
        <v>598.97376732320481</v>
      </c>
      <c r="AO332" s="382">
        <f>AO266-AN266</f>
        <v>565.96713779630591</v>
      </c>
      <c r="AP332" s="382">
        <f>AP266-AO266</f>
        <v>1245.9844948212049</v>
      </c>
      <c r="AQ332" s="383">
        <f t="shared" si="132"/>
        <v>3016.8954912465961</v>
      </c>
    </row>
    <row r="333" spans="2:43" outlineLevel="1" x14ac:dyDescent="0.3">
      <c r="B333" s="649" t="s">
        <v>241</v>
      </c>
      <c r="C333" s="650"/>
      <c r="D333" s="382">
        <v>46</v>
      </c>
      <c r="E333" s="382">
        <f>62-D333</f>
        <v>16</v>
      </c>
      <c r="F333" s="382">
        <f>79-E333-D333</f>
        <v>17</v>
      </c>
      <c r="G333" s="382">
        <f>183-F333-E333-D333</f>
        <v>104</v>
      </c>
      <c r="H333" s="383">
        <f t="shared" si="120"/>
        <v>183</v>
      </c>
      <c r="I333" s="382">
        <v>40</v>
      </c>
      <c r="J333" s="382">
        <f>164-I333</f>
        <v>124</v>
      </c>
      <c r="K333" s="382">
        <f>265-J333-I333</f>
        <v>101</v>
      </c>
      <c r="L333" s="382">
        <f>337-K333-J333-I333</f>
        <v>72</v>
      </c>
      <c r="M333" s="383">
        <f t="shared" si="121"/>
        <v>337</v>
      </c>
      <c r="N333" s="382">
        <v>150</v>
      </c>
      <c r="O333" s="382">
        <f>205-N333</f>
        <v>55</v>
      </c>
      <c r="P333" s="382">
        <f>284-O333-N333</f>
        <v>79</v>
      </c>
      <c r="Q333" s="382">
        <f>327-P333-O333-N333</f>
        <v>43</v>
      </c>
      <c r="R333" s="383">
        <f t="shared" si="122"/>
        <v>327</v>
      </c>
      <c r="S333" s="382">
        <v>25</v>
      </c>
      <c r="T333" s="249">
        <v>0</v>
      </c>
      <c r="U333" s="249">
        <v>0</v>
      </c>
      <c r="V333" s="249">
        <v>0</v>
      </c>
      <c r="W333" s="383">
        <f t="shared" si="124"/>
        <v>25</v>
      </c>
      <c r="X333" s="249">
        <v>0</v>
      </c>
      <c r="Y333" s="249">
        <v>0</v>
      </c>
      <c r="Z333" s="249">
        <v>0</v>
      </c>
      <c r="AA333" s="249">
        <v>0</v>
      </c>
      <c r="AB333" s="383">
        <f t="shared" si="126"/>
        <v>0</v>
      </c>
      <c r="AC333" s="249">
        <v>0</v>
      </c>
      <c r="AD333" s="249">
        <v>0</v>
      </c>
      <c r="AE333" s="249">
        <v>0</v>
      </c>
      <c r="AF333" s="249">
        <v>0</v>
      </c>
      <c r="AG333" s="383">
        <f t="shared" si="128"/>
        <v>0</v>
      </c>
      <c r="AH333" s="249">
        <v>0</v>
      </c>
      <c r="AI333" s="249">
        <v>0</v>
      </c>
      <c r="AJ333" s="249">
        <v>0</v>
      </c>
      <c r="AK333" s="249">
        <v>0</v>
      </c>
      <c r="AL333" s="383">
        <f t="shared" si="130"/>
        <v>0</v>
      </c>
      <c r="AM333" s="249">
        <v>0</v>
      </c>
      <c r="AN333" s="249">
        <v>0</v>
      </c>
      <c r="AO333" s="249">
        <v>0</v>
      </c>
      <c r="AP333" s="249">
        <v>0</v>
      </c>
      <c r="AQ333" s="383">
        <f t="shared" si="132"/>
        <v>0</v>
      </c>
    </row>
    <row r="334" spans="2:43" outlineLevel="1" x14ac:dyDescent="0.3">
      <c r="B334" s="649" t="s">
        <v>51</v>
      </c>
      <c r="C334" s="650"/>
      <c r="D334" s="382">
        <v>-71</v>
      </c>
      <c r="E334" s="382">
        <f>-141-D334</f>
        <v>-70</v>
      </c>
      <c r="F334" s="382">
        <f>-210-E334-D334</f>
        <v>-69</v>
      </c>
      <c r="G334" s="382">
        <f>-277-F334-E334-D334</f>
        <v>-67</v>
      </c>
      <c r="H334" s="383">
        <f t="shared" si="120"/>
        <v>-277</v>
      </c>
      <c r="I334" s="382">
        <v>-106</v>
      </c>
      <c r="J334" s="382">
        <f>-213-I334</f>
        <v>-107</v>
      </c>
      <c r="K334" s="382">
        <f>-319-J334-I334</f>
        <v>-106</v>
      </c>
      <c r="L334" s="382">
        <f>-426-K334-J334-I334</f>
        <v>-107</v>
      </c>
      <c r="M334" s="383">
        <f t="shared" si="121"/>
        <v>-426</v>
      </c>
      <c r="N334" s="382">
        <v>-134</v>
      </c>
      <c r="O334" s="382">
        <f>-268-N334</f>
        <v>-134</v>
      </c>
      <c r="P334" s="382">
        <f>-402-O334-N334</f>
        <v>-134</v>
      </c>
      <c r="Q334" s="382">
        <f>-535-P334-O334-N334</f>
        <v>-133</v>
      </c>
      <c r="R334" s="383">
        <f t="shared" si="122"/>
        <v>-535</v>
      </c>
      <c r="S334" s="382">
        <v>-173</v>
      </c>
      <c r="T334" s="382">
        <f>-T46*T41</f>
        <v>-172.63348262913235</v>
      </c>
      <c r="U334" s="382">
        <f>-U46*U41</f>
        <v>-172.9327010605808</v>
      </c>
      <c r="V334" s="382">
        <f>-V46*V41</f>
        <v>-173.52300486772782</v>
      </c>
      <c r="W334" s="383">
        <f t="shared" si="124"/>
        <v>-692.08918855744105</v>
      </c>
      <c r="X334" s="382">
        <f>-X46*X41</f>
        <v>-217.02213188709456</v>
      </c>
      <c r="Y334" s="382">
        <f>-Y46*Y41</f>
        <v>-217.45455776370557</v>
      </c>
      <c r="Z334" s="382">
        <f>-Z46*Z41</f>
        <v>-217.8750990956961</v>
      </c>
      <c r="AA334" s="382">
        <f>-AA46*AA41</f>
        <v>-218.30733817545914</v>
      </c>
      <c r="AB334" s="383">
        <f t="shared" si="126"/>
        <v>-870.65912692195536</v>
      </c>
      <c r="AC334" s="382">
        <f>-AC46*AC41</f>
        <v>-273.32899219041275</v>
      </c>
      <c r="AD334" s="382">
        <f>-AD46*AD41</f>
        <v>-273.84807593569286</v>
      </c>
      <c r="AE334" s="382">
        <f>-AE46*AE41</f>
        <v>-274.36179567576056</v>
      </c>
      <c r="AF334" s="382">
        <f>-AF46*AF41</f>
        <v>-274.87256924656731</v>
      </c>
      <c r="AG334" s="383">
        <f t="shared" si="128"/>
        <v>-1096.4114330484335</v>
      </c>
      <c r="AH334" s="382">
        <f>-AH46*AH41</f>
        <v>-330.83372616109824</v>
      </c>
      <c r="AI334" s="382">
        <f>-AI46*AI41</f>
        <v>-331.9355336515344</v>
      </c>
      <c r="AJ334" s="382">
        <f>-AJ46*AJ41</f>
        <v>-333.15901866475656</v>
      </c>
      <c r="AK334" s="382">
        <f>-AK46*AK41</f>
        <v>-334.53623032631475</v>
      </c>
      <c r="AL334" s="383">
        <f t="shared" si="130"/>
        <v>-1330.4645088037039</v>
      </c>
      <c r="AM334" s="382">
        <f>-AM46*AM41</f>
        <v>-386.52246374843668</v>
      </c>
      <c r="AN334" s="382">
        <f>-AN46*AN41</f>
        <v>-388.45227004304576</v>
      </c>
      <c r="AO334" s="382">
        <f>-AO46*AO41</f>
        <v>-390.39162910326735</v>
      </c>
      <c r="AP334" s="382">
        <f>-AP46*AP41</f>
        <v>-392.34074248254376</v>
      </c>
      <c r="AQ334" s="383">
        <f t="shared" si="132"/>
        <v>-1557.7071053772934</v>
      </c>
    </row>
    <row r="335" spans="2:43" outlineLevel="1" x14ac:dyDescent="0.3">
      <c r="B335" s="649" t="s">
        <v>242</v>
      </c>
      <c r="C335" s="650"/>
      <c r="D335" s="382">
        <v>-190</v>
      </c>
      <c r="E335" s="382">
        <f>-1101-D335</f>
        <v>-911</v>
      </c>
      <c r="F335" s="382">
        <f>-2133-E335-D335</f>
        <v>-1032</v>
      </c>
      <c r="G335" s="382">
        <f>-2722-F335-E335-D335</f>
        <v>-589</v>
      </c>
      <c r="H335" s="383">
        <f t="shared" si="120"/>
        <v>-2722</v>
      </c>
      <c r="I335" s="382">
        <v>-222</v>
      </c>
      <c r="J335" s="382">
        <f>-334-I335</f>
        <v>-112</v>
      </c>
      <c r="K335" s="382">
        <f>-358-J335-I335</f>
        <v>-24</v>
      </c>
      <c r="L335" s="382">
        <f>-509-K335-J335-I335</f>
        <v>-151</v>
      </c>
      <c r="M335" s="383">
        <f t="shared" si="121"/>
        <v>-509</v>
      </c>
      <c r="N335" s="382">
        <v>-86</v>
      </c>
      <c r="O335" s="382">
        <f>-270-N335</f>
        <v>-184</v>
      </c>
      <c r="P335" s="382">
        <f>-558-O335-N335</f>
        <v>-288</v>
      </c>
      <c r="Q335" s="382">
        <f>-1017-P335-O335-N335</f>
        <v>-459</v>
      </c>
      <c r="R335" s="383">
        <f t="shared" si="122"/>
        <v>-1017</v>
      </c>
      <c r="S335" s="382">
        <v>-625</v>
      </c>
      <c r="T335" s="382">
        <f>-T231</f>
        <v>-200</v>
      </c>
      <c r="U335" s="382">
        <f>-U231</f>
        <v>-200</v>
      </c>
      <c r="V335" s="382">
        <f>-V231</f>
        <v>-100</v>
      </c>
      <c r="W335" s="383">
        <f t="shared" si="124"/>
        <v>-1125</v>
      </c>
      <c r="X335" s="382">
        <f>-X231</f>
        <v>-281.15382499999998</v>
      </c>
      <c r="Y335" s="382">
        <f>-Y231</f>
        <v>-195.28845625</v>
      </c>
      <c r="Z335" s="382">
        <f>-Z231</f>
        <v>-194.11057031249999</v>
      </c>
      <c r="AA335" s="382">
        <f>-AA231</f>
        <v>-192.638212890625</v>
      </c>
      <c r="AB335" s="383">
        <f t="shared" si="126"/>
        <v>-863.19106445312491</v>
      </c>
      <c r="AC335" s="382">
        <f>-AC231</f>
        <v>-215.79776611328123</v>
      </c>
      <c r="AD335" s="382">
        <f>-AD231</f>
        <v>-199.45875139160157</v>
      </c>
      <c r="AE335" s="382">
        <f>-AE231</f>
        <v>-200.50132517700195</v>
      </c>
      <c r="AF335" s="382">
        <f>-AF231</f>
        <v>-202.09901389312745</v>
      </c>
      <c r="AG335" s="383">
        <f t="shared" si="128"/>
        <v>-817.85685657501222</v>
      </c>
      <c r="AH335" s="382">
        <f>-AH231</f>
        <v>-129.46421414375305</v>
      </c>
      <c r="AI335" s="382">
        <f>-AI231</f>
        <v>-107.880826151371</v>
      </c>
      <c r="AJ335" s="382">
        <f>-AJ231</f>
        <v>-84.986344841313354</v>
      </c>
      <c r="AK335" s="382">
        <f>-AK231</f>
        <v>-56.107599757391199</v>
      </c>
      <c r="AL335" s="383">
        <f t="shared" si="130"/>
        <v>-378.4389848938286</v>
      </c>
      <c r="AM335" s="382">
        <f>-AM231</f>
        <v>-19.609746223457151</v>
      </c>
      <c r="AN335" s="382">
        <f>-AN231</f>
        <v>7.8538707566168284</v>
      </c>
      <c r="AO335" s="382">
        <f>-AO231</f>
        <v>36.787544983613785</v>
      </c>
      <c r="AP335" s="382">
        <f>-AP231</f>
        <v>67.231017439845573</v>
      </c>
      <c r="AQ335" s="383">
        <f t="shared" si="132"/>
        <v>92.262686956619035</v>
      </c>
    </row>
    <row r="336" spans="2:43" outlineLevel="1" x14ac:dyDescent="0.3">
      <c r="B336" s="183" t="s">
        <v>244</v>
      </c>
      <c r="C336" s="133"/>
      <c r="D336" s="382"/>
      <c r="E336" s="382"/>
      <c r="F336" s="382"/>
      <c r="G336" s="382"/>
      <c r="H336" s="383">
        <f t="shared" si="120"/>
        <v>0</v>
      </c>
      <c r="I336" s="382"/>
      <c r="J336" s="382">
        <f>0-I336</f>
        <v>0</v>
      </c>
      <c r="K336" s="382">
        <f>0-J336-I336</f>
        <v>0</v>
      </c>
      <c r="L336" s="382">
        <f>0-K336-J336-I336</f>
        <v>0</v>
      </c>
      <c r="M336" s="383">
        <f t="shared" si="121"/>
        <v>0</v>
      </c>
      <c r="N336" s="382"/>
      <c r="O336" s="382"/>
      <c r="P336" s="382"/>
      <c r="Q336" s="382">
        <f>0-P336-O336-N336</f>
        <v>0</v>
      </c>
      <c r="R336" s="383">
        <f t="shared" si="122"/>
        <v>0</v>
      </c>
      <c r="S336" s="382">
        <v>0</v>
      </c>
      <c r="T336" s="249">
        <v>0</v>
      </c>
      <c r="U336" s="249">
        <v>0</v>
      </c>
      <c r="V336" s="249">
        <v>0</v>
      </c>
      <c r="W336" s="383">
        <f t="shared" si="124"/>
        <v>0</v>
      </c>
      <c r="X336" s="249">
        <v>0</v>
      </c>
      <c r="Y336" s="249">
        <v>0</v>
      </c>
      <c r="Z336" s="249">
        <v>0</v>
      </c>
      <c r="AA336" s="249">
        <v>0</v>
      </c>
      <c r="AB336" s="383">
        <f t="shared" si="126"/>
        <v>0</v>
      </c>
      <c r="AC336" s="249">
        <v>0</v>
      </c>
      <c r="AD336" s="249">
        <v>0</v>
      </c>
      <c r="AE336" s="249">
        <v>0</v>
      </c>
      <c r="AF336" s="249">
        <v>0</v>
      </c>
      <c r="AG336" s="383">
        <f t="shared" si="128"/>
        <v>0</v>
      </c>
      <c r="AH336" s="249">
        <v>0</v>
      </c>
      <c r="AI336" s="249">
        <v>0</v>
      </c>
      <c r="AJ336" s="249">
        <v>0</v>
      </c>
      <c r="AK336" s="249">
        <v>0</v>
      </c>
      <c r="AL336" s="383">
        <f t="shared" si="130"/>
        <v>0</v>
      </c>
      <c r="AM336" s="249">
        <v>0</v>
      </c>
      <c r="AN336" s="249">
        <v>0</v>
      </c>
      <c r="AO336" s="249">
        <v>0</v>
      </c>
      <c r="AP336" s="249">
        <v>0</v>
      </c>
      <c r="AQ336" s="383">
        <f t="shared" si="132"/>
        <v>0</v>
      </c>
    </row>
    <row r="337" spans="2:44" ht="16.2" outlineLevel="1" x14ac:dyDescent="0.45">
      <c r="B337" s="649" t="s">
        <v>234</v>
      </c>
      <c r="C337" s="650"/>
      <c r="D337" s="384">
        <v>6</v>
      </c>
      <c r="E337" s="384">
        <f>-8-D337</f>
        <v>-14</v>
      </c>
      <c r="F337" s="384">
        <f>-16+9-E337-D337</f>
        <v>1</v>
      </c>
      <c r="G337" s="384">
        <f>3-54-F337-E337-D337</f>
        <v>-44</v>
      </c>
      <c r="H337" s="385">
        <f t="shared" si="120"/>
        <v>-51</v>
      </c>
      <c r="I337" s="384">
        <f>-15+2</f>
        <v>-13</v>
      </c>
      <c r="J337" s="384">
        <f>-5-I337</f>
        <v>8</v>
      </c>
      <c r="K337" s="384">
        <f>2-J337-I337</f>
        <v>7</v>
      </c>
      <c r="L337" s="384">
        <f>18-K337-J337-I337</f>
        <v>16</v>
      </c>
      <c r="M337" s="385">
        <f t="shared" si="121"/>
        <v>18</v>
      </c>
      <c r="N337" s="384">
        <v>-6</v>
      </c>
      <c r="O337" s="384">
        <f>3-N337</f>
        <v>9</v>
      </c>
      <c r="P337" s="384">
        <f>6-O337-N337</f>
        <v>3</v>
      </c>
      <c r="Q337" s="384">
        <f>10-P337-O337-N337</f>
        <v>4</v>
      </c>
      <c r="R337" s="385">
        <f t="shared" si="122"/>
        <v>10</v>
      </c>
      <c r="S337" s="384">
        <v>4</v>
      </c>
      <c r="T337" s="247">
        <v>0</v>
      </c>
      <c r="U337" s="247">
        <v>0</v>
      </c>
      <c r="V337" s="247">
        <v>0</v>
      </c>
      <c r="W337" s="385">
        <f t="shared" si="124"/>
        <v>4</v>
      </c>
      <c r="X337" s="247">
        <v>0</v>
      </c>
      <c r="Y337" s="247">
        <v>0</v>
      </c>
      <c r="Z337" s="247">
        <v>0</v>
      </c>
      <c r="AA337" s="247">
        <v>0</v>
      </c>
      <c r="AB337" s="385">
        <f t="shared" si="126"/>
        <v>0</v>
      </c>
      <c r="AC337" s="247">
        <v>0</v>
      </c>
      <c r="AD337" s="247">
        <v>0</v>
      </c>
      <c r="AE337" s="247">
        <v>0</v>
      </c>
      <c r="AF337" s="247">
        <v>0</v>
      </c>
      <c r="AG337" s="385">
        <f t="shared" si="128"/>
        <v>0</v>
      </c>
      <c r="AH337" s="247">
        <v>0</v>
      </c>
      <c r="AI337" s="247">
        <v>0</v>
      </c>
      <c r="AJ337" s="247">
        <v>0</v>
      </c>
      <c r="AK337" s="247">
        <v>0</v>
      </c>
      <c r="AL337" s="385">
        <f t="shared" si="130"/>
        <v>0</v>
      </c>
      <c r="AM337" s="247">
        <v>0</v>
      </c>
      <c r="AN337" s="247">
        <v>0</v>
      </c>
      <c r="AO337" s="247">
        <v>0</v>
      </c>
      <c r="AP337" s="247">
        <v>0</v>
      </c>
      <c r="AQ337" s="385">
        <f t="shared" si="132"/>
        <v>0</v>
      </c>
    </row>
    <row r="338" spans="2:44" outlineLevel="1" x14ac:dyDescent="0.3">
      <c r="B338" s="647" t="s">
        <v>19</v>
      </c>
      <c r="C338" s="648"/>
      <c r="D338" s="368">
        <f t="shared" ref="D338:AQ338" si="133">SUM(D330:D337)</f>
        <v>-224</v>
      </c>
      <c r="E338" s="368">
        <f t="shared" si="133"/>
        <v>257</v>
      </c>
      <c r="F338" s="368">
        <f t="shared" si="133"/>
        <v>-1094</v>
      </c>
      <c r="G338" s="368">
        <f t="shared" si="133"/>
        <v>4672</v>
      </c>
      <c r="H338" s="369">
        <f t="shared" si="133"/>
        <v>3611</v>
      </c>
      <c r="I338" s="368">
        <f t="shared" si="133"/>
        <v>-313</v>
      </c>
      <c r="J338" s="368">
        <f t="shared" si="133"/>
        <v>-118</v>
      </c>
      <c r="K338" s="368">
        <f t="shared" si="133"/>
        <v>1162</v>
      </c>
      <c r="L338" s="368">
        <f t="shared" si="133"/>
        <v>-203</v>
      </c>
      <c r="M338" s="369">
        <f t="shared" si="133"/>
        <v>528</v>
      </c>
      <c r="N338" s="368">
        <f t="shared" si="133"/>
        <v>-88</v>
      </c>
      <c r="O338" s="368">
        <f t="shared" si="133"/>
        <v>-20</v>
      </c>
      <c r="P338" s="368">
        <f t="shared" si="133"/>
        <v>1685</v>
      </c>
      <c r="Q338" s="368">
        <f t="shared" si="133"/>
        <v>-1350</v>
      </c>
      <c r="R338" s="369">
        <f t="shared" si="133"/>
        <v>227</v>
      </c>
      <c r="S338" s="368">
        <f t="shared" si="133"/>
        <v>-472</v>
      </c>
      <c r="T338" s="368">
        <f t="shared" si="133"/>
        <v>193.56061083487907</v>
      </c>
      <c r="U338" s="368">
        <f t="shared" si="133"/>
        <v>158.53142771190085</v>
      </c>
      <c r="V338" s="368">
        <f t="shared" si="133"/>
        <v>1028.5917753038675</v>
      </c>
      <c r="W338" s="369">
        <f t="shared" si="133"/>
        <v>908.68381385064731</v>
      </c>
      <c r="X338" s="368">
        <f t="shared" si="133"/>
        <v>103.31940210956589</v>
      </c>
      <c r="Y338" s="368">
        <f t="shared" si="133"/>
        <v>290.95787927448714</v>
      </c>
      <c r="Z338" s="368">
        <f t="shared" si="133"/>
        <v>227.60552508618917</v>
      </c>
      <c r="AA338" s="368">
        <f t="shared" si="133"/>
        <v>932.06335221816244</v>
      </c>
      <c r="AB338" s="369">
        <f t="shared" si="133"/>
        <v>1553.9461586884049</v>
      </c>
      <c r="AC338" s="368">
        <f t="shared" si="133"/>
        <v>316.27270163451556</v>
      </c>
      <c r="AD338" s="368">
        <f t="shared" si="133"/>
        <v>362.90331868556052</v>
      </c>
      <c r="AE338" s="368">
        <f t="shared" si="133"/>
        <v>303.50321403170693</v>
      </c>
      <c r="AF338" s="368">
        <f t="shared" si="133"/>
        <v>1016.2932661470497</v>
      </c>
      <c r="AG338" s="369">
        <f t="shared" si="133"/>
        <v>1998.9725004988325</v>
      </c>
      <c r="AH338" s="368">
        <f t="shared" si="133"/>
        <v>206.6662976380502</v>
      </c>
      <c r="AI338" s="368">
        <f t="shared" si="133"/>
        <v>234.84211178999075</v>
      </c>
      <c r="AJ338" s="368">
        <f t="shared" si="133"/>
        <v>212.55748387396815</v>
      </c>
      <c r="AK338" s="368">
        <f t="shared" si="133"/>
        <v>986.47488118638307</v>
      </c>
      <c r="AL338" s="369">
        <f t="shared" si="133"/>
        <v>1640.5407744883921</v>
      </c>
      <c r="AM338" s="368">
        <f t="shared" si="133"/>
        <v>267.54781280133938</v>
      </c>
      <c r="AN338" s="368">
        <f t="shared" si="133"/>
        <v>285.30354373072043</v>
      </c>
      <c r="AO338" s="368">
        <f t="shared" si="133"/>
        <v>275.6031321273519</v>
      </c>
      <c r="AP338" s="368">
        <f t="shared" si="133"/>
        <v>1060.0986786217918</v>
      </c>
      <c r="AQ338" s="369">
        <f t="shared" si="133"/>
        <v>1888.5531672812037</v>
      </c>
    </row>
    <row r="339" spans="2:44" outlineLevel="1" x14ac:dyDescent="0.3">
      <c r="B339" s="304" t="s">
        <v>243</v>
      </c>
      <c r="C339" s="305"/>
      <c r="D339" s="283">
        <v>-38</v>
      </c>
      <c r="E339" s="283">
        <f>-53-D339</f>
        <v>-15</v>
      </c>
      <c r="F339" s="283">
        <f>-78-E339-D339</f>
        <v>-25</v>
      </c>
      <c r="G339" s="283">
        <f>-102-F339-E339-D339</f>
        <v>-24</v>
      </c>
      <c r="H339" s="405">
        <f>SUM(D339:G339)</f>
        <v>-102</v>
      </c>
      <c r="I339" s="283">
        <v>3</v>
      </c>
      <c r="J339" s="283">
        <f>-98-I339</f>
        <v>-101</v>
      </c>
      <c r="K339" s="283">
        <f>-70-J339-I339</f>
        <v>28</v>
      </c>
      <c r="L339" s="283">
        <f>-42-K339-J339-I339</f>
        <v>28</v>
      </c>
      <c r="M339" s="405">
        <f>SUM(I339:L339)</f>
        <v>-42</v>
      </c>
      <c r="N339" s="283">
        <v>70</v>
      </c>
      <c r="O339" s="283">
        <f>62-N339</f>
        <v>-8</v>
      </c>
      <c r="P339" s="283">
        <f>98-O339-N339</f>
        <v>36</v>
      </c>
      <c r="Q339" s="283">
        <f>72-P339-O339-N339</f>
        <v>-26</v>
      </c>
      <c r="R339" s="378">
        <f>SUM(N339:Q339)</f>
        <v>72</v>
      </c>
      <c r="S339" s="377">
        <v>-24</v>
      </c>
      <c r="T339" s="407">
        <v>0</v>
      </c>
      <c r="U339" s="407">
        <v>0</v>
      </c>
      <c r="V339" s="407">
        <v>0</v>
      </c>
      <c r="W339" s="405">
        <f>SUM(S339:V339)</f>
        <v>-24</v>
      </c>
      <c r="X339" s="407">
        <v>0</v>
      </c>
      <c r="Y339" s="407">
        <v>0</v>
      </c>
      <c r="Z339" s="407">
        <v>0</v>
      </c>
      <c r="AA339" s="407">
        <v>0</v>
      </c>
      <c r="AB339" s="405">
        <f>SUM(X339:AA339)</f>
        <v>0</v>
      </c>
      <c r="AC339" s="407">
        <v>0</v>
      </c>
      <c r="AD339" s="407">
        <v>0</v>
      </c>
      <c r="AE339" s="407">
        <v>0</v>
      </c>
      <c r="AF339" s="407">
        <v>0</v>
      </c>
      <c r="AG339" s="405">
        <f>SUM(AC339:AF339)</f>
        <v>0</v>
      </c>
      <c r="AH339" s="407">
        <v>0</v>
      </c>
      <c r="AI339" s="407">
        <v>0</v>
      </c>
      <c r="AJ339" s="407">
        <v>0</v>
      </c>
      <c r="AK339" s="407">
        <v>0</v>
      </c>
      <c r="AL339" s="405">
        <f>SUM(AH339:AK339)</f>
        <v>0</v>
      </c>
      <c r="AM339" s="407">
        <v>0</v>
      </c>
      <c r="AN339" s="407">
        <v>0</v>
      </c>
      <c r="AO339" s="407">
        <v>0</v>
      </c>
      <c r="AP339" s="407">
        <v>0</v>
      </c>
      <c r="AQ339" s="405">
        <f>SUM(AM339:AP339)</f>
        <v>0</v>
      </c>
    </row>
    <row r="340" spans="2:44" outlineLevel="1" x14ac:dyDescent="0.3">
      <c r="B340" s="628" t="s">
        <v>20</v>
      </c>
      <c r="C340" s="629"/>
      <c r="D340" s="98">
        <f t="shared" ref="D340:AQ340" si="134">D338+D328+D323+D339</f>
        <v>-220</v>
      </c>
      <c r="E340" s="98">
        <f t="shared" si="134"/>
        <v>104</v>
      </c>
      <c r="F340" s="98">
        <f t="shared" si="134"/>
        <v>-806</v>
      </c>
      <c r="G340" s="98">
        <f t="shared" si="134"/>
        <v>693</v>
      </c>
      <c r="H340" s="99">
        <f t="shared" si="134"/>
        <v>-229</v>
      </c>
      <c r="I340" s="98">
        <f t="shared" si="134"/>
        <v>-545</v>
      </c>
      <c r="J340" s="98">
        <f t="shared" si="134"/>
        <v>70</v>
      </c>
      <c r="K340" s="98">
        <f t="shared" si="134"/>
        <v>114</v>
      </c>
      <c r="L340" s="98">
        <f t="shared" si="134"/>
        <v>796</v>
      </c>
      <c r="M340" s="99">
        <f t="shared" si="134"/>
        <v>435</v>
      </c>
      <c r="N340" s="98">
        <f t="shared" si="134"/>
        <v>-466</v>
      </c>
      <c r="O340" s="98">
        <f t="shared" si="134"/>
        <v>-735</v>
      </c>
      <c r="P340" s="98">
        <f t="shared" si="134"/>
        <v>21</v>
      </c>
      <c r="Q340" s="98">
        <f t="shared" si="134"/>
        <v>476.12578599999688</v>
      </c>
      <c r="R340" s="99">
        <f t="shared" si="134"/>
        <v>-703.87421400000312</v>
      </c>
      <c r="S340" s="105">
        <f t="shared" si="134"/>
        <v>-896</v>
      </c>
      <c r="T340" s="98">
        <f t="shared" si="134"/>
        <v>495.66372219720915</v>
      </c>
      <c r="U340" s="98">
        <f t="shared" si="134"/>
        <v>16.029980006262576</v>
      </c>
      <c r="V340" s="98">
        <f t="shared" si="134"/>
        <v>2631.7652577574072</v>
      </c>
      <c r="W340" s="99">
        <f t="shared" si="134"/>
        <v>2247.4589599608935</v>
      </c>
      <c r="X340" s="98">
        <f t="shared" si="134"/>
        <v>610.66930875287858</v>
      </c>
      <c r="Y340" s="98">
        <f t="shared" si="134"/>
        <v>711.11148671146407</v>
      </c>
      <c r="Z340" s="98">
        <f t="shared" si="134"/>
        <v>556.23134227319679</v>
      </c>
      <c r="AA340" s="98">
        <f t="shared" si="134"/>
        <v>2694.892025016522</v>
      </c>
      <c r="AB340" s="99">
        <f t="shared" si="134"/>
        <v>4572.9041627540628</v>
      </c>
      <c r="AC340" s="98">
        <f t="shared" si="134"/>
        <v>904.22210402667952</v>
      </c>
      <c r="AD340" s="98">
        <f t="shared" si="134"/>
        <v>1101.1483616732676</v>
      </c>
      <c r="AE340" s="98">
        <f t="shared" si="134"/>
        <v>667.19719186416273</v>
      </c>
      <c r="AF340" s="98">
        <f t="shared" si="134"/>
        <v>3133.2871283269851</v>
      </c>
      <c r="AG340" s="99">
        <f t="shared" si="134"/>
        <v>5805.8547858911006</v>
      </c>
      <c r="AH340" s="98">
        <f t="shared" si="134"/>
        <v>843.51214772566209</v>
      </c>
      <c r="AI340" s="98">
        <f t="shared" si="134"/>
        <v>966.96419214464277</v>
      </c>
      <c r="AJ340" s="98">
        <f t="shared" si="134"/>
        <v>553.06466785081693</v>
      </c>
      <c r="AK340" s="98">
        <f t="shared" si="134"/>
        <v>3184.8558828782416</v>
      </c>
      <c r="AL340" s="99">
        <f t="shared" si="134"/>
        <v>5548.3968905993524</v>
      </c>
      <c r="AM340" s="98">
        <f t="shared" si="134"/>
        <v>928.94686982960843</v>
      </c>
      <c r="AN340" s="98">
        <f t="shared" si="134"/>
        <v>1063.0972721234525</v>
      </c>
      <c r="AO340" s="98">
        <f t="shared" si="134"/>
        <v>572.1696216303294</v>
      </c>
      <c r="AP340" s="98">
        <f t="shared" si="134"/>
        <v>3390.4087695910321</v>
      </c>
      <c r="AQ340" s="99">
        <f t="shared" si="134"/>
        <v>5954.6225331744326</v>
      </c>
    </row>
    <row r="341" spans="2:44" ht="16.2" outlineLevel="1" x14ac:dyDescent="0.45">
      <c r="B341" s="628" t="s">
        <v>21</v>
      </c>
      <c r="C341" s="629"/>
      <c r="D341" s="103">
        <v>3763</v>
      </c>
      <c r="E341" s="103">
        <f>D342</f>
        <v>3543</v>
      </c>
      <c r="F341" s="103">
        <f>E342</f>
        <v>3647</v>
      </c>
      <c r="G341" s="103">
        <f>F342</f>
        <v>2841</v>
      </c>
      <c r="H341" s="104">
        <v>3763</v>
      </c>
      <c r="I341" s="103">
        <f>H342</f>
        <v>3534</v>
      </c>
      <c r="J341" s="103">
        <f>I342</f>
        <v>2989</v>
      </c>
      <c r="K341" s="103">
        <f>J342</f>
        <v>3059</v>
      </c>
      <c r="L341" s="103">
        <f>K342</f>
        <v>3173</v>
      </c>
      <c r="M341" s="104">
        <f>H342</f>
        <v>3534</v>
      </c>
      <c r="N341" s="103">
        <f>M342</f>
        <v>3969</v>
      </c>
      <c r="O341" s="103">
        <f>N342</f>
        <v>3503</v>
      </c>
      <c r="P341" s="103">
        <f>O342</f>
        <v>2768</v>
      </c>
      <c r="Q341" s="103">
        <f>P342</f>
        <v>2789</v>
      </c>
      <c r="R341" s="104">
        <f>M342</f>
        <v>3969</v>
      </c>
      <c r="S341" s="106">
        <f>R342</f>
        <v>3265.1257859999969</v>
      </c>
      <c r="T341" s="103">
        <f>S342</f>
        <v>2369.1257859999969</v>
      </c>
      <c r="U341" s="103">
        <f>T342</f>
        <v>2864.789508197206</v>
      </c>
      <c r="V341" s="103">
        <f>U342</f>
        <v>2880.8194882034686</v>
      </c>
      <c r="W341" s="104">
        <f>R342</f>
        <v>3265.1257859999969</v>
      </c>
      <c r="X341" s="103">
        <f>W342</f>
        <v>5512.5847459608904</v>
      </c>
      <c r="Y341" s="103">
        <f>X342</f>
        <v>6123.2540547137687</v>
      </c>
      <c r="Z341" s="103">
        <f>Y342</f>
        <v>6834.3655414252325</v>
      </c>
      <c r="AA341" s="103">
        <f>Z342</f>
        <v>7390.5968836984293</v>
      </c>
      <c r="AB341" s="104">
        <f>W342</f>
        <v>5512.5847459608904</v>
      </c>
      <c r="AC341" s="103">
        <f>AB342</f>
        <v>10085.488908714953</v>
      </c>
      <c r="AD341" s="103">
        <f>AC342</f>
        <v>10989.711012741633</v>
      </c>
      <c r="AE341" s="103">
        <f>AD342</f>
        <v>12090.8593744149</v>
      </c>
      <c r="AF341" s="103">
        <f>AE342</f>
        <v>12758.056566279063</v>
      </c>
      <c r="AG341" s="104">
        <f>AB342</f>
        <v>10085.488908714953</v>
      </c>
      <c r="AH341" s="103">
        <f>AG342</f>
        <v>15891.343694606054</v>
      </c>
      <c r="AI341" s="103">
        <f>AH342</f>
        <v>16734.855842331715</v>
      </c>
      <c r="AJ341" s="103">
        <f>AI342</f>
        <v>17701.820034476357</v>
      </c>
      <c r="AK341" s="103">
        <f>AJ342</f>
        <v>18254.884702327174</v>
      </c>
      <c r="AL341" s="104">
        <f>AG342</f>
        <v>15891.343694606054</v>
      </c>
      <c r="AM341" s="103">
        <f>AL342</f>
        <v>21439.740585205407</v>
      </c>
      <c r="AN341" s="103">
        <f>AM342</f>
        <v>22368.687455035015</v>
      </c>
      <c r="AO341" s="103">
        <f>AN342</f>
        <v>23431.784727158469</v>
      </c>
      <c r="AP341" s="103">
        <f>AO342</f>
        <v>24003.954348788797</v>
      </c>
      <c r="AQ341" s="104">
        <f>AL342</f>
        <v>21439.740585205407</v>
      </c>
    </row>
    <row r="342" spans="2:44" outlineLevel="1" x14ac:dyDescent="0.3">
      <c r="B342" s="678" t="s">
        <v>22</v>
      </c>
      <c r="C342" s="679"/>
      <c r="D342" s="112">
        <f>D341+D340</f>
        <v>3543</v>
      </c>
      <c r="E342" s="112">
        <f>E341+E340</f>
        <v>3647</v>
      </c>
      <c r="F342" s="112">
        <f>F341+F340</f>
        <v>2841</v>
      </c>
      <c r="G342" s="112">
        <f>G341+G340</f>
        <v>3534</v>
      </c>
      <c r="H342" s="113">
        <f>G342</f>
        <v>3534</v>
      </c>
      <c r="I342" s="112">
        <f t="shared" ref="I342:AQ342" si="135">I341+I340</f>
        <v>2989</v>
      </c>
      <c r="J342" s="112">
        <f t="shared" si="135"/>
        <v>3059</v>
      </c>
      <c r="K342" s="112">
        <f t="shared" si="135"/>
        <v>3173</v>
      </c>
      <c r="L342" s="112">
        <f t="shared" si="135"/>
        <v>3969</v>
      </c>
      <c r="M342" s="113">
        <f t="shared" si="135"/>
        <v>3969</v>
      </c>
      <c r="N342" s="112">
        <f t="shared" si="135"/>
        <v>3503</v>
      </c>
      <c r="O342" s="112">
        <f t="shared" si="135"/>
        <v>2768</v>
      </c>
      <c r="P342" s="112">
        <f t="shared" si="135"/>
        <v>2789</v>
      </c>
      <c r="Q342" s="112">
        <f t="shared" si="135"/>
        <v>3265.1257859999969</v>
      </c>
      <c r="R342" s="113">
        <f t="shared" si="135"/>
        <v>3265.1257859999969</v>
      </c>
      <c r="S342" s="114">
        <f t="shared" si="135"/>
        <v>2369.1257859999969</v>
      </c>
      <c r="T342" s="112">
        <f t="shared" si="135"/>
        <v>2864.789508197206</v>
      </c>
      <c r="U342" s="112">
        <f t="shared" si="135"/>
        <v>2880.8194882034686</v>
      </c>
      <c r="V342" s="112">
        <f t="shared" si="135"/>
        <v>5512.5847459608758</v>
      </c>
      <c r="W342" s="113">
        <f t="shared" si="135"/>
        <v>5512.5847459608904</v>
      </c>
      <c r="X342" s="112">
        <f t="shared" si="135"/>
        <v>6123.2540547137687</v>
      </c>
      <c r="Y342" s="112">
        <f t="shared" si="135"/>
        <v>6834.3655414252325</v>
      </c>
      <c r="Z342" s="112">
        <f t="shared" si="135"/>
        <v>7390.5968836984293</v>
      </c>
      <c r="AA342" s="112">
        <f t="shared" si="135"/>
        <v>10085.488908714951</v>
      </c>
      <c r="AB342" s="113">
        <f t="shared" si="135"/>
        <v>10085.488908714953</v>
      </c>
      <c r="AC342" s="112">
        <f t="shared" si="135"/>
        <v>10989.711012741633</v>
      </c>
      <c r="AD342" s="112">
        <f t="shared" si="135"/>
        <v>12090.8593744149</v>
      </c>
      <c r="AE342" s="112">
        <f t="shared" si="135"/>
        <v>12758.056566279063</v>
      </c>
      <c r="AF342" s="112">
        <f t="shared" si="135"/>
        <v>15891.343694606048</v>
      </c>
      <c r="AG342" s="113">
        <f t="shared" si="135"/>
        <v>15891.343694606054</v>
      </c>
      <c r="AH342" s="112">
        <f t="shared" si="135"/>
        <v>16734.855842331715</v>
      </c>
      <c r="AI342" s="112">
        <f t="shared" si="135"/>
        <v>17701.820034476357</v>
      </c>
      <c r="AJ342" s="112">
        <f t="shared" si="135"/>
        <v>18254.884702327174</v>
      </c>
      <c r="AK342" s="112">
        <f t="shared" si="135"/>
        <v>21439.740585205414</v>
      </c>
      <c r="AL342" s="113">
        <f t="shared" si="135"/>
        <v>21439.740585205407</v>
      </c>
      <c r="AM342" s="112">
        <f t="shared" si="135"/>
        <v>22368.687455035015</v>
      </c>
      <c r="AN342" s="112">
        <f t="shared" si="135"/>
        <v>23431.784727158469</v>
      </c>
      <c r="AO342" s="112">
        <f t="shared" si="135"/>
        <v>24003.954348788797</v>
      </c>
      <c r="AP342" s="112">
        <f t="shared" si="135"/>
        <v>27394.363118379828</v>
      </c>
      <c r="AQ342" s="113">
        <f t="shared" si="135"/>
        <v>27394.363118379839</v>
      </c>
    </row>
    <row r="343" spans="2:44" s="116" customFormat="1" outlineLevel="1" x14ac:dyDescent="0.3">
      <c r="B343" s="655" t="s">
        <v>343</v>
      </c>
      <c r="C343" s="656"/>
      <c r="D343" s="379"/>
      <c r="E343" s="379"/>
      <c r="F343" s="379"/>
      <c r="G343" s="379"/>
      <c r="H343" s="380">
        <f>H323-(-H325)+((-H29)*(1-$C$384))</f>
        <v>1142</v>
      </c>
      <c r="I343" s="379"/>
      <c r="J343" s="379"/>
      <c r="K343" s="379"/>
      <c r="L343" s="379"/>
      <c r="M343" s="380">
        <f>M323-(-M325)+((-M29)*(1-$C$384))</f>
        <v>198</v>
      </c>
      <c r="N343" s="379"/>
      <c r="O343" s="379"/>
      <c r="P343" s="379"/>
      <c r="Q343" s="379"/>
      <c r="R343" s="380">
        <f>R323-(-R325)+((-R29)*(1-$C$384))</f>
        <v>-570.37421400000312</v>
      </c>
      <c r="S343" s="379"/>
      <c r="T343" s="379"/>
      <c r="U343" s="379"/>
      <c r="V343" s="379"/>
      <c r="W343" s="380">
        <f>W323-(-W325)+((-W29)*(1-$C$384))</f>
        <v>1885.0802105570287</v>
      </c>
      <c r="X343" s="379"/>
      <c r="Y343" s="379"/>
      <c r="Z343" s="379"/>
      <c r="AA343" s="379"/>
      <c r="AB343" s="380">
        <f>AB323-(-AB325)+((-AB29)*(1-$C$384))</f>
        <v>3726.3668742127056</v>
      </c>
      <c r="AC343" s="379"/>
      <c r="AD343" s="379"/>
      <c r="AE343" s="379"/>
      <c r="AF343" s="379"/>
      <c r="AG343" s="380">
        <f>AG323-(-AG325)+((-AG29)*(1-$C$384))</f>
        <v>4605.9642155004285</v>
      </c>
      <c r="AH343" s="379"/>
      <c r="AI343" s="379"/>
      <c r="AJ343" s="379"/>
      <c r="AK343" s="379"/>
      <c r="AL343" s="380">
        <f>AL323-(-AL325)+((-AL29)*(1-$C$384))</f>
        <v>4801.7436699236132</v>
      </c>
      <c r="AM343" s="379"/>
      <c r="AN343" s="379"/>
      <c r="AO343" s="379"/>
      <c r="AP343" s="379"/>
      <c r="AQ343" s="380">
        <f>AQ323-(-AQ325)+((-AQ29)*(1-$C$384))</f>
        <v>5048.3518461024269</v>
      </c>
      <c r="AR343" s="518"/>
    </row>
    <row r="344" spans="2:44" s="116" customFormat="1" outlineLevel="1" x14ac:dyDescent="0.3">
      <c r="B344" s="183" t="s">
        <v>61</v>
      </c>
      <c r="C344" s="133"/>
      <c r="D344" s="382"/>
      <c r="E344" s="382"/>
      <c r="F344" s="382"/>
      <c r="G344" s="382"/>
      <c r="H344" s="383">
        <v>0</v>
      </c>
      <c r="I344" s="382"/>
      <c r="J344" s="382"/>
      <c r="K344" s="382"/>
      <c r="L344" s="382"/>
      <c r="M344" s="383">
        <v>0</v>
      </c>
      <c r="N344" s="382"/>
      <c r="O344" s="382"/>
      <c r="P344" s="382"/>
      <c r="Q344" s="382"/>
      <c r="R344" s="383">
        <v>0</v>
      </c>
      <c r="S344" s="382"/>
      <c r="T344" s="382"/>
      <c r="U344" s="382"/>
      <c r="V344" s="382"/>
      <c r="W344" s="383">
        <f>R344+1</f>
        <v>1</v>
      </c>
      <c r="X344" s="382"/>
      <c r="Y344" s="382"/>
      <c r="Z344" s="382"/>
      <c r="AA344" s="382"/>
      <c r="AB344" s="383">
        <f>W344+1</f>
        <v>2</v>
      </c>
      <c r="AC344" s="382"/>
      <c r="AD344" s="382"/>
      <c r="AE344" s="382"/>
      <c r="AF344" s="382"/>
      <c r="AG344" s="383">
        <f>AB344+1</f>
        <v>3</v>
      </c>
      <c r="AH344" s="382"/>
      <c r="AI344" s="382"/>
      <c r="AJ344" s="382"/>
      <c r="AK344" s="382"/>
      <c r="AL344" s="383">
        <f>AG344+1</f>
        <v>4</v>
      </c>
      <c r="AM344" s="382"/>
      <c r="AN344" s="382"/>
      <c r="AO344" s="382"/>
      <c r="AP344" s="382"/>
      <c r="AQ344" s="383">
        <f>AL344+1</f>
        <v>5</v>
      </c>
    </row>
    <row r="345" spans="2:44" s="116" customFormat="1" outlineLevel="1" x14ac:dyDescent="0.3">
      <c r="B345" s="672" t="s">
        <v>31</v>
      </c>
      <c r="C345" s="673"/>
      <c r="D345" s="390"/>
      <c r="E345" s="390"/>
      <c r="F345" s="390"/>
      <c r="G345" s="390"/>
      <c r="H345" s="391">
        <f>H343/(1+$C$386)^H344</f>
        <v>1142</v>
      </c>
      <c r="I345" s="390"/>
      <c r="J345" s="390"/>
      <c r="K345" s="390"/>
      <c r="L345" s="390"/>
      <c r="M345" s="391">
        <f>M343/(1+$C$386)^M344</f>
        <v>198</v>
      </c>
      <c r="N345" s="390"/>
      <c r="O345" s="390"/>
      <c r="P345" s="390"/>
      <c r="Q345" s="390"/>
      <c r="R345" s="391">
        <f>R343/(1+$C$386)^R344</f>
        <v>-570.37421400000312</v>
      </c>
      <c r="S345" s="390"/>
      <c r="T345" s="390"/>
      <c r="U345" s="390"/>
      <c r="V345" s="390"/>
      <c r="W345" s="391">
        <f>W343/(1+$C$386)^W344</f>
        <v>1753.5160556436012</v>
      </c>
      <c r="X345" s="390"/>
      <c r="Y345" s="390"/>
      <c r="Z345" s="390"/>
      <c r="AA345" s="390"/>
      <c r="AB345" s="391">
        <f>AB343/(1+$C$386)^AB344</f>
        <v>3224.374185423706</v>
      </c>
      <c r="AC345" s="390"/>
      <c r="AD345" s="390"/>
      <c r="AE345" s="390"/>
      <c r="AF345" s="390"/>
      <c r="AG345" s="391">
        <f>AG343/(1+$C$386)^AG344</f>
        <v>3707.3219029514435</v>
      </c>
      <c r="AH345" s="390"/>
      <c r="AI345" s="390"/>
      <c r="AJ345" s="390"/>
      <c r="AK345" s="390"/>
      <c r="AL345" s="391">
        <f>AL343/(1+$C$386)^AL344</f>
        <v>3595.1633061323623</v>
      </c>
      <c r="AM345" s="390"/>
      <c r="AN345" s="390"/>
      <c r="AO345" s="390"/>
      <c r="AP345" s="390"/>
      <c r="AQ345" s="391">
        <f>AQ343/(1+$C$386)^AQ344</f>
        <v>3516.0025227307192</v>
      </c>
    </row>
    <row r="346" spans="2:44" outlineLevel="1" x14ac:dyDescent="0.3">
      <c r="B346" s="262" t="s">
        <v>82</v>
      </c>
      <c r="C346" s="319"/>
      <c r="D346" s="283"/>
      <c r="E346" s="78"/>
      <c r="F346" s="78"/>
      <c r="G346" s="78"/>
      <c r="H346" s="79"/>
      <c r="I346" s="78"/>
      <c r="J346" s="78"/>
      <c r="K346" s="78"/>
      <c r="L346" s="78"/>
      <c r="M346" s="79"/>
      <c r="N346" s="78"/>
      <c r="O346" s="78"/>
      <c r="P346" s="78"/>
      <c r="Q346" s="78"/>
      <c r="R346" s="79"/>
      <c r="S346" s="78"/>
      <c r="T346" s="78"/>
      <c r="U346" s="78"/>
      <c r="V346" s="78"/>
      <c r="W346" s="79"/>
      <c r="X346" s="78"/>
      <c r="Y346" s="78"/>
      <c r="Z346" s="78"/>
      <c r="AA346" s="78"/>
      <c r="AB346" s="79"/>
      <c r="AC346" s="78"/>
      <c r="AD346" s="78"/>
      <c r="AE346" s="78"/>
      <c r="AF346" s="78"/>
      <c r="AG346" s="79"/>
      <c r="AH346" s="78"/>
      <c r="AI346" s="78"/>
      <c r="AJ346" s="78"/>
      <c r="AK346" s="78"/>
      <c r="AL346" s="79"/>
      <c r="AM346" s="78"/>
      <c r="AN346" s="78"/>
      <c r="AO346" s="78"/>
      <c r="AP346" s="78"/>
      <c r="AQ346" s="79"/>
    </row>
    <row r="347" spans="2:44" outlineLevel="1" x14ac:dyDescent="0.3">
      <c r="B347" s="291" t="s">
        <v>345</v>
      </c>
      <c r="C347" s="292"/>
      <c r="D347" s="98">
        <f t="shared" ref="D347:AQ347" si="136">+D247</f>
        <v>3543</v>
      </c>
      <c r="E347" s="98">
        <f t="shared" si="136"/>
        <v>3647</v>
      </c>
      <c r="F347" s="98">
        <f t="shared" si="136"/>
        <v>2841</v>
      </c>
      <c r="G347" s="98">
        <f t="shared" si="136"/>
        <v>3534</v>
      </c>
      <c r="H347" s="99">
        <f t="shared" si="136"/>
        <v>3534</v>
      </c>
      <c r="I347" s="98">
        <f t="shared" si="136"/>
        <v>2989</v>
      </c>
      <c r="J347" s="98">
        <f t="shared" si="136"/>
        <v>3059</v>
      </c>
      <c r="K347" s="98">
        <f t="shared" si="136"/>
        <v>3173</v>
      </c>
      <c r="L347" s="98">
        <f t="shared" si="136"/>
        <v>3969</v>
      </c>
      <c r="M347" s="99">
        <f t="shared" si="136"/>
        <v>3969</v>
      </c>
      <c r="N347" s="98">
        <f t="shared" si="136"/>
        <v>3503</v>
      </c>
      <c r="O347" s="98">
        <f t="shared" si="136"/>
        <v>2768</v>
      </c>
      <c r="P347" s="98">
        <f t="shared" si="136"/>
        <v>2789</v>
      </c>
      <c r="Q347" s="98">
        <f t="shared" si="136"/>
        <v>3265.1257859999969</v>
      </c>
      <c r="R347" s="99">
        <f t="shared" si="136"/>
        <v>3265.1257859999969</v>
      </c>
      <c r="S347" s="98">
        <f t="shared" si="136"/>
        <v>2369.1257859999969</v>
      </c>
      <c r="T347" s="98">
        <f t="shared" si="136"/>
        <v>2864.789508197206</v>
      </c>
      <c r="U347" s="98">
        <f t="shared" si="136"/>
        <v>2880.8194882034686</v>
      </c>
      <c r="V347" s="98">
        <f t="shared" si="136"/>
        <v>5512.5847459608758</v>
      </c>
      <c r="W347" s="99">
        <f t="shared" si="136"/>
        <v>5512.5847459608758</v>
      </c>
      <c r="X347" s="98">
        <f t="shared" si="136"/>
        <v>6123.2540547137687</v>
      </c>
      <c r="Y347" s="98">
        <f t="shared" si="136"/>
        <v>6834.3655414252325</v>
      </c>
      <c r="Z347" s="98">
        <f t="shared" si="136"/>
        <v>7390.5968836984293</v>
      </c>
      <c r="AA347" s="98">
        <f t="shared" si="136"/>
        <v>10085.488908714951</v>
      </c>
      <c r="AB347" s="99">
        <f t="shared" si="136"/>
        <v>10085.488908714951</v>
      </c>
      <c r="AC347" s="98">
        <f t="shared" si="136"/>
        <v>10989.711012741633</v>
      </c>
      <c r="AD347" s="98">
        <f t="shared" si="136"/>
        <v>12090.8593744149</v>
      </c>
      <c r="AE347" s="98">
        <f t="shared" si="136"/>
        <v>12758.056566279063</v>
      </c>
      <c r="AF347" s="98">
        <f t="shared" si="136"/>
        <v>15891.343694606048</v>
      </c>
      <c r="AG347" s="99">
        <f t="shared" si="136"/>
        <v>15891.343694606048</v>
      </c>
      <c r="AH347" s="98">
        <f t="shared" si="136"/>
        <v>16734.855842331715</v>
      </c>
      <c r="AI347" s="98">
        <f t="shared" si="136"/>
        <v>17701.820034476357</v>
      </c>
      <c r="AJ347" s="98">
        <f t="shared" si="136"/>
        <v>18254.884702327174</v>
      </c>
      <c r="AK347" s="98">
        <f t="shared" si="136"/>
        <v>21439.740585205414</v>
      </c>
      <c r="AL347" s="99">
        <f t="shared" si="136"/>
        <v>21439.740585205414</v>
      </c>
      <c r="AM347" s="98">
        <f t="shared" si="136"/>
        <v>22368.687455035015</v>
      </c>
      <c r="AN347" s="98">
        <f t="shared" si="136"/>
        <v>23431.784727158469</v>
      </c>
      <c r="AO347" s="98">
        <f t="shared" si="136"/>
        <v>24003.954348788797</v>
      </c>
      <c r="AP347" s="98">
        <f t="shared" si="136"/>
        <v>27394.363118379828</v>
      </c>
      <c r="AQ347" s="99">
        <f t="shared" si="136"/>
        <v>27394.363118379828</v>
      </c>
    </row>
    <row r="348" spans="2:44" outlineLevel="1" x14ac:dyDescent="0.3">
      <c r="B348" s="291" t="s">
        <v>344</v>
      </c>
      <c r="C348" s="292"/>
      <c r="D348" s="98">
        <f t="shared" ref="D348:AQ348" si="137">-D260-D261-D266</f>
        <v>-7258</v>
      </c>
      <c r="E348" s="98">
        <f t="shared" si="137"/>
        <v>-8495</v>
      </c>
      <c r="F348" s="98">
        <f t="shared" si="137"/>
        <v>-8488</v>
      </c>
      <c r="G348" s="98">
        <f t="shared" si="137"/>
        <v>-13762</v>
      </c>
      <c r="H348" s="99">
        <f t="shared" si="137"/>
        <v>-13762</v>
      </c>
      <c r="I348" s="98">
        <f t="shared" si="137"/>
        <v>-13782</v>
      </c>
      <c r="J348" s="98">
        <f t="shared" si="137"/>
        <v>-13596</v>
      </c>
      <c r="K348" s="98">
        <f t="shared" si="137"/>
        <v>-14758</v>
      </c>
      <c r="L348" s="98">
        <f t="shared" si="137"/>
        <v>-14931</v>
      </c>
      <c r="M348" s="99">
        <f t="shared" si="137"/>
        <v>-14931</v>
      </c>
      <c r="N348" s="98">
        <f t="shared" si="137"/>
        <v>-15156</v>
      </c>
      <c r="O348" s="98">
        <f t="shared" si="137"/>
        <v>-15441</v>
      </c>
      <c r="P348" s="98">
        <f t="shared" si="137"/>
        <v>-17580</v>
      </c>
      <c r="Q348" s="98">
        <f t="shared" si="137"/>
        <v>-16585</v>
      </c>
      <c r="R348" s="99">
        <f t="shared" si="137"/>
        <v>-16585</v>
      </c>
      <c r="S348" s="98">
        <f>-S260-S261-S266</f>
        <v>-16944</v>
      </c>
      <c r="T348" s="98">
        <f t="shared" si="137"/>
        <v>-17510.194093464012</v>
      </c>
      <c r="U348" s="98">
        <f t="shared" si="137"/>
        <v>-18041.658222236492</v>
      </c>
      <c r="V348" s="98">
        <f t="shared" si="137"/>
        <v>-19343.773002408088</v>
      </c>
      <c r="W348" s="99">
        <f t="shared" si="137"/>
        <v>-19343.773002408088</v>
      </c>
      <c r="X348" s="98">
        <f t="shared" si="137"/>
        <v>-19945.268361404749</v>
      </c>
      <c r="Y348" s="98">
        <f t="shared" si="137"/>
        <v>-20648.969254692944</v>
      </c>
      <c r="Z348" s="98">
        <f t="shared" si="137"/>
        <v>-21288.560449187327</v>
      </c>
      <c r="AA348" s="98">
        <f t="shared" si="137"/>
        <v>-22631.569352471575</v>
      </c>
      <c r="AB348" s="99">
        <f t="shared" si="137"/>
        <v>-22631.569352471575</v>
      </c>
      <c r="AC348" s="98">
        <f t="shared" si="137"/>
        <v>-23436.968812409781</v>
      </c>
      <c r="AD348" s="98">
        <f t="shared" si="137"/>
        <v>-24273.178958422639</v>
      </c>
      <c r="AE348" s="98">
        <f t="shared" si="137"/>
        <v>-25051.545293307106</v>
      </c>
      <c r="AF348" s="98">
        <f t="shared" si="137"/>
        <v>-26544.810142593851</v>
      </c>
      <c r="AG348" s="99">
        <f t="shared" si="137"/>
        <v>-26544.810142593851</v>
      </c>
      <c r="AH348" s="98">
        <f t="shared" si="137"/>
        <v>-27211.774380536754</v>
      </c>
      <c r="AI348" s="98">
        <f t="shared" si="137"/>
        <v>-27886.432852129648</v>
      </c>
      <c r="AJ348" s="98">
        <f t="shared" si="137"/>
        <v>-28517.135699509687</v>
      </c>
      <c r="AK348" s="98">
        <f t="shared" si="137"/>
        <v>-29894.254410779777</v>
      </c>
      <c r="AL348" s="99">
        <f t="shared" si="137"/>
        <v>-29894.254410779777</v>
      </c>
      <c r="AM348" s="98">
        <f t="shared" si="137"/>
        <v>-30567.934433553011</v>
      </c>
      <c r="AN348" s="98">
        <f t="shared" si="137"/>
        <v>-31233.836376570158</v>
      </c>
      <c r="AO348" s="98">
        <f t="shared" si="137"/>
        <v>-31863.043592817165</v>
      </c>
      <c r="AP348" s="98">
        <f t="shared" si="137"/>
        <v>-33248.251996481653</v>
      </c>
      <c r="AQ348" s="99">
        <f t="shared" si="137"/>
        <v>-33248.251996481653</v>
      </c>
    </row>
    <row r="349" spans="2:44" outlineLevel="1" x14ac:dyDescent="0.3">
      <c r="B349" s="676" t="s">
        <v>346</v>
      </c>
      <c r="C349" s="677"/>
      <c r="D349" s="284">
        <f t="shared" ref="D349:AQ349" si="138">(D347+D348)/D42</f>
        <v>-12.98951048951049</v>
      </c>
      <c r="E349" s="284">
        <f t="shared" si="138"/>
        <v>-17.130742049469966</v>
      </c>
      <c r="F349" s="284">
        <f t="shared" si="138"/>
        <v>-20.534545454545455</v>
      </c>
      <c r="G349" s="284">
        <f t="shared" si="138"/>
        <v>-38.022304832713758</v>
      </c>
      <c r="H349" s="285">
        <f t="shared" si="138"/>
        <v>-36.584177015744814</v>
      </c>
      <c r="I349" s="284">
        <f t="shared" si="138"/>
        <v>-40.063103192279144</v>
      </c>
      <c r="J349" s="284">
        <f t="shared" si="138"/>
        <v>-39.025925925925925</v>
      </c>
      <c r="K349" s="284">
        <f t="shared" si="138"/>
        <v>-42.749077490774908</v>
      </c>
      <c r="L349" s="284">
        <f t="shared" si="138"/>
        <v>-40.34596981965403</v>
      </c>
      <c r="M349" s="285">
        <f t="shared" si="138"/>
        <v>-40.489474677232423</v>
      </c>
      <c r="N349" s="284">
        <f t="shared" si="138"/>
        <v>-42.841911764705884</v>
      </c>
      <c r="O349" s="284">
        <f t="shared" si="138"/>
        <v>-46.43939878690918</v>
      </c>
      <c r="P349" s="284">
        <f t="shared" si="138"/>
        <v>-54.179487179487182</v>
      </c>
      <c r="Q349" s="284">
        <f t="shared" si="138"/>
        <v>-49.078386934414162</v>
      </c>
      <c r="R349" s="285">
        <f t="shared" si="138"/>
        <v>-48.916174124127807</v>
      </c>
      <c r="S349" s="284">
        <f t="shared" si="138"/>
        <v>-54.141434673105515</v>
      </c>
      <c r="T349" s="284">
        <f t="shared" si="138"/>
        <v>-54.273162253792627</v>
      </c>
      <c r="U349" s="284">
        <f t="shared" si="138"/>
        <v>-56.119917624908489</v>
      </c>
      <c r="V349" s="284">
        <f t="shared" si="138"/>
        <v>-51.068220743913635</v>
      </c>
      <c r="W349" s="285">
        <f t="shared" si="138"/>
        <v>-51.194481469999673</v>
      </c>
      <c r="X349" s="284">
        <f t="shared" si="138"/>
        <v>-51.060145873680007</v>
      </c>
      <c r="Y349" s="284">
        <f t="shared" si="138"/>
        <v>-50.961502946446636</v>
      </c>
      <c r="Z349" s="284">
        <f t="shared" si="138"/>
        <v>-51.210231189938163</v>
      </c>
      <c r="AA349" s="284">
        <f t="shared" si="138"/>
        <v>-46.175689550083995</v>
      </c>
      <c r="AB349" s="285">
        <f t="shared" si="138"/>
        <v>-46.246975071624874</v>
      </c>
      <c r="AC349" s="284">
        <f t="shared" si="138"/>
        <v>-45.775023421306315</v>
      </c>
      <c r="AD349" s="284">
        <f t="shared" si="138"/>
        <v>-44.749945797181503</v>
      </c>
      <c r="AE349" s="284">
        <f t="shared" si="138"/>
        <v>-45.110111872216194</v>
      </c>
      <c r="AF349" s="284">
        <f t="shared" si="138"/>
        <v>-39.05120890370992</v>
      </c>
      <c r="AG349" s="285">
        <f t="shared" si="138"/>
        <v>-39.106379641617373</v>
      </c>
      <c r="AH349" s="284">
        <f t="shared" si="138"/>
        <v>-38.320766590067102</v>
      </c>
      <c r="AI349" s="284">
        <f t="shared" si="138"/>
        <v>-37.158154153010969</v>
      </c>
      <c r="AJ349" s="284">
        <f t="shared" si="138"/>
        <v>-37.334649558175741</v>
      </c>
      <c r="AK349" s="284">
        <f t="shared" si="138"/>
        <v>-30.656688723469681</v>
      </c>
      <c r="AL349" s="285">
        <f t="shared" si="138"/>
        <v>-30.778376213056081</v>
      </c>
      <c r="AM349" s="284">
        <f t="shared" si="138"/>
        <v>-29.616662400602355</v>
      </c>
      <c r="AN349" s="284">
        <f t="shared" si="138"/>
        <v>-28.065169724675872</v>
      </c>
      <c r="AO349" s="284">
        <f t="shared" si="138"/>
        <v>-28.153241323934626</v>
      </c>
      <c r="AP349" s="284">
        <f t="shared" si="138"/>
        <v>-20.883234086775573</v>
      </c>
      <c r="AQ349" s="285">
        <f t="shared" si="138"/>
        <v>-20.996896208441594</v>
      </c>
    </row>
    <row r="350" spans="2:44" x14ac:dyDescent="0.3">
      <c r="B350" s="671"/>
      <c r="C350" s="671"/>
      <c r="D350" s="87"/>
      <c r="E350" s="86"/>
      <c r="F350" s="86"/>
      <c r="G350" s="87"/>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row>
    <row r="351" spans="2:44" ht="15.6" x14ac:dyDescent="0.3">
      <c r="B351" s="630" t="s">
        <v>27</v>
      </c>
      <c r="C351" s="638"/>
      <c r="D351" s="95" t="s">
        <v>121</v>
      </c>
      <c r="E351" s="95" t="s">
        <v>122</v>
      </c>
      <c r="F351" s="95" t="s">
        <v>123</v>
      </c>
      <c r="G351" s="95" t="s">
        <v>124</v>
      </c>
      <c r="H351" s="408" t="s">
        <v>124</v>
      </c>
      <c r="I351" s="95" t="s">
        <v>125</v>
      </c>
      <c r="J351" s="95" t="s">
        <v>126</v>
      </c>
      <c r="K351" s="95" t="s">
        <v>127</v>
      </c>
      <c r="L351" s="95" t="s">
        <v>128</v>
      </c>
      <c r="M351" s="408" t="s">
        <v>128</v>
      </c>
      <c r="N351" s="95" t="s">
        <v>129</v>
      </c>
      <c r="O351" s="95" t="s">
        <v>130</v>
      </c>
      <c r="P351" s="95" t="s">
        <v>131</v>
      </c>
      <c r="Q351" s="95" t="s">
        <v>132</v>
      </c>
      <c r="R351" s="408" t="s">
        <v>132</v>
      </c>
      <c r="S351" s="95" t="s">
        <v>133</v>
      </c>
      <c r="T351" s="97" t="s">
        <v>134</v>
      </c>
      <c r="U351" s="97" t="s">
        <v>135</v>
      </c>
      <c r="V351" s="97" t="s">
        <v>136</v>
      </c>
      <c r="W351" s="412" t="s">
        <v>136</v>
      </c>
      <c r="X351" s="97" t="s">
        <v>137</v>
      </c>
      <c r="Y351" s="97" t="s">
        <v>138</v>
      </c>
      <c r="Z351" s="97" t="s">
        <v>139</v>
      </c>
      <c r="AA351" s="97" t="s">
        <v>140</v>
      </c>
      <c r="AB351" s="412" t="s">
        <v>140</v>
      </c>
      <c r="AC351" s="97" t="s">
        <v>141</v>
      </c>
      <c r="AD351" s="97" t="s">
        <v>142</v>
      </c>
      <c r="AE351" s="97" t="s">
        <v>143</v>
      </c>
      <c r="AF351" s="97" t="s">
        <v>144</v>
      </c>
      <c r="AG351" s="412" t="s">
        <v>144</v>
      </c>
      <c r="AH351" s="97" t="s">
        <v>145</v>
      </c>
      <c r="AI351" s="97" t="s">
        <v>146</v>
      </c>
      <c r="AJ351" s="97" t="s">
        <v>147</v>
      </c>
      <c r="AK351" s="97" t="s">
        <v>148</v>
      </c>
      <c r="AL351" s="412" t="s">
        <v>148</v>
      </c>
      <c r="AM351" s="97" t="s">
        <v>149</v>
      </c>
      <c r="AN351" s="97" t="s">
        <v>150</v>
      </c>
      <c r="AO351" s="97" t="s">
        <v>151</v>
      </c>
      <c r="AP351" s="97" t="s">
        <v>152</v>
      </c>
      <c r="AQ351" s="412" t="s">
        <v>152</v>
      </c>
    </row>
    <row r="352" spans="2:44" ht="16.2" x14ac:dyDescent="0.45">
      <c r="B352" s="651"/>
      <c r="C352" s="652"/>
      <c r="D352" s="96" t="s">
        <v>71</v>
      </c>
      <c r="E352" s="96" t="s">
        <v>74</v>
      </c>
      <c r="F352" s="96" t="s">
        <v>75</v>
      </c>
      <c r="G352" s="96" t="s">
        <v>79</v>
      </c>
      <c r="H352" s="409" t="s">
        <v>80</v>
      </c>
      <c r="I352" s="96" t="s">
        <v>81</v>
      </c>
      <c r="J352" s="96" t="s">
        <v>92</v>
      </c>
      <c r="K352" s="96" t="s">
        <v>110</v>
      </c>
      <c r="L352" s="96" t="s">
        <v>114</v>
      </c>
      <c r="M352" s="409" t="s">
        <v>115</v>
      </c>
      <c r="N352" s="96" t="s">
        <v>116</v>
      </c>
      <c r="O352" s="96" t="s">
        <v>117</v>
      </c>
      <c r="P352" s="96" t="s">
        <v>118</v>
      </c>
      <c r="Q352" s="96" t="s">
        <v>119</v>
      </c>
      <c r="R352" s="409" t="s">
        <v>120</v>
      </c>
      <c r="S352" s="96" t="s">
        <v>518</v>
      </c>
      <c r="T352" s="94" t="s">
        <v>378</v>
      </c>
      <c r="U352" s="94" t="s">
        <v>379</v>
      </c>
      <c r="V352" s="94" t="s">
        <v>380</v>
      </c>
      <c r="W352" s="413" t="s">
        <v>381</v>
      </c>
      <c r="X352" s="94" t="s">
        <v>382</v>
      </c>
      <c r="Y352" s="94" t="s">
        <v>383</v>
      </c>
      <c r="Z352" s="94" t="s">
        <v>384</v>
      </c>
      <c r="AA352" s="94" t="s">
        <v>385</v>
      </c>
      <c r="AB352" s="413" t="s">
        <v>386</v>
      </c>
      <c r="AC352" s="94" t="s">
        <v>387</v>
      </c>
      <c r="AD352" s="94" t="s">
        <v>388</v>
      </c>
      <c r="AE352" s="94" t="s">
        <v>389</v>
      </c>
      <c r="AF352" s="94" t="s">
        <v>390</v>
      </c>
      <c r="AG352" s="413" t="s">
        <v>391</v>
      </c>
      <c r="AH352" s="94" t="s">
        <v>392</v>
      </c>
      <c r="AI352" s="94" t="s">
        <v>393</v>
      </c>
      <c r="AJ352" s="94" t="s">
        <v>394</v>
      </c>
      <c r="AK352" s="94" t="s">
        <v>395</v>
      </c>
      <c r="AL352" s="413" t="s">
        <v>396</v>
      </c>
      <c r="AM352" s="94" t="s">
        <v>397</v>
      </c>
      <c r="AN352" s="94" t="s">
        <v>398</v>
      </c>
      <c r="AO352" s="94" t="s">
        <v>399</v>
      </c>
      <c r="AP352" s="94" t="s">
        <v>400</v>
      </c>
      <c r="AQ352" s="413" t="s">
        <v>401</v>
      </c>
    </row>
    <row r="353" spans="2:43" ht="16.2" outlineLevel="1" x14ac:dyDescent="0.45">
      <c r="B353" s="643" t="s">
        <v>403</v>
      </c>
      <c r="C353" s="644"/>
      <c r="D353" s="52"/>
      <c r="E353" s="51"/>
      <c r="F353" s="51"/>
      <c r="G353" s="51"/>
      <c r="H353" s="53"/>
      <c r="I353" s="51"/>
      <c r="J353" s="51"/>
      <c r="K353" s="51"/>
      <c r="L353" s="51"/>
      <c r="M353" s="53"/>
      <c r="N353" s="51"/>
      <c r="O353" s="51"/>
      <c r="P353" s="51"/>
      <c r="Q353" s="51"/>
      <c r="R353" s="53"/>
      <c r="S353" s="51"/>
      <c r="T353" s="51"/>
      <c r="U353" s="51"/>
      <c r="V353" s="51"/>
      <c r="W353" s="53"/>
      <c r="X353" s="51"/>
      <c r="Y353" s="51"/>
      <c r="Z353" s="51"/>
      <c r="AA353" s="51"/>
      <c r="AB353" s="53"/>
      <c r="AC353" s="51"/>
      <c r="AD353" s="51"/>
      <c r="AE353" s="51"/>
      <c r="AF353" s="51"/>
      <c r="AG353" s="53"/>
      <c r="AH353" s="51"/>
      <c r="AI353" s="51"/>
      <c r="AJ353" s="51"/>
      <c r="AK353" s="51"/>
      <c r="AL353" s="53"/>
      <c r="AM353" s="51"/>
      <c r="AN353" s="51"/>
      <c r="AO353" s="51"/>
      <c r="AP353" s="51"/>
      <c r="AQ353" s="53"/>
    </row>
    <row r="354" spans="2:43" outlineLevel="1" x14ac:dyDescent="0.3">
      <c r="B354" s="296" t="s">
        <v>402</v>
      </c>
      <c r="C354" s="290"/>
      <c r="D354" s="171">
        <f>D311/(D248+D311)</f>
        <v>4.9601417183348095E-3</v>
      </c>
      <c r="E354" s="171">
        <f>E311/(E248+E311)</f>
        <v>4.9202578893790296E-3</v>
      </c>
      <c r="F354" s="171">
        <f>F311/(F248+F311)</f>
        <v>5.8231868713605082E-3</v>
      </c>
      <c r="G354" s="171">
        <f>G311/(G248+G311)</f>
        <v>4.2564877111080602E-3</v>
      </c>
      <c r="H354" s="312"/>
      <c r="I354" s="171">
        <f>I311/(I248+I311)</f>
        <v>5.3630363036303629E-3</v>
      </c>
      <c r="J354" s="171">
        <f>J311/(J248+J311)</f>
        <v>4.8607461902259591E-3</v>
      </c>
      <c r="K354" s="171">
        <f>K311/(K248+K311)</f>
        <v>5.229985248759555E-3</v>
      </c>
      <c r="L354" s="171">
        <f>L311/(L248+L311)</f>
        <v>2.7559055118110236E-3</v>
      </c>
      <c r="M354" s="312"/>
      <c r="N354" s="171">
        <f>N311/(N248+N311)</f>
        <v>7.4386312918423014E-3</v>
      </c>
      <c r="O354" s="171">
        <f>O311/(O248+O311)</f>
        <v>6.4286534267018712E-3</v>
      </c>
      <c r="P354" s="171">
        <f>P311/(P248+P311)</f>
        <v>6.9857993586807145E-3</v>
      </c>
      <c r="Q354" s="171">
        <f>Q311/(Q248+Q311)</f>
        <v>8.0316610406239095E-3</v>
      </c>
      <c r="R354" s="312"/>
      <c r="S354" s="171">
        <f>S311/(S248+S311)</f>
        <v>9.3203000681973177E-3</v>
      </c>
      <c r="T354" s="251">
        <f>AVERAGE(S354,Q354,P354,O354)</f>
        <v>7.6916034735509536E-3</v>
      </c>
      <c r="U354" s="251">
        <f>AVERAGE(T354,S354,Q354,P354)</f>
        <v>8.0073409852632234E-3</v>
      </c>
      <c r="V354" s="251">
        <f>AVERAGE(U354,T354,S354,Q354)</f>
        <v>8.2627263919088506E-3</v>
      </c>
      <c r="W354" s="81"/>
      <c r="X354" s="251">
        <f>AVERAGE(V354,U354,T354,S354)</f>
        <v>8.3204927297300859E-3</v>
      </c>
      <c r="Y354" s="251">
        <f>AVERAGE(X354,V354,U354,T354)</f>
        <v>8.0705408951132797E-3</v>
      </c>
      <c r="Z354" s="251">
        <f>AVERAGE(Y354,X354,V354,U354)</f>
        <v>8.1652752505038603E-3</v>
      </c>
      <c r="AA354" s="251">
        <f>AVERAGE(Z354,Y354,X354,V354)</f>
        <v>8.2047588168140187E-3</v>
      </c>
      <c r="AB354" s="81"/>
      <c r="AC354" s="251">
        <f>AVERAGE(AA354,Z354,Y354,X354)</f>
        <v>8.1902669230403107E-3</v>
      </c>
      <c r="AD354" s="251">
        <f>AVERAGE(AC354,AA354,Z354,Y354)</f>
        <v>8.1577104713678669E-3</v>
      </c>
      <c r="AE354" s="251">
        <f>AVERAGE(AD354,AC354,AA354,Z354)</f>
        <v>8.1795028654315146E-3</v>
      </c>
      <c r="AF354" s="251">
        <f>AVERAGE(AE354,AD354,AC354,AA354)</f>
        <v>8.1830597691634286E-3</v>
      </c>
      <c r="AG354" s="81"/>
      <c r="AH354" s="251">
        <f>AVERAGE(AF354,AE354,AD354,AC354)</f>
        <v>8.1776350072507806E-3</v>
      </c>
      <c r="AI354" s="251">
        <f>AVERAGE(AH354,AF354,AE354,AD354)</f>
        <v>8.1744770283033973E-3</v>
      </c>
      <c r="AJ354" s="251">
        <f>AVERAGE(AI354,AH354,AF354,AE354)</f>
        <v>8.1786686675372807E-3</v>
      </c>
      <c r="AK354" s="251">
        <f>AVERAGE(AJ354,AI354,AH354,AF354)</f>
        <v>8.1784601180637205E-3</v>
      </c>
      <c r="AL354" s="81"/>
      <c r="AM354" s="251">
        <f>AVERAGE(AK354,AJ354,AI354,AH354)</f>
        <v>8.1773102052887948E-3</v>
      </c>
      <c r="AN354" s="251">
        <f>AVERAGE(AM354,AK354,AJ354,AI354)</f>
        <v>8.1772290047982983E-3</v>
      </c>
      <c r="AO354" s="251">
        <f>AVERAGE(AN354,AM354,AK354,AJ354)</f>
        <v>8.1779169989220236E-3</v>
      </c>
      <c r="AP354" s="251">
        <f>AVERAGE(AO354,AN354,AM354,AK354)</f>
        <v>8.1777290817682084E-3</v>
      </c>
      <c r="AQ354" s="81"/>
    </row>
    <row r="355" spans="2:43" s="116" customFormat="1" outlineLevel="1" x14ac:dyDescent="0.3">
      <c r="B355" s="291" t="s">
        <v>508</v>
      </c>
      <c r="C355" s="292"/>
      <c r="D355" s="171">
        <f>D312/D13</f>
        <v>4.3163124032901705E-3</v>
      </c>
      <c r="E355" s="171">
        <f>E312/E13</f>
        <v>2.6499638641291254E-3</v>
      </c>
      <c r="F355" s="171">
        <f>F312/F13</f>
        <v>2.2917654496601866E-3</v>
      </c>
      <c r="G355" s="171">
        <f>G312/G13</f>
        <v>2.2343786116033591E-3</v>
      </c>
      <c r="H355" s="312"/>
      <c r="I355" s="171">
        <f>I312/I13</f>
        <v>3.8873354702311943E-3</v>
      </c>
      <c r="J355" s="171">
        <f>J312/J13</f>
        <v>2.4110910186859553E-3</v>
      </c>
      <c r="K355" s="171">
        <f>K312/K13</f>
        <v>2.0004000800160032E-3</v>
      </c>
      <c r="L355" s="171">
        <f>L312/L13</f>
        <v>1.9710071210579856E-3</v>
      </c>
      <c r="M355" s="312"/>
      <c r="N355" s="171">
        <f>N312/N13</f>
        <v>4.0530823037196835E-3</v>
      </c>
      <c r="O355" s="171">
        <f>O312/O13</f>
        <v>2.5133329246613129E-3</v>
      </c>
      <c r="P355" s="171">
        <f>P312/P13</f>
        <v>1.9363427326636814E-3</v>
      </c>
      <c r="Q355" s="171">
        <f>Q312/Q13</f>
        <v>1.848201889920127E-3</v>
      </c>
      <c r="R355" s="312"/>
      <c r="S355" s="171">
        <f>S312/S13</f>
        <v>3.9878020173586678E-3</v>
      </c>
      <c r="T355" s="251">
        <f>AVERAGE(S355,Q355,P355,O355)</f>
        <v>2.5714198911509474E-3</v>
      </c>
      <c r="U355" s="251">
        <f>AVERAGE(T355,S355,Q355,P355)</f>
        <v>2.5859416327733563E-3</v>
      </c>
      <c r="V355" s="251">
        <f>AVERAGE(U355,T355,S355,Q355)</f>
        <v>2.7483413578007748E-3</v>
      </c>
      <c r="W355" s="312"/>
      <c r="X355" s="251">
        <f>AVERAGE(V355,U355,T355,S355)</f>
        <v>2.9733762247709369E-3</v>
      </c>
      <c r="Y355" s="251">
        <f>AVERAGE(X355,V355,U355,T355)</f>
        <v>2.7197697766240042E-3</v>
      </c>
      <c r="Z355" s="251">
        <f>AVERAGE(Y355,X355,V355,U355)</f>
        <v>2.7568572479922679E-3</v>
      </c>
      <c r="AA355" s="251">
        <f>AVERAGE(Z355,Y355,X355,V355)</f>
        <v>2.7995861517969962E-3</v>
      </c>
      <c r="AB355" s="312"/>
      <c r="AC355" s="251">
        <f>AVERAGE(AA355,Z355,Y355,X355)</f>
        <v>2.8123973502960512E-3</v>
      </c>
      <c r="AD355" s="251">
        <f>AVERAGE(AC355,AA355,Z355,Y355)</f>
        <v>2.7721526316773302E-3</v>
      </c>
      <c r="AE355" s="251">
        <f>AVERAGE(AD355,AC355,AA355,Z355)</f>
        <v>2.785248345440661E-3</v>
      </c>
      <c r="AF355" s="251">
        <f>AVERAGE(AE355,AD355,AC355,AA355)</f>
        <v>2.7923461198027595E-3</v>
      </c>
      <c r="AG355" s="312"/>
      <c r="AH355" s="251">
        <f>AVERAGE(AF355,AE355,AD355,AC355)</f>
        <v>2.7905361118042002E-3</v>
      </c>
      <c r="AI355" s="251">
        <f>AVERAGE(AH355,AF355,AE355,AD355)</f>
        <v>2.7850708021812378E-3</v>
      </c>
      <c r="AJ355" s="251">
        <f>AVERAGE(AI355,AH355,AF355,AE355)</f>
        <v>2.7883003448072145E-3</v>
      </c>
      <c r="AK355" s="251">
        <f>AVERAGE(AJ355,AI355,AH355,AF355)</f>
        <v>2.7890633446488529E-3</v>
      </c>
      <c r="AL355" s="312"/>
      <c r="AM355" s="251">
        <f>AVERAGE(AK355,AJ355,AI355,AH355)</f>
        <v>2.7882426508603767E-3</v>
      </c>
      <c r="AN355" s="251">
        <f>AVERAGE(AM355,AK355,AJ355,AI355)</f>
        <v>2.7876692856244204E-3</v>
      </c>
      <c r="AO355" s="251">
        <f>AVERAGE(AN355,AM355,AK355,AJ355)</f>
        <v>2.788318906485216E-3</v>
      </c>
      <c r="AP355" s="251">
        <f>AVERAGE(AO355,AN355,AM355,AK355)</f>
        <v>2.7883235469047165E-3</v>
      </c>
      <c r="AQ355" s="312"/>
    </row>
    <row r="356" spans="2:43" s="235" customFormat="1" outlineLevel="1" x14ac:dyDescent="0.3">
      <c r="B356" s="645" t="s">
        <v>91</v>
      </c>
      <c r="C356" s="646"/>
      <c r="D356" s="192"/>
      <c r="E356" s="192"/>
      <c r="F356" s="192"/>
      <c r="G356" s="192"/>
      <c r="H356" s="248"/>
      <c r="I356" s="192">
        <f t="shared" ref="I356:AQ356" si="139">I323/D323-1</f>
        <v>-0.217566478646253</v>
      </c>
      <c r="J356" s="192">
        <f t="shared" si="139"/>
        <v>0.37180544105523494</v>
      </c>
      <c r="K356" s="192">
        <f t="shared" si="139"/>
        <v>-0.99254843517138602</v>
      </c>
      <c r="L356" s="192">
        <f t="shared" si="139"/>
        <v>0.19508368200836812</v>
      </c>
      <c r="M356" s="248">
        <f t="shared" si="139"/>
        <v>-0.13629992992291518</v>
      </c>
      <c r="N356" s="192">
        <f t="shared" si="139"/>
        <v>-0.39237899073120497</v>
      </c>
      <c r="O356" s="192">
        <f t="shared" si="139"/>
        <v>-0.45432692307692313</v>
      </c>
      <c r="P356" s="192">
        <f t="shared" si="139"/>
        <v>-34.6</v>
      </c>
      <c r="Q356" s="192">
        <f t="shared" si="139"/>
        <v>0.53703535492341214</v>
      </c>
      <c r="R356" s="248">
        <f t="shared" si="139"/>
        <v>-5.1901463286004645E-2</v>
      </c>
      <c r="S356" s="192">
        <f t="shared" si="139"/>
        <v>0.18813559322033901</v>
      </c>
      <c r="T356" s="192">
        <f t="shared" si="139"/>
        <v>0.95596983630212495</v>
      </c>
      <c r="U356" s="192">
        <f t="shared" si="139"/>
        <v>-4.9910954681379796</v>
      </c>
      <c r="V356" s="192">
        <f t="shared" si="139"/>
        <v>-9.7328033148485371E-2</v>
      </c>
      <c r="W356" s="248">
        <f t="shared" si="139"/>
        <v>0.49510871116621868</v>
      </c>
      <c r="X356" s="192">
        <f t="shared" si="139"/>
        <v>1.7863298338634706</v>
      </c>
      <c r="Y356" s="192">
        <f t="shared" si="139"/>
        <v>0.10184361433585698</v>
      </c>
      <c r="Z356" s="192">
        <f t="shared" si="139"/>
        <v>0.40254942844291675</v>
      </c>
      <c r="AA356" s="192">
        <f t="shared" si="139"/>
        <v>6.6964631865723101E-2</v>
      </c>
      <c r="AB356" s="248">
        <f t="shared" si="139"/>
        <v>0.31269482204739663</v>
      </c>
      <c r="AC356" s="192">
        <f t="shared" si="139"/>
        <v>9.7689161152721082E-2</v>
      </c>
      <c r="AD356" s="192">
        <f t="shared" si="139"/>
        <v>0.20206636674487433</v>
      </c>
      <c r="AE356" s="192">
        <f t="shared" si="139"/>
        <v>6.2843040933145078E-2</v>
      </c>
      <c r="AF356" s="192">
        <f t="shared" si="139"/>
        <v>0.13117822271604673</v>
      </c>
      <c r="AG356" s="248">
        <f t="shared" si="139"/>
        <v>0.12515901013558106</v>
      </c>
      <c r="AH356" s="192">
        <f t="shared" si="139"/>
        <v>6.3249745560828963E-2</v>
      </c>
      <c r="AI356" s="192">
        <f t="shared" si="139"/>
        <v>3.1640047536710458E-2</v>
      </c>
      <c r="AJ356" s="192">
        <f t="shared" si="139"/>
        <v>3.0121495060196679E-2</v>
      </c>
      <c r="AK356" s="192">
        <f t="shared" si="139"/>
        <v>4.3728130424848022E-2</v>
      </c>
      <c r="AL356" s="248">
        <f t="shared" si="139"/>
        <v>4.239305499950019E-2</v>
      </c>
      <c r="AM356" s="192">
        <f t="shared" si="139"/>
        <v>4.5837232429100316E-2</v>
      </c>
      <c r="AN356" s="192">
        <f t="shared" si="139"/>
        <v>5.1024141099511588E-2</v>
      </c>
      <c r="AO356" s="192">
        <f t="shared" si="139"/>
        <v>1.7289154899248649E-2</v>
      </c>
      <c r="AP356" s="192">
        <f t="shared" si="139"/>
        <v>5.3291052313443554E-2</v>
      </c>
      <c r="AQ356" s="248">
        <f t="shared" si="139"/>
        <v>4.4309970333837656E-2</v>
      </c>
    </row>
    <row r="357" spans="2:43" s="58" customFormat="1" outlineLevel="1" x14ac:dyDescent="0.3">
      <c r="B357" s="310" t="s">
        <v>405</v>
      </c>
      <c r="C357" s="411"/>
      <c r="D357" s="171">
        <f t="shared" ref="D357:S357" si="140">-D325/D13</f>
        <v>9.8460786709015397E-2</v>
      </c>
      <c r="E357" s="171">
        <f t="shared" si="140"/>
        <v>0.10864851842929414</v>
      </c>
      <c r="F357" s="171">
        <f t="shared" si="140"/>
        <v>7.9026394815868498E-2</v>
      </c>
      <c r="G357" s="171">
        <f t="shared" si="140"/>
        <v>9.6771708143924801E-2</v>
      </c>
      <c r="H357" s="499">
        <f t="shared" si="140"/>
        <v>9.5661669810384195E-2</v>
      </c>
      <c r="I357" s="171">
        <f t="shared" si="140"/>
        <v>8.2861624497033354E-2</v>
      </c>
      <c r="J357" s="171">
        <f t="shared" si="140"/>
        <v>9.8184984260933625E-2</v>
      </c>
      <c r="K357" s="171">
        <f t="shared" si="140"/>
        <v>7.3948122957924925E-2</v>
      </c>
      <c r="L357" s="171">
        <f t="shared" si="140"/>
        <v>8.4308240081383518E-2</v>
      </c>
      <c r="M357" s="499">
        <f t="shared" si="140"/>
        <v>8.481572970374178E-2</v>
      </c>
      <c r="N357" s="171">
        <f t="shared" si="140"/>
        <v>6.8248676211021764E-2</v>
      </c>
      <c r="O357" s="171">
        <f t="shared" si="140"/>
        <v>9.6671366394899774E-2</v>
      </c>
      <c r="P357" s="171">
        <f t="shared" si="140"/>
        <v>8.3081205373351077E-2</v>
      </c>
      <c r="Q357" s="171">
        <f t="shared" si="140"/>
        <v>9.6395279821146623E-2</v>
      </c>
      <c r="R357" s="499">
        <f t="shared" si="140"/>
        <v>8.6523897883956924E-2</v>
      </c>
      <c r="S357" s="171">
        <f t="shared" si="140"/>
        <v>6.9141449683321601E-2</v>
      </c>
      <c r="T357" s="182">
        <v>8.1000000000000003E-2</v>
      </c>
      <c r="U357" s="182">
        <v>8.1000000000000003E-2</v>
      </c>
      <c r="V357" s="182">
        <v>8.1982137029686014E-2</v>
      </c>
      <c r="W357" s="410">
        <f>-W325/W13</f>
        <v>7.8425221551250882E-2</v>
      </c>
      <c r="X357" s="182">
        <f>AVERAGE(S357,T357,U357,V357)</f>
        <v>7.8280896678251916E-2</v>
      </c>
      <c r="Y357" s="182">
        <f>AVERAGE(T357,U357,V357,X357)</f>
        <v>8.0565758426984491E-2</v>
      </c>
      <c r="Z357" s="182">
        <f>AVERAGE(U357,V357,X357,Y357)</f>
        <v>8.0457198033730609E-2</v>
      </c>
      <c r="AA357" s="182">
        <f>AVERAGE(V357,X357,Y357,Z357)</f>
        <v>8.032149754216325E-2</v>
      </c>
      <c r="AB357" s="410">
        <f>-AB325/AB13</f>
        <v>7.9927181464995792E-2</v>
      </c>
      <c r="AC357" s="182">
        <f>AVERAGE(X357,Y357,Z357,AA357)</f>
        <v>7.9906337670282573E-2</v>
      </c>
      <c r="AD357" s="182">
        <f>AVERAGE(Y357,Z357,AA357,AC357)</f>
        <v>8.0312697918290238E-2</v>
      </c>
      <c r="AE357" s="182">
        <f>AVERAGE(Z357,AA357,AC357,AD357)</f>
        <v>8.0249432791116668E-2</v>
      </c>
      <c r="AF357" s="182">
        <f>AVERAGE(AA357,AC357,AD357,AE357)</f>
        <v>8.0197491480463179E-2</v>
      </c>
      <c r="AG357" s="410">
        <f>-AG325/AG13</f>
        <v>8.0169294336550012E-2</v>
      </c>
      <c r="AH357" s="182">
        <f>AVERAGE(AC357,AD357,AE357,AF357)</f>
        <v>8.0166489965038168E-2</v>
      </c>
      <c r="AI357" s="182">
        <f>AVERAGE(AD357,AE357,AF357,AH357)</f>
        <v>8.023152803872706E-2</v>
      </c>
      <c r="AJ357" s="182">
        <f>AVERAGE(AE357,AF357,AH357,AI357)</f>
        <v>8.0211235568836275E-2</v>
      </c>
      <c r="AK357" s="182">
        <f>AVERAGE(AF357,AH357,AI357,AJ357)</f>
        <v>8.0201686263266181E-2</v>
      </c>
      <c r="AL357" s="499">
        <f>-AL325/AL13</f>
        <v>8.0203022124695753E-2</v>
      </c>
      <c r="AM357" s="182">
        <f>AVERAGE(AH357,AI357,AJ357,AK357)</f>
        <v>8.0202734958966931E-2</v>
      </c>
      <c r="AN357" s="182">
        <f>AVERAGE(AI357,AJ357,AK357,AM357)</f>
        <v>8.0211796207449115E-2</v>
      </c>
      <c r="AO357" s="182">
        <f>AVERAGE(AJ357,AK357,AM357,AN357)</f>
        <v>8.0206863249629626E-2</v>
      </c>
      <c r="AP357" s="182">
        <f>AVERAGE(AK357,AM357,AN357,AO357)</f>
        <v>8.0205770169827967E-2</v>
      </c>
      <c r="AQ357" s="499">
        <f>-AQ325/AQ13</f>
        <v>8.0206805106339762E-2</v>
      </c>
    </row>
    <row r="358" spans="2:43" ht="16.2" x14ac:dyDescent="0.45">
      <c r="B358" s="88"/>
      <c r="C358" s="88"/>
      <c r="D358" s="91"/>
      <c r="E358" s="91"/>
      <c r="F358" s="91"/>
      <c r="G358" s="91"/>
      <c r="H358" s="90"/>
      <c r="I358" s="91"/>
      <c r="J358" s="91"/>
      <c r="K358" s="91"/>
      <c r="L358" s="91"/>
      <c r="M358" s="90"/>
      <c r="N358" s="91"/>
      <c r="O358" s="91"/>
      <c r="P358" s="91"/>
      <c r="Q358" s="91"/>
      <c r="R358" s="90"/>
      <c r="S358" s="91"/>
      <c r="T358" s="91"/>
      <c r="U358" s="91"/>
      <c r="V358" s="91"/>
      <c r="W358" s="90"/>
      <c r="X358" s="91"/>
      <c r="Y358" s="91"/>
      <c r="Z358" s="91"/>
      <c r="AA358" s="91"/>
      <c r="AB358" s="90"/>
      <c r="AC358" s="91"/>
      <c r="AD358" s="91"/>
      <c r="AE358" s="91"/>
      <c r="AF358" s="91"/>
      <c r="AG358" s="90"/>
      <c r="AH358" s="91"/>
      <c r="AI358" s="91"/>
      <c r="AJ358" s="91"/>
      <c r="AK358" s="91"/>
      <c r="AL358" s="90"/>
      <c r="AM358" s="91"/>
      <c r="AN358" s="91"/>
      <c r="AO358" s="91"/>
      <c r="AP358" s="91"/>
      <c r="AQ358" s="90"/>
    </row>
    <row r="359" spans="2:43" ht="15.6" x14ac:dyDescent="0.3">
      <c r="B359" s="630" t="s">
        <v>23</v>
      </c>
      <c r="C359" s="631"/>
      <c r="D359" s="70"/>
      <c r="E359" s="70"/>
      <c r="F359" s="70"/>
      <c r="G359" s="70"/>
      <c r="H359" s="70"/>
      <c r="I359" s="70"/>
      <c r="J359" s="70"/>
      <c r="K359" s="70"/>
      <c r="L359" s="70"/>
      <c r="M359" s="70"/>
      <c r="N359" s="70"/>
      <c r="O359" s="70"/>
      <c r="P359" s="70"/>
      <c r="Q359" s="70"/>
      <c r="R359" s="70"/>
      <c r="S359" s="70"/>
      <c r="T359" s="70"/>
      <c r="U359" s="70"/>
      <c r="V359" s="70"/>
      <c r="W359" s="70"/>
      <c r="X359" s="70"/>
      <c r="Y359" s="70"/>
      <c r="Z359" s="70"/>
      <c r="AA359" s="70"/>
      <c r="AB359" s="70"/>
      <c r="AC359" s="70"/>
      <c r="AD359" s="70"/>
      <c r="AE359" s="70"/>
      <c r="AF359" s="70"/>
      <c r="AG359" s="70"/>
      <c r="AH359" s="70"/>
      <c r="AI359" s="70"/>
      <c r="AJ359" s="70"/>
      <c r="AK359" s="70"/>
      <c r="AL359" s="70"/>
      <c r="AM359" s="70"/>
      <c r="AN359" s="70"/>
      <c r="AO359" s="70"/>
      <c r="AP359" s="70"/>
      <c r="AQ359" s="70"/>
    </row>
    <row r="360" spans="2:43" outlineLevel="1" x14ac:dyDescent="0.3">
      <c r="B360" s="281" t="s">
        <v>63</v>
      </c>
      <c r="C360" s="521">
        <v>16.7</v>
      </c>
      <c r="D360" s="65"/>
      <c r="E360" s="65"/>
      <c r="F360" s="65"/>
      <c r="G360" s="65"/>
      <c r="H360" s="65"/>
      <c r="I360" s="65"/>
      <c r="J360" s="65"/>
      <c r="K360" s="65"/>
      <c r="L360" s="65"/>
      <c r="M360" s="65"/>
      <c r="N360" s="65"/>
      <c r="O360" s="65"/>
      <c r="P360" s="65"/>
      <c r="Q360" s="65"/>
      <c r="R360" s="65"/>
      <c r="S360" s="65"/>
      <c r="T360" s="65"/>
      <c r="U360" s="65"/>
      <c r="V360" s="65"/>
      <c r="W360" s="65"/>
      <c r="X360" s="65"/>
      <c r="Y360" s="65"/>
      <c r="Z360" s="65"/>
      <c r="AA360" s="65"/>
      <c r="AB360" s="65"/>
      <c r="AC360" s="65"/>
      <c r="AD360" s="65"/>
      <c r="AE360" s="65"/>
      <c r="AF360" s="65"/>
      <c r="AG360" s="65"/>
      <c r="AH360" s="65"/>
      <c r="AI360" s="65"/>
      <c r="AJ360" s="65"/>
      <c r="AK360" s="65"/>
      <c r="AL360" s="65"/>
      <c r="AM360" s="65"/>
      <c r="AN360" s="65"/>
      <c r="AO360" s="65"/>
      <c r="AP360" s="65"/>
      <c r="AQ360" s="65"/>
    </row>
    <row r="361" spans="2:43" outlineLevel="1" x14ac:dyDescent="0.3">
      <c r="B361" s="281" t="s">
        <v>59</v>
      </c>
      <c r="C361" s="522">
        <v>17.899999999999999</v>
      </c>
      <c r="D361" s="71"/>
      <c r="E361" s="71"/>
      <c r="F361" s="72"/>
      <c r="G361" s="72"/>
      <c r="H361" s="72"/>
      <c r="I361" s="71"/>
      <c r="J361" s="71"/>
      <c r="K361" s="72"/>
      <c r="L361" s="72"/>
      <c r="M361" s="72"/>
      <c r="N361" s="71"/>
      <c r="O361" s="71"/>
      <c r="P361" s="72"/>
      <c r="Q361" s="72"/>
      <c r="R361" s="72"/>
      <c r="S361" s="71"/>
      <c r="T361" s="71"/>
    </row>
    <row r="362" spans="2:43" outlineLevel="1" x14ac:dyDescent="0.3">
      <c r="B362" s="281" t="s">
        <v>60</v>
      </c>
      <c r="C362" s="522">
        <v>15.7</v>
      </c>
      <c r="D362" s="71"/>
      <c r="E362" s="71"/>
      <c r="F362" s="72"/>
      <c r="G362" s="72"/>
      <c r="H362" s="72"/>
      <c r="I362" s="71"/>
      <c r="J362" s="71"/>
      <c r="K362" s="72"/>
      <c r="L362" s="72"/>
      <c r="M362" s="72"/>
      <c r="N362" s="71"/>
      <c r="O362" s="71"/>
      <c r="P362" s="72"/>
      <c r="Q362" s="72"/>
      <c r="R362" s="72"/>
      <c r="S362" s="71"/>
      <c r="T362" s="71"/>
    </row>
    <row r="363" spans="2:43" outlineLevel="1" x14ac:dyDescent="0.3">
      <c r="B363" s="281" t="s">
        <v>40</v>
      </c>
      <c r="C363" s="519">
        <v>15.7</v>
      </c>
      <c r="D363" s="71"/>
      <c r="E363" s="71"/>
      <c r="F363" s="72"/>
      <c r="G363" s="72"/>
      <c r="H363" s="72"/>
      <c r="I363" s="71"/>
      <c r="J363" s="71"/>
      <c r="K363" s="72"/>
      <c r="L363" s="72"/>
      <c r="M363" s="72"/>
      <c r="N363" s="71"/>
      <c r="O363" s="71"/>
      <c r="P363" s="72"/>
      <c r="Q363" s="72"/>
      <c r="R363" s="72"/>
      <c r="S363" s="71"/>
      <c r="T363" s="71"/>
    </row>
    <row r="364" spans="2:43" outlineLevel="1" x14ac:dyDescent="0.3">
      <c r="B364" s="286" t="s">
        <v>512</v>
      </c>
      <c r="C364" s="523">
        <v>0</v>
      </c>
      <c r="D364" s="73"/>
      <c r="E364" s="73"/>
      <c r="F364" s="73"/>
      <c r="G364" s="73"/>
      <c r="H364" s="74"/>
      <c r="I364" s="73"/>
      <c r="J364" s="73"/>
      <c r="K364" s="73"/>
      <c r="L364" s="73"/>
      <c r="M364" s="74"/>
      <c r="N364" s="73"/>
      <c r="O364" s="73"/>
      <c r="P364" s="73"/>
      <c r="Q364" s="73"/>
      <c r="R364" s="74"/>
      <c r="S364" s="73"/>
      <c r="T364" s="73"/>
      <c r="U364" s="73"/>
      <c r="V364" s="73"/>
      <c r="W364" s="74"/>
      <c r="X364" s="73"/>
      <c r="Y364" s="73"/>
      <c r="Z364" s="73"/>
      <c r="AA364" s="73"/>
      <c r="AB364" s="74"/>
      <c r="AC364" s="73"/>
      <c r="AD364" s="73"/>
      <c r="AE364" s="73"/>
      <c r="AF364" s="73"/>
      <c r="AG364" s="74"/>
      <c r="AH364" s="73"/>
      <c r="AI364" s="73"/>
      <c r="AJ364" s="73"/>
      <c r="AK364" s="73"/>
      <c r="AL364" s="74"/>
      <c r="AM364" s="73"/>
      <c r="AN364" s="73"/>
      <c r="AO364" s="73"/>
      <c r="AP364" s="73"/>
      <c r="AQ364" s="74"/>
    </row>
    <row r="365" spans="2:43" outlineLevel="1" x14ac:dyDescent="0.3">
      <c r="B365" s="286" t="s">
        <v>513</v>
      </c>
      <c r="C365" s="523">
        <v>0</v>
      </c>
      <c r="D365" s="73"/>
      <c r="E365" s="73"/>
      <c r="F365" s="73"/>
      <c r="G365" s="73"/>
      <c r="H365" s="74"/>
      <c r="I365" s="73"/>
      <c r="J365" s="73"/>
      <c r="K365" s="73"/>
      <c r="L365" s="73"/>
      <c r="M365" s="74"/>
      <c r="N365" s="73"/>
      <c r="O365" s="73"/>
      <c r="P365" s="73"/>
      <c r="Q365" s="73"/>
      <c r="R365" s="74"/>
      <c r="S365" s="73"/>
      <c r="T365" s="73"/>
      <c r="U365" s="73"/>
      <c r="V365" s="73"/>
      <c r="W365" s="74"/>
      <c r="X365" s="73"/>
      <c r="Y365" s="73"/>
      <c r="Z365" s="73"/>
      <c r="AA365" s="73"/>
      <c r="AB365" s="74"/>
      <c r="AC365" s="73"/>
      <c r="AD365" s="73"/>
      <c r="AE365" s="73"/>
      <c r="AF365" s="73"/>
      <c r="AG365" s="74"/>
      <c r="AH365" s="73"/>
      <c r="AI365" s="73"/>
      <c r="AJ365" s="73"/>
      <c r="AK365" s="73"/>
      <c r="AL365" s="74"/>
      <c r="AM365" s="73"/>
      <c r="AN365" s="73"/>
      <c r="AO365" s="73"/>
      <c r="AP365" s="73"/>
      <c r="AQ365" s="74"/>
    </row>
    <row r="366" spans="2:43" ht="16.2" outlineLevel="1" x14ac:dyDescent="0.45">
      <c r="B366" s="286" t="s">
        <v>347</v>
      </c>
      <c r="C366" s="287">
        <f>+S349</f>
        <v>-54.141434673105515</v>
      </c>
      <c r="D366" s="73"/>
      <c r="E366" s="73"/>
      <c r="F366" s="73"/>
      <c r="G366" s="73"/>
      <c r="H366" s="74"/>
      <c r="I366" s="73"/>
      <c r="J366" s="73"/>
      <c r="K366" s="73"/>
      <c r="L366" s="73"/>
      <c r="M366" s="74"/>
      <c r="N366" s="73"/>
      <c r="O366" s="73"/>
      <c r="P366" s="73"/>
      <c r="Q366" s="73"/>
      <c r="R366" s="74"/>
      <c r="S366" s="73"/>
      <c r="T366" s="73"/>
      <c r="U366" s="73"/>
      <c r="V366" s="73"/>
      <c r="W366" s="74"/>
      <c r="X366" s="73"/>
      <c r="Y366" s="73"/>
      <c r="Z366" s="73"/>
      <c r="AA366" s="73"/>
      <c r="AB366" s="74"/>
      <c r="AC366" s="73"/>
      <c r="AD366" s="73"/>
      <c r="AE366" s="73"/>
      <c r="AF366" s="73"/>
      <c r="AG366" s="74"/>
      <c r="AH366" s="73"/>
      <c r="AI366" s="73"/>
      <c r="AJ366" s="73"/>
      <c r="AK366" s="73"/>
      <c r="AL366" s="74"/>
      <c r="AM366" s="73"/>
      <c r="AN366" s="73"/>
      <c r="AO366" s="73"/>
      <c r="AP366" s="73"/>
      <c r="AQ366" s="74"/>
    </row>
    <row r="367" spans="2:43" outlineLevel="1" x14ac:dyDescent="0.3">
      <c r="B367" s="520" t="s">
        <v>65</v>
      </c>
      <c r="C367" s="524">
        <f>(C363*(X45+T45+U45+V45))+C366</f>
        <v>233.69884456885924</v>
      </c>
      <c r="D367" s="71"/>
      <c r="E367" s="71"/>
      <c r="F367" s="72"/>
      <c r="G367" s="72"/>
      <c r="H367" s="72"/>
      <c r="I367" s="71"/>
      <c r="J367" s="71"/>
      <c r="K367" s="72"/>
      <c r="L367" s="72"/>
      <c r="M367" s="72"/>
      <c r="N367" s="71"/>
      <c r="O367" s="71"/>
      <c r="P367" s="72"/>
      <c r="Q367" s="72"/>
      <c r="R367" s="72"/>
      <c r="S367" s="71"/>
      <c r="T367" s="71"/>
    </row>
    <row r="368" spans="2:43" ht="108.75" customHeight="1" outlineLevel="1" x14ac:dyDescent="0.3">
      <c r="B368" s="663" t="s">
        <v>547</v>
      </c>
      <c r="C368" s="664"/>
      <c r="D368" s="71"/>
      <c r="E368" s="71"/>
      <c r="F368" s="72"/>
      <c r="G368" s="72"/>
      <c r="H368" s="72"/>
      <c r="I368" s="75"/>
      <c r="J368" s="71"/>
      <c r="K368" s="72"/>
      <c r="L368" s="72"/>
      <c r="M368" s="72"/>
      <c r="N368" s="71"/>
      <c r="O368" s="71"/>
      <c r="P368" s="72"/>
      <c r="Q368" s="72"/>
      <c r="R368" s="72"/>
      <c r="S368" s="71"/>
      <c r="T368" s="71"/>
    </row>
    <row r="369" spans="2:20" ht="69.75" customHeight="1" outlineLevel="1" x14ac:dyDescent="0.3">
      <c r="B369" s="665" t="s">
        <v>514</v>
      </c>
      <c r="C369" s="666"/>
      <c r="D369" s="71"/>
      <c r="E369" s="71"/>
      <c r="F369" s="72"/>
      <c r="G369" s="72"/>
      <c r="H369" s="72"/>
      <c r="I369" s="75"/>
      <c r="J369" s="71"/>
      <c r="K369" s="72"/>
      <c r="L369" s="72"/>
      <c r="M369" s="72"/>
      <c r="N369" s="71"/>
      <c r="O369" s="71"/>
      <c r="P369" s="72"/>
      <c r="Q369" s="72"/>
      <c r="R369" s="72"/>
      <c r="S369" s="71"/>
      <c r="T369" s="71"/>
    </row>
    <row r="370" spans="2:20" ht="17.25" customHeight="1" x14ac:dyDescent="0.3">
      <c r="B370" s="627" t="s">
        <v>546</v>
      </c>
      <c r="C370" s="626">
        <f>C373-C396</f>
        <v>3.174166730275374E-4</v>
      </c>
    </row>
    <row r="371" spans="2:20" ht="15.6" x14ac:dyDescent="0.3">
      <c r="B371" s="630" t="s">
        <v>32</v>
      </c>
      <c r="C371" s="631"/>
    </row>
    <row r="372" spans="2:20" outlineLevel="1" x14ac:dyDescent="0.3">
      <c r="B372" s="479" t="s">
        <v>502</v>
      </c>
      <c r="C372" s="92"/>
    </row>
    <row r="373" spans="2:20" outlineLevel="1" x14ac:dyDescent="0.3">
      <c r="B373" s="480" t="s">
        <v>545</v>
      </c>
      <c r="C373" s="481">
        <v>218.33476084899792</v>
      </c>
    </row>
    <row r="374" spans="2:20" ht="16.2" outlineLevel="1" x14ac:dyDescent="0.45">
      <c r="B374" s="480" t="s">
        <v>33</v>
      </c>
      <c r="C374" s="498">
        <f>S42</f>
        <v>269.2</v>
      </c>
    </row>
    <row r="375" spans="2:20" outlineLevel="1" x14ac:dyDescent="0.3">
      <c r="B375" s="491" t="s">
        <v>34</v>
      </c>
      <c r="C375" s="482">
        <f>C374*C373</f>
        <v>58775.71762055024</v>
      </c>
    </row>
    <row r="376" spans="2:20" outlineLevel="1" x14ac:dyDescent="0.3">
      <c r="B376" s="483" t="s">
        <v>52</v>
      </c>
      <c r="C376" s="484">
        <v>1.121</v>
      </c>
    </row>
    <row r="377" spans="2:20" outlineLevel="1" x14ac:dyDescent="0.3">
      <c r="B377" s="483" t="s">
        <v>504</v>
      </c>
      <c r="C377" s="485">
        <v>0.32500000000000001</v>
      </c>
    </row>
    <row r="378" spans="2:20" outlineLevel="1" x14ac:dyDescent="0.3">
      <c r="B378" s="483" t="s">
        <v>505</v>
      </c>
      <c r="C378" s="486">
        <v>0.16139999999999999</v>
      </c>
    </row>
    <row r="379" spans="2:20" outlineLevel="1" x14ac:dyDescent="0.3">
      <c r="B379" s="492" t="s">
        <v>35</v>
      </c>
      <c r="C379" s="487">
        <f>C377*C378</f>
        <v>5.2454999999999995E-2</v>
      </c>
    </row>
    <row r="380" spans="2:20" outlineLevel="1" x14ac:dyDescent="0.3">
      <c r="B380" s="483" t="s">
        <v>498</v>
      </c>
      <c r="C380" s="488">
        <v>3.0200000000000001E-2</v>
      </c>
    </row>
    <row r="381" spans="2:20" outlineLevel="1" x14ac:dyDescent="0.3">
      <c r="B381" s="491" t="s">
        <v>36</v>
      </c>
      <c r="C381" s="494">
        <f>C380+(C376*C379)</f>
        <v>8.9002054999999997E-2</v>
      </c>
    </row>
    <row r="382" spans="2:20" outlineLevel="1" x14ac:dyDescent="0.3">
      <c r="B382" s="281" t="s">
        <v>37</v>
      </c>
      <c r="C382" s="489">
        <f>C375/(C375+S261+S266+S260)</f>
        <v>0.77622737468580538</v>
      </c>
    </row>
    <row r="383" spans="2:20" outlineLevel="1" x14ac:dyDescent="0.3">
      <c r="B383" s="281" t="s">
        <v>38</v>
      </c>
      <c r="C383" s="489">
        <f>-R226</f>
        <v>3.5410585099631936E-2</v>
      </c>
    </row>
    <row r="384" spans="2:20" outlineLevel="1" x14ac:dyDescent="0.3">
      <c r="B384" s="281" t="s">
        <v>2</v>
      </c>
      <c r="C384" s="282">
        <v>0.25</v>
      </c>
    </row>
    <row r="385" spans="2:3" outlineLevel="1" x14ac:dyDescent="0.3">
      <c r="B385" s="281" t="s">
        <v>39</v>
      </c>
      <c r="C385" s="489">
        <f>C383*(1-C384)</f>
        <v>2.6557938824723952E-2</v>
      </c>
    </row>
    <row r="386" spans="2:3" outlineLevel="1" x14ac:dyDescent="0.3">
      <c r="B386" s="493" t="s">
        <v>503</v>
      </c>
      <c r="C386" s="490">
        <f>(C382*C381)+((1-C382)*C385)</f>
        <v>7.5028771188033902E-2</v>
      </c>
    </row>
    <row r="387" spans="2:3" outlineLevel="1" x14ac:dyDescent="0.3">
      <c r="B387" s="496" t="s">
        <v>506</v>
      </c>
      <c r="C387" s="497"/>
    </row>
    <row r="388" spans="2:3" outlineLevel="1" x14ac:dyDescent="0.3">
      <c r="B388" s="286" t="s">
        <v>53</v>
      </c>
      <c r="C388" s="495">
        <v>0.06</v>
      </c>
    </row>
    <row r="389" spans="2:3" outlineLevel="1" x14ac:dyDescent="0.3">
      <c r="B389" s="286" t="s">
        <v>54</v>
      </c>
      <c r="C389" s="495">
        <v>0.06</v>
      </c>
    </row>
    <row r="390" spans="2:3" outlineLevel="1" x14ac:dyDescent="0.3">
      <c r="B390" s="286" t="s">
        <v>501</v>
      </c>
      <c r="C390" s="495">
        <v>0.08</v>
      </c>
    </row>
    <row r="391" spans="2:3" outlineLevel="1" x14ac:dyDescent="0.3">
      <c r="B391" s="286" t="s">
        <v>109</v>
      </c>
      <c r="C391" s="495">
        <f>(C382*(0.063+(1.268*(0.325*0.1859))))+((1-C382)*C385)</f>
        <v>0.11431156997492899</v>
      </c>
    </row>
    <row r="392" spans="2:3" outlineLevel="1" x14ac:dyDescent="0.3">
      <c r="B392" s="496" t="s">
        <v>55</v>
      </c>
      <c r="C392" s="92"/>
    </row>
    <row r="393" spans="2:3" outlineLevel="1" x14ac:dyDescent="0.3">
      <c r="B393" s="286" t="s">
        <v>511</v>
      </c>
      <c r="C393" s="507">
        <f>((((AQ323*(1+C389))-(C390*AQ13*(1+C388))+(C385*(AQ266+AQ260+AQ261))))/(C391-C388))/(1+$C$391)^5</f>
        <v>57554.128413100028</v>
      </c>
    </row>
    <row r="394" spans="2:3" outlineLevel="1" x14ac:dyDescent="0.3">
      <c r="B394" s="286" t="s">
        <v>510</v>
      </c>
      <c r="C394" s="508">
        <f>W345+AB345+AG345+AL345+AQ345</f>
        <v>15796.377972881834</v>
      </c>
    </row>
    <row r="395" spans="2:3" ht="16.2" outlineLevel="1" x14ac:dyDescent="0.45">
      <c r="B395" s="286" t="s">
        <v>62</v>
      </c>
      <c r="C395" s="509">
        <f>C366</f>
        <v>-54.141434673105515</v>
      </c>
    </row>
    <row r="396" spans="2:3" outlineLevel="1" x14ac:dyDescent="0.3">
      <c r="B396" s="510" t="s">
        <v>66</v>
      </c>
      <c r="C396" s="511">
        <f>(C393+C394)/C374+C395</f>
        <v>218.33444343232489</v>
      </c>
    </row>
    <row r="397" spans="2:3" ht="166.5" customHeight="1" outlineLevel="1" x14ac:dyDescent="0.3">
      <c r="B397" s="661" t="s">
        <v>515</v>
      </c>
      <c r="C397" s="662"/>
    </row>
    <row r="398" spans="2:3" ht="102" customHeight="1" outlineLevel="1" x14ac:dyDescent="0.3">
      <c r="B398" s="669" t="s">
        <v>499</v>
      </c>
      <c r="C398" s="670"/>
    </row>
    <row r="399" spans="2:3" ht="91.2" customHeight="1" outlineLevel="1" x14ac:dyDescent="0.3">
      <c r="B399" s="657" t="s">
        <v>500</v>
      </c>
      <c r="C399" s="658"/>
    </row>
    <row r="400" spans="2:3" ht="72.599999999999994" customHeight="1" outlineLevel="1" x14ac:dyDescent="0.3">
      <c r="B400" s="657" t="s">
        <v>64</v>
      </c>
      <c r="C400" s="658"/>
    </row>
    <row r="401" spans="2:3" ht="90.6" customHeight="1" outlineLevel="1" x14ac:dyDescent="0.3">
      <c r="B401" s="659" t="s">
        <v>507</v>
      </c>
      <c r="C401" s="660"/>
    </row>
    <row r="402" spans="2:3" ht="7.5" customHeight="1" x14ac:dyDescent="0.3">
      <c r="C402" s="93"/>
    </row>
    <row r="403" spans="2:3" ht="15.6" x14ac:dyDescent="0.3">
      <c r="B403" s="630" t="s">
        <v>107</v>
      </c>
      <c r="C403" s="631"/>
    </row>
    <row r="404" spans="2:3" outlineLevel="1" x14ac:dyDescent="0.3">
      <c r="B404" s="529" t="s">
        <v>101</v>
      </c>
      <c r="C404" s="533">
        <v>2.9999999999999997E-4</v>
      </c>
    </row>
    <row r="405" spans="2:3" outlineLevel="1" x14ac:dyDescent="0.3">
      <c r="B405" s="286" t="s">
        <v>102</v>
      </c>
      <c r="C405" s="534">
        <v>5.5800000000000002E-2</v>
      </c>
    </row>
    <row r="406" spans="2:3" outlineLevel="1" x14ac:dyDescent="0.3">
      <c r="B406" s="286" t="s">
        <v>105</v>
      </c>
      <c r="C406" s="535">
        <f>C8</f>
        <v>226.01664400059207</v>
      </c>
    </row>
    <row r="407" spans="2:3" outlineLevel="1" x14ac:dyDescent="0.3">
      <c r="B407" s="281" t="s">
        <v>103</v>
      </c>
      <c r="C407" s="530">
        <f>C406*(1+(C404+(2*C405)))</f>
        <v>251.30790646425828</v>
      </c>
    </row>
    <row r="408" spans="2:3" outlineLevel="1" x14ac:dyDescent="0.3">
      <c r="B408" s="531" t="s">
        <v>104</v>
      </c>
      <c r="C408" s="532">
        <f>C406*(1+(C404-(2*C405)))</f>
        <v>200.86099152332619</v>
      </c>
    </row>
    <row r="409" spans="2:3" outlineLevel="1" x14ac:dyDescent="0.3">
      <c r="B409" s="657" t="s">
        <v>516</v>
      </c>
      <c r="C409" s="658"/>
    </row>
    <row r="410" spans="2:3" outlineLevel="1" x14ac:dyDescent="0.3">
      <c r="B410" s="657"/>
      <c r="C410" s="658"/>
    </row>
    <row r="411" spans="2:3" outlineLevel="1" x14ac:dyDescent="0.3">
      <c r="B411" s="657"/>
      <c r="C411" s="658"/>
    </row>
    <row r="412" spans="2:3" outlineLevel="1" x14ac:dyDescent="0.3">
      <c r="B412" s="657"/>
      <c r="C412" s="658"/>
    </row>
    <row r="413" spans="2:3" outlineLevel="1" x14ac:dyDescent="0.3">
      <c r="B413" s="657"/>
      <c r="C413" s="658"/>
    </row>
    <row r="414" spans="2:3" outlineLevel="1" x14ac:dyDescent="0.3">
      <c r="B414" s="657"/>
      <c r="C414" s="658"/>
    </row>
    <row r="415" spans="2:3" outlineLevel="1" x14ac:dyDescent="0.3">
      <c r="B415" s="657"/>
      <c r="C415" s="658"/>
    </row>
    <row r="416" spans="2:3" outlineLevel="1" x14ac:dyDescent="0.3">
      <c r="B416" s="657"/>
      <c r="C416" s="658"/>
    </row>
    <row r="417" spans="2:10" outlineLevel="1" x14ac:dyDescent="0.3">
      <c r="B417" s="657"/>
      <c r="C417" s="658"/>
    </row>
    <row r="418" spans="2:10" outlineLevel="1" x14ac:dyDescent="0.3">
      <c r="B418" s="657"/>
      <c r="C418" s="658"/>
    </row>
    <row r="419" spans="2:10" outlineLevel="1" x14ac:dyDescent="0.3">
      <c r="B419" s="657"/>
      <c r="C419" s="658"/>
    </row>
    <row r="420" spans="2:10" outlineLevel="1" x14ac:dyDescent="0.3">
      <c r="B420" s="657"/>
      <c r="C420" s="658"/>
    </row>
    <row r="421" spans="2:10" outlineLevel="1" x14ac:dyDescent="0.3">
      <c r="B421" s="657"/>
      <c r="C421" s="658"/>
    </row>
    <row r="422" spans="2:10" ht="33.75" customHeight="1" outlineLevel="1" x14ac:dyDescent="0.3">
      <c r="B422" s="657"/>
      <c r="C422" s="658"/>
    </row>
    <row r="423" spans="2:10" ht="4.2" customHeight="1" outlineLevel="1" x14ac:dyDescent="0.3">
      <c r="B423" s="657"/>
      <c r="C423" s="658"/>
    </row>
    <row r="424" spans="2:10" ht="3" customHeight="1" outlineLevel="1" x14ac:dyDescent="0.3">
      <c r="B424" s="659"/>
      <c r="C424" s="660"/>
    </row>
    <row r="425" spans="2:10" ht="7.2" customHeight="1" x14ac:dyDescent="0.3"/>
    <row r="426" spans="2:10" ht="15.6" x14ac:dyDescent="0.3">
      <c r="B426" s="630" t="s">
        <v>517</v>
      </c>
      <c r="C426" s="631"/>
      <c r="D426" s="708"/>
      <c r="E426" s="709"/>
      <c r="F426" s="709"/>
      <c r="G426" s="709"/>
      <c r="H426" s="709"/>
      <c r="I426" s="709"/>
      <c r="J426" s="710"/>
    </row>
    <row r="427" spans="2:10" ht="15" hidden="1" outlineLevel="1" thickBot="1" x14ac:dyDescent="0.35">
      <c r="B427" s="17"/>
      <c r="C427" s="537"/>
      <c r="D427" s="711"/>
      <c r="E427" s="711"/>
      <c r="F427" s="711"/>
      <c r="G427" s="712"/>
      <c r="H427" s="711"/>
      <c r="I427" s="711"/>
      <c r="J427" s="713"/>
    </row>
    <row r="428" spans="2:10" ht="15" hidden="1" outlineLevel="1" thickBot="1" x14ac:dyDescent="0.35">
      <c r="B428" s="17"/>
      <c r="C428" s="595"/>
      <c r="D428" s="596"/>
      <c r="E428" s="597"/>
      <c r="F428" s="598"/>
      <c r="G428" s="599"/>
      <c r="H428" s="600"/>
      <c r="I428" s="598"/>
      <c r="J428" s="601"/>
    </row>
    <row r="429" spans="2:10" hidden="1" outlineLevel="1" x14ac:dyDescent="0.3">
      <c r="B429" s="714"/>
      <c r="C429" s="602"/>
      <c r="D429" s="603"/>
      <c r="E429" s="604"/>
      <c r="F429" s="605"/>
      <c r="G429" s="606"/>
      <c r="H429" s="605"/>
      <c r="I429" s="607"/>
      <c r="J429" s="608"/>
    </row>
    <row r="430" spans="2:10" hidden="1" outlineLevel="1" x14ac:dyDescent="0.3">
      <c r="B430" s="714"/>
      <c r="C430" s="609"/>
      <c r="D430" s="603"/>
      <c r="E430" s="604"/>
      <c r="F430" s="605"/>
      <c r="G430" s="610"/>
      <c r="H430" s="605"/>
      <c r="I430" s="607"/>
      <c r="J430" s="608"/>
    </row>
    <row r="431" spans="2:10" ht="15" hidden="1" outlineLevel="1" thickBot="1" x14ac:dyDescent="0.35">
      <c r="B431" s="714"/>
      <c r="C431" s="611"/>
      <c r="D431" s="603"/>
      <c r="E431" s="604"/>
      <c r="F431" s="605"/>
      <c r="G431" s="610"/>
      <c r="H431" s="605"/>
      <c r="I431" s="607"/>
      <c r="J431" s="608"/>
    </row>
    <row r="432" spans="2:10" ht="15" hidden="1" outlineLevel="1" thickBot="1" x14ac:dyDescent="0.35">
      <c r="B432" s="715"/>
      <c r="C432" s="612"/>
      <c r="D432" s="604"/>
      <c r="E432" s="613"/>
      <c r="F432" s="607"/>
      <c r="G432" s="614"/>
      <c r="H432" s="604"/>
      <c r="I432" s="613"/>
      <c r="J432" s="608"/>
    </row>
    <row r="433" spans="2:10" hidden="1" outlineLevel="1" x14ac:dyDescent="0.3">
      <c r="B433" s="714"/>
      <c r="C433" s="609"/>
      <c r="D433" s="603"/>
      <c r="E433" s="604"/>
      <c r="F433" s="605"/>
      <c r="G433" s="606"/>
      <c r="H433" s="605"/>
      <c r="I433" s="607"/>
      <c r="J433" s="608"/>
    </row>
    <row r="434" spans="2:10" hidden="1" outlineLevel="1" x14ac:dyDescent="0.3">
      <c r="B434" s="714"/>
      <c r="C434" s="611"/>
      <c r="D434" s="615"/>
      <c r="E434" s="616"/>
      <c r="F434" s="610"/>
      <c r="G434" s="617"/>
      <c r="H434" s="610"/>
      <c r="I434" s="618"/>
      <c r="J434" s="619"/>
    </row>
    <row r="435" spans="2:10" hidden="1" outlineLevel="1" x14ac:dyDescent="0.3">
      <c r="B435" s="714"/>
      <c r="C435" s="620"/>
      <c r="D435" s="621"/>
      <c r="E435" s="622"/>
      <c r="F435" s="623"/>
      <c r="G435" s="623"/>
      <c r="H435" s="623"/>
      <c r="I435" s="624"/>
      <c r="J435" s="625"/>
    </row>
    <row r="436" spans="2:10" collapsed="1" x14ac:dyDescent="0.3"/>
  </sheetData>
  <dataConsolidate/>
  <mergeCells count="147">
    <mergeCell ref="B219:C219"/>
    <mergeCell ref="D426:J426"/>
    <mergeCell ref="D427:J427"/>
    <mergeCell ref="B429:B435"/>
    <mergeCell ref="B426:C426"/>
    <mergeCell ref="B304:C304"/>
    <mergeCell ref="B247:C247"/>
    <mergeCell ref="B246:C246"/>
    <mergeCell ref="B244:C244"/>
    <mergeCell ref="B316:C316"/>
    <mergeCell ref="B323:C323"/>
    <mergeCell ref="B322:C322"/>
    <mergeCell ref="B321:C321"/>
    <mergeCell ref="B319:C319"/>
    <mergeCell ref="B318:C318"/>
    <mergeCell ref="B317:C317"/>
    <mergeCell ref="B306:C306"/>
    <mergeCell ref="B301:C301"/>
    <mergeCell ref="B297:C297"/>
    <mergeCell ref="B296:C296"/>
    <mergeCell ref="B293:C293"/>
    <mergeCell ref="B292:C292"/>
    <mergeCell ref="B272:C272"/>
    <mergeCell ref="B266:C266"/>
    <mergeCell ref="B215:C215"/>
    <mergeCell ref="B73:C73"/>
    <mergeCell ref="B217:C217"/>
    <mergeCell ref="B216:C216"/>
    <mergeCell ref="B50:C50"/>
    <mergeCell ref="B49:C49"/>
    <mergeCell ref="B97:C97"/>
    <mergeCell ref="B85:C85"/>
    <mergeCell ref="B72:C72"/>
    <mergeCell ref="B185:C185"/>
    <mergeCell ref="B151:C151"/>
    <mergeCell ref="B168:C168"/>
    <mergeCell ref="B136:C136"/>
    <mergeCell ref="B91:C91"/>
    <mergeCell ref="B103:C103"/>
    <mergeCell ref="B109:C109"/>
    <mergeCell ref="B115:C115"/>
    <mergeCell ref="B121:C121"/>
    <mergeCell ref="B127:C127"/>
    <mergeCell ref="B178:C178"/>
    <mergeCell ref="B132:C132"/>
    <mergeCell ref="B192:C192"/>
    <mergeCell ref="B174:C174"/>
    <mergeCell ref="B190:C190"/>
    <mergeCell ref="B211:C211"/>
    <mergeCell ref="B3:C3"/>
    <mergeCell ref="B4:C4"/>
    <mergeCell ref="B5:C5"/>
    <mergeCell ref="B11:C11"/>
    <mergeCell ref="B12:C12"/>
    <mergeCell ref="B46:C46"/>
    <mergeCell ref="B44:C44"/>
    <mergeCell ref="B43:C43"/>
    <mergeCell ref="B42:C42"/>
    <mergeCell ref="B41:C41"/>
    <mergeCell ref="B38:C38"/>
    <mergeCell ref="B13:C13"/>
    <mergeCell ref="B29:C29"/>
    <mergeCell ref="B37:C37"/>
    <mergeCell ref="B35:C35"/>
    <mergeCell ref="B33:C33"/>
    <mergeCell ref="B32:C32"/>
    <mergeCell ref="B286:C286"/>
    <mergeCell ref="B284:C284"/>
    <mergeCell ref="B279:C279"/>
    <mergeCell ref="B277:C277"/>
    <mergeCell ref="B276:C276"/>
    <mergeCell ref="B225:C225"/>
    <mergeCell ref="B227:C227"/>
    <mergeCell ref="B251:C251"/>
    <mergeCell ref="B250:C250"/>
    <mergeCell ref="B248:C248"/>
    <mergeCell ref="B256:C256"/>
    <mergeCell ref="B257:C257"/>
    <mergeCell ref="B259:C259"/>
    <mergeCell ref="B275:C275"/>
    <mergeCell ref="B274:C274"/>
    <mergeCell ref="B273:C273"/>
    <mergeCell ref="B233:C233"/>
    <mergeCell ref="B234:C234"/>
    <mergeCell ref="B235:C235"/>
    <mergeCell ref="B242:C242"/>
    <mergeCell ref="B264:C264"/>
    <mergeCell ref="B263:C263"/>
    <mergeCell ref="B2:C2"/>
    <mergeCell ref="B398:C398"/>
    <mergeCell ref="B399:C399"/>
    <mergeCell ref="B400:C400"/>
    <mergeCell ref="B340:C340"/>
    <mergeCell ref="B338:C338"/>
    <mergeCell ref="B337:C337"/>
    <mergeCell ref="B356:C356"/>
    <mergeCell ref="B300:C300"/>
    <mergeCell ref="B353:C353"/>
    <mergeCell ref="B352:C352"/>
    <mergeCell ref="B351:C351"/>
    <mergeCell ref="B350:C350"/>
    <mergeCell ref="B345:C345"/>
    <mergeCell ref="B343:C343"/>
    <mergeCell ref="B79:C79"/>
    <mergeCell ref="B349:C349"/>
    <mergeCell ref="B342:C342"/>
    <mergeCell ref="B341:C341"/>
    <mergeCell ref="B359:C359"/>
    <mergeCell ref="B232:C232"/>
    <mergeCell ref="B231:C231"/>
    <mergeCell ref="B230:C230"/>
    <mergeCell ref="B218:C218"/>
    <mergeCell ref="B403:C403"/>
    <mergeCell ref="B409:C424"/>
    <mergeCell ref="B397:C397"/>
    <mergeCell ref="B368:C368"/>
    <mergeCell ref="B369:C369"/>
    <mergeCell ref="B330:C330"/>
    <mergeCell ref="B332:C332"/>
    <mergeCell ref="B335:C335"/>
    <mergeCell ref="B334:C334"/>
    <mergeCell ref="B333:C333"/>
    <mergeCell ref="B401:C401"/>
    <mergeCell ref="B325:C325"/>
    <mergeCell ref="B326:C326"/>
    <mergeCell ref="B371:C371"/>
    <mergeCell ref="B324:C324"/>
    <mergeCell ref="B258:C258"/>
    <mergeCell ref="B327:C327"/>
    <mergeCell ref="A11:A12"/>
    <mergeCell ref="B51:C51"/>
    <mergeCell ref="B134:C134"/>
    <mergeCell ref="B329:C329"/>
    <mergeCell ref="B328:C328"/>
    <mergeCell ref="B308:C308"/>
    <mergeCell ref="B309:C309"/>
    <mergeCell ref="B310:C310"/>
    <mergeCell ref="B312:C312"/>
    <mergeCell ref="B313:C313"/>
    <mergeCell ref="B265:C265"/>
    <mergeCell ref="B261:C261"/>
    <mergeCell ref="B290:C290"/>
    <mergeCell ref="B287:C287"/>
    <mergeCell ref="B229:C229"/>
    <mergeCell ref="B228:C228"/>
    <mergeCell ref="B224:C224"/>
    <mergeCell ref="B289:C289"/>
  </mergeCells>
  <conditionalFormatting sqref="AM184:AP184">
    <cfRule type="cellIs" dxfId="59" priority="57" operator="lessThan">
      <formula>-2</formula>
    </cfRule>
    <cfRule type="cellIs" dxfId="58" priority="58" operator="greaterThan">
      <formula>2</formula>
    </cfRule>
  </conditionalFormatting>
  <conditionalFormatting sqref="S181:V182">
    <cfRule type="cellIs" dxfId="57" priority="79" operator="lessThan">
      <formula>-2</formula>
    </cfRule>
    <cfRule type="cellIs" dxfId="56" priority="80" operator="greaterThan">
      <formula>2</formula>
    </cfRule>
  </conditionalFormatting>
  <conditionalFormatting sqref="S184:V184">
    <cfRule type="cellIs" dxfId="55" priority="81" operator="lessThan">
      <formula>-2</formula>
    </cfRule>
    <cfRule type="cellIs" dxfId="54" priority="82" operator="greaterThan">
      <formula>2</formula>
    </cfRule>
  </conditionalFormatting>
  <conditionalFormatting sqref="N184:Q184">
    <cfRule type="cellIs" dxfId="53" priority="77" operator="lessThan">
      <formula>-2</formula>
    </cfRule>
    <cfRule type="cellIs" dxfId="52" priority="78" operator="greaterThan">
      <formula>2</formula>
    </cfRule>
  </conditionalFormatting>
  <conditionalFormatting sqref="N181:Q182">
    <cfRule type="cellIs" dxfId="51" priority="75" operator="lessThan">
      <formula>-2</formula>
    </cfRule>
    <cfRule type="cellIs" dxfId="50" priority="76" operator="greaterThan">
      <formula>2</formula>
    </cfRule>
  </conditionalFormatting>
  <conditionalFormatting sqref="I181:L183">
    <cfRule type="cellIs" dxfId="49" priority="71" operator="lessThan">
      <formula>-2</formula>
    </cfRule>
    <cfRule type="cellIs" dxfId="48" priority="72" operator="greaterThan">
      <formula>2</formula>
    </cfRule>
  </conditionalFormatting>
  <conditionalFormatting sqref="D180:G182">
    <cfRule type="cellIs" dxfId="47" priority="67" operator="lessThan">
      <formula>-2</formula>
    </cfRule>
    <cfRule type="cellIs" dxfId="46" priority="68" operator="greaterThan">
      <formula>2</formula>
    </cfRule>
  </conditionalFormatting>
  <conditionalFormatting sqref="AC184:AF184">
    <cfRule type="cellIs" dxfId="45" priority="65" operator="lessThan">
      <formula>-2</formula>
    </cfRule>
    <cfRule type="cellIs" dxfId="44" priority="66" operator="greaterThan">
      <formula>2</formula>
    </cfRule>
  </conditionalFormatting>
  <conditionalFormatting sqref="AC181:AF182">
    <cfRule type="cellIs" dxfId="43" priority="63" operator="lessThan">
      <formula>-2</formula>
    </cfRule>
    <cfRule type="cellIs" dxfId="42" priority="64" operator="greaterThan">
      <formula>2</formula>
    </cfRule>
  </conditionalFormatting>
  <conditionalFormatting sqref="AH184:AK184">
    <cfRule type="cellIs" dxfId="41" priority="61" operator="lessThan">
      <formula>-2</formula>
    </cfRule>
    <cfRule type="cellIs" dxfId="40" priority="62" operator="greaterThan">
      <formula>2</formula>
    </cfRule>
  </conditionalFormatting>
  <conditionalFormatting sqref="AH181:AK182">
    <cfRule type="cellIs" dxfId="39" priority="59" operator="lessThan">
      <formula>-2</formula>
    </cfRule>
    <cfRule type="cellIs" dxfId="38" priority="60" operator="greaterThan">
      <formula>2</formula>
    </cfRule>
  </conditionalFormatting>
  <conditionalFormatting sqref="AM181:AP182">
    <cfRule type="cellIs" dxfId="37" priority="55" operator="lessThan">
      <formula>-2</formula>
    </cfRule>
    <cfRule type="cellIs" dxfId="36" priority="56" operator="greaterThan">
      <formula>2</formula>
    </cfRule>
  </conditionalFormatting>
  <conditionalFormatting sqref="X184:AA184">
    <cfRule type="cellIs" dxfId="35" priority="53" operator="lessThan">
      <formula>-2</formula>
    </cfRule>
    <cfRule type="cellIs" dxfId="34" priority="54" operator="greaterThan">
      <formula>2</formula>
    </cfRule>
  </conditionalFormatting>
  <conditionalFormatting sqref="X181:AA182">
    <cfRule type="cellIs" dxfId="33" priority="51" operator="lessThan">
      <formula>-2</formula>
    </cfRule>
    <cfRule type="cellIs" dxfId="32" priority="52" operator="greaterThan">
      <formula>2</formula>
    </cfRule>
  </conditionalFormatting>
  <conditionalFormatting sqref="AM183:AP183">
    <cfRule type="cellIs" dxfId="31" priority="35" operator="lessThan">
      <formula>-2</formula>
    </cfRule>
    <cfRule type="cellIs" dxfId="30" priority="36" operator="greaterThan">
      <formula>2</formula>
    </cfRule>
  </conditionalFormatting>
  <conditionalFormatting sqref="D183:G183">
    <cfRule type="cellIs" dxfId="29" priority="47" operator="lessThan">
      <formula>-2</formula>
    </cfRule>
    <cfRule type="cellIs" dxfId="28" priority="48" operator="greaterThan">
      <formula>2</formula>
    </cfRule>
  </conditionalFormatting>
  <conditionalFormatting sqref="AC183:AF183">
    <cfRule type="cellIs" dxfId="27" priority="39" operator="lessThan">
      <formula>-2</formula>
    </cfRule>
    <cfRule type="cellIs" dxfId="26" priority="40" operator="greaterThan">
      <formula>2</formula>
    </cfRule>
  </conditionalFormatting>
  <conditionalFormatting sqref="S183:V183">
    <cfRule type="cellIs" dxfId="25" priority="43" operator="lessThan">
      <formula>-2</formula>
    </cfRule>
    <cfRule type="cellIs" dxfId="24" priority="44" operator="greaterThan">
      <formula>2</formula>
    </cfRule>
  </conditionalFormatting>
  <conditionalFormatting sqref="X183:AA183">
    <cfRule type="cellIs" dxfId="23" priority="41" operator="lessThan">
      <formula>-2</formula>
    </cfRule>
    <cfRule type="cellIs" dxfId="22" priority="42" operator="greaterThan">
      <formula>2</formula>
    </cfRule>
  </conditionalFormatting>
  <conditionalFormatting sqref="AH183:AK183">
    <cfRule type="cellIs" dxfId="21" priority="37" operator="lessThan">
      <formula>-2</formula>
    </cfRule>
    <cfRule type="cellIs" dxfId="20" priority="38" operator="greaterThan">
      <formula>2</formula>
    </cfRule>
  </conditionalFormatting>
  <conditionalFormatting sqref="N183:Q183">
    <cfRule type="cellIs" dxfId="19" priority="33" operator="lessThan">
      <formula>-2</formula>
    </cfRule>
    <cfRule type="cellIs" dxfId="18" priority="34" operator="greaterThan">
      <formula>2</formula>
    </cfRule>
  </conditionalFormatting>
  <conditionalFormatting sqref="I184:L184">
    <cfRule type="cellIs" dxfId="17" priority="31" operator="lessThan">
      <formula>-2</formula>
    </cfRule>
    <cfRule type="cellIs" dxfId="16" priority="32" operator="greaterThan">
      <formula>2</formula>
    </cfRule>
  </conditionalFormatting>
  <conditionalFormatting sqref="D184:G184">
    <cfRule type="cellIs" dxfId="15" priority="29" operator="lessThan">
      <formula>-2</formula>
    </cfRule>
    <cfRule type="cellIs" dxfId="14" priority="30" operator="greaterThan">
      <formula>2</formula>
    </cfRule>
  </conditionalFormatting>
  <conditionalFormatting sqref="I180:L180">
    <cfRule type="cellIs" dxfId="13" priority="13" operator="lessThan">
      <formula>-2</formula>
    </cfRule>
    <cfRule type="cellIs" dxfId="12" priority="14" operator="greaterThan">
      <formula>2</formula>
    </cfRule>
  </conditionalFormatting>
  <conditionalFormatting sqref="N180:Q180">
    <cfRule type="cellIs" dxfId="11" priority="11" operator="lessThan">
      <formula>-2</formula>
    </cfRule>
    <cfRule type="cellIs" dxfId="10" priority="12" operator="greaterThan">
      <formula>2</formula>
    </cfRule>
  </conditionalFormatting>
  <conditionalFormatting sqref="S180:V180">
    <cfRule type="cellIs" dxfId="9" priority="9" operator="lessThan">
      <formula>-2</formula>
    </cfRule>
    <cfRule type="cellIs" dxfId="8" priority="10" operator="greaterThan">
      <formula>2</formula>
    </cfRule>
  </conditionalFormatting>
  <conditionalFormatting sqref="X180:AA180">
    <cfRule type="cellIs" dxfId="7" priority="7" operator="lessThan">
      <formula>-2</formula>
    </cfRule>
    <cfRule type="cellIs" dxfId="6" priority="8" operator="greaterThan">
      <formula>2</formula>
    </cfRule>
  </conditionalFormatting>
  <conditionalFormatting sqref="AC180:AF180">
    <cfRule type="cellIs" dxfId="5" priority="5" operator="lessThan">
      <formula>-2</formula>
    </cfRule>
    <cfRule type="cellIs" dxfId="4" priority="6" operator="greaterThan">
      <formula>2</formula>
    </cfRule>
  </conditionalFormatting>
  <conditionalFormatting sqref="AH180:AK180">
    <cfRule type="cellIs" dxfId="3" priority="3" operator="lessThan">
      <formula>-2</formula>
    </cfRule>
    <cfRule type="cellIs" dxfId="2" priority="4" operator="greaterThan">
      <formula>2</formula>
    </cfRule>
  </conditionalFormatting>
  <conditionalFormatting sqref="AM180:AP180">
    <cfRule type="cellIs" dxfId="1" priority="1" operator="lessThan">
      <formula>-2</formula>
    </cfRule>
    <cfRule type="cellIs" dxfId="0" priority="2" operator="greaterThan">
      <formula>2</formula>
    </cfRule>
  </conditionalFormatting>
  <pageMargins left="0.7" right="0.7" top="0.75" bottom="0.75" header="0.3" footer="0.3"/>
  <pageSetup scale="43" orientation="landscape" r:id="rId1"/>
  <headerFooter>
    <oddFooter>&amp;CGutenberg Research LLC prohibits the redistribution of this document in whole or part without the written permission. 
© Gutenberg Research LLC 2018.</oddFooter>
  </headerFooter>
  <rowBreaks count="1" manualBreakCount="1">
    <brk id="242" max="16383" man="1"/>
  </rowBreaks>
  <ignoredErrors>
    <ignoredError sqref="G315" 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3098-3AD1-443C-A973-F894C384AE3A}">
  <dimension ref="A1:Q27"/>
  <sheetViews>
    <sheetView showGridLines="0" workbookViewId="0">
      <selection activeCell="H18" sqref="H18"/>
    </sheetView>
  </sheetViews>
  <sheetFormatPr defaultRowHeight="14.4" x14ac:dyDescent="0.3"/>
  <cols>
    <col min="1" max="1" width="1.33203125" style="6" customWidth="1"/>
    <col min="2" max="2" width="12.6640625" customWidth="1"/>
    <col min="3" max="3" width="20.109375" customWidth="1"/>
    <col min="4" max="5" width="14.88671875" style="6" customWidth="1"/>
    <col min="6" max="8" width="19" style="6" customWidth="1"/>
    <col min="10" max="10" width="12.88671875" style="6" customWidth="1"/>
    <col min="11" max="12" width="16.33203125" customWidth="1"/>
    <col min="13" max="13" width="19.6640625" style="6" customWidth="1"/>
    <col min="14" max="14" width="11.6640625" customWidth="1"/>
    <col min="16" max="17" width="14.5546875" customWidth="1"/>
  </cols>
  <sheetData>
    <row r="1" spans="2:17" s="6" customFormat="1" x14ac:dyDescent="0.3">
      <c r="B1" s="6" t="s">
        <v>520</v>
      </c>
    </row>
    <row r="2" spans="2:17" s="6" customFormat="1" x14ac:dyDescent="0.3">
      <c r="B2" s="6" t="s">
        <v>452</v>
      </c>
    </row>
    <row r="3" spans="2:17" ht="8.4" customHeight="1" thickBot="1" x14ac:dyDescent="0.35"/>
    <row r="4" spans="2:17" ht="15" thickBot="1" x14ac:dyDescent="0.35">
      <c r="B4" s="727" t="s">
        <v>409</v>
      </c>
      <c r="C4" s="728"/>
      <c r="D4" s="728"/>
      <c r="E4" s="728"/>
      <c r="F4" s="728"/>
      <c r="G4" s="728"/>
      <c r="H4" s="728"/>
      <c r="I4" s="728"/>
      <c r="J4" s="728"/>
      <c r="K4" s="728"/>
      <c r="L4" s="728"/>
      <c r="M4" s="729"/>
      <c r="N4" s="739" t="s">
        <v>410</v>
      </c>
      <c r="O4" s="740"/>
      <c r="P4" s="740"/>
      <c r="Q4" s="740"/>
    </row>
    <row r="5" spans="2:17" ht="21" customHeight="1" x14ac:dyDescent="0.3">
      <c r="B5" s="723" t="s">
        <v>411</v>
      </c>
      <c r="C5" s="723" t="s">
        <v>412</v>
      </c>
      <c r="D5" s="723" t="s">
        <v>93</v>
      </c>
      <c r="E5" s="723" t="s">
        <v>527</v>
      </c>
      <c r="F5" s="723" t="s">
        <v>529</v>
      </c>
      <c r="G5" s="723" t="s">
        <v>530</v>
      </c>
      <c r="H5" s="723" t="s">
        <v>532</v>
      </c>
      <c r="I5" s="723" t="s">
        <v>413</v>
      </c>
      <c r="J5" s="723" t="s">
        <v>528</v>
      </c>
      <c r="K5" s="439" t="s">
        <v>414</v>
      </c>
      <c r="L5" s="440" t="s">
        <v>414</v>
      </c>
      <c r="M5" s="737" t="s">
        <v>536</v>
      </c>
      <c r="N5" s="725" t="s">
        <v>412</v>
      </c>
      <c r="O5" s="723" t="s">
        <v>413</v>
      </c>
      <c r="P5" s="439" t="s">
        <v>414</v>
      </c>
      <c r="Q5" s="439" t="s">
        <v>414</v>
      </c>
    </row>
    <row r="6" spans="2:17" ht="21" customHeight="1" thickBot="1" x14ac:dyDescent="0.35">
      <c r="B6" s="724"/>
      <c r="C6" s="724"/>
      <c r="D6" s="724"/>
      <c r="E6" s="724"/>
      <c r="F6" s="724"/>
      <c r="G6" s="724"/>
      <c r="H6" s="724"/>
      <c r="I6" s="724"/>
      <c r="J6" s="724"/>
      <c r="K6" s="441" t="s">
        <v>415</v>
      </c>
      <c r="L6" s="442" t="s">
        <v>416</v>
      </c>
      <c r="M6" s="738"/>
      <c r="N6" s="726"/>
      <c r="O6" s="724"/>
      <c r="P6" s="441" t="s">
        <v>415</v>
      </c>
      <c r="Q6" s="441" t="s">
        <v>416</v>
      </c>
    </row>
    <row r="7" spans="2:17" ht="29.4" thickBot="1" x14ac:dyDescent="0.35">
      <c r="B7" s="443" t="s">
        <v>417</v>
      </c>
      <c r="C7" s="444" t="s">
        <v>451</v>
      </c>
      <c r="D7" s="445"/>
      <c r="E7" s="445"/>
      <c r="F7" s="445"/>
      <c r="G7" s="445"/>
      <c r="H7" s="445"/>
      <c r="I7" s="445" t="s">
        <v>418</v>
      </c>
      <c r="J7" s="445"/>
      <c r="K7" s="445" t="s">
        <v>419</v>
      </c>
      <c r="L7" s="446" t="s">
        <v>420</v>
      </c>
      <c r="M7" s="445"/>
      <c r="N7" s="720"/>
      <c r="O7" s="721"/>
      <c r="P7" s="721"/>
      <c r="Q7" s="722"/>
    </row>
    <row r="8" spans="2:17" ht="29.4" thickBot="1" x14ac:dyDescent="0.35">
      <c r="B8" s="443" t="s">
        <v>417</v>
      </c>
      <c r="C8" s="447" t="s">
        <v>453</v>
      </c>
      <c r="D8" s="447"/>
      <c r="E8" s="447"/>
      <c r="F8" s="447"/>
      <c r="G8" s="447"/>
      <c r="H8" s="447"/>
      <c r="I8" s="447" t="s">
        <v>418</v>
      </c>
      <c r="J8" s="447"/>
      <c r="K8" s="447" t="s">
        <v>419</v>
      </c>
      <c r="L8" s="446" t="s">
        <v>420</v>
      </c>
      <c r="M8" s="445"/>
      <c r="N8" s="720"/>
      <c r="O8" s="721"/>
      <c r="P8" s="721"/>
      <c r="Q8" s="722"/>
    </row>
    <row r="9" spans="2:17" ht="29.4" thickBot="1" x14ac:dyDescent="0.35">
      <c r="B9" s="443" t="s">
        <v>417</v>
      </c>
      <c r="C9" s="448" t="s">
        <v>454</v>
      </c>
      <c r="D9" s="449"/>
      <c r="E9" s="449"/>
      <c r="F9" s="449"/>
      <c r="G9" s="449"/>
      <c r="H9" s="449"/>
      <c r="I9" s="449" t="s">
        <v>418</v>
      </c>
      <c r="J9" s="449"/>
      <c r="K9" s="449" t="s">
        <v>419</v>
      </c>
      <c r="L9" s="447" t="s">
        <v>421</v>
      </c>
      <c r="M9" s="445"/>
      <c r="N9" s="720"/>
      <c r="O9" s="721"/>
      <c r="P9" s="721"/>
      <c r="Q9" s="722"/>
    </row>
    <row r="10" spans="2:17" ht="29.4" thickBot="1" x14ac:dyDescent="0.35">
      <c r="B10" s="450" t="s">
        <v>417</v>
      </c>
      <c r="C10" s="445" t="s">
        <v>455</v>
      </c>
      <c r="D10" s="445"/>
      <c r="E10" s="445"/>
      <c r="F10" s="445"/>
      <c r="G10" s="445"/>
      <c r="H10" s="445"/>
      <c r="I10" s="445" t="s">
        <v>418</v>
      </c>
      <c r="J10" s="445"/>
      <c r="K10" s="445" t="s">
        <v>419</v>
      </c>
      <c r="L10" s="445" t="s">
        <v>422</v>
      </c>
      <c r="M10" s="445"/>
      <c r="N10" s="445">
        <v>42172</v>
      </c>
      <c r="O10" s="445" t="s">
        <v>423</v>
      </c>
      <c r="P10" s="445" t="s">
        <v>419</v>
      </c>
      <c r="Q10" s="451">
        <v>8.9499999999999993</v>
      </c>
    </row>
    <row r="11" spans="2:17" ht="29.4" thickBot="1" x14ac:dyDescent="0.35">
      <c r="B11" s="443" t="s">
        <v>424</v>
      </c>
      <c r="C11" s="448" t="s">
        <v>456</v>
      </c>
      <c r="D11" s="449"/>
      <c r="E11" s="449"/>
      <c r="F11" s="449"/>
      <c r="G11" s="449"/>
      <c r="H11" s="449"/>
      <c r="I11" s="449" t="s">
        <v>425</v>
      </c>
      <c r="J11" s="449"/>
      <c r="K11" s="449" t="s">
        <v>419</v>
      </c>
      <c r="L11" s="446" t="s">
        <v>426</v>
      </c>
      <c r="M11" s="445"/>
      <c r="N11" s="720"/>
      <c r="O11" s="721"/>
      <c r="P11" s="721"/>
      <c r="Q11" s="722"/>
    </row>
    <row r="12" spans="2:17" ht="29.4" thickBot="1" x14ac:dyDescent="0.35">
      <c r="B12" s="443" t="s">
        <v>424</v>
      </c>
      <c r="C12" s="448" t="s">
        <v>457</v>
      </c>
      <c r="D12" s="449"/>
      <c r="E12" s="449"/>
      <c r="F12" s="449"/>
      <c r="G12" s="449"/>
      <c r="H12" s="449"/>
      <c r="I12" s="449" t="s">
        <v>425</v>
      </c>
      <c r="J12" s="449"/>
      <c r="K12" s="449" t="s">
        <v>419</v>
      </c>
      <c r="L12" s="446" t="s">
        <v>427</v>
      </c>
      <c r="M12" s="445"/>
      <c r="N12" s="720"/>
      <c r="O12" s="721"/>
      <c r="P12" s="721"/>
      <c r="Q12" s="722"/>
    </row>
    <row r="13" spans="2:17" ht="29.4" thickBot="1" x14ac:dyDescent="0.35">
      <c r="B13" s="443" t="s">
        <v>424</v>
      </c>
      <c r="C13" s="448" t="s">
        <v>458</v>
      </c>
      <c r="D13" s="449"/>
      <c r="E13" s="449"/>
      <c r="F13" s="449"/>
      <c r="G13" s="449"/>
      <c r="H13" s="449"/>
      <c r="I13" s="449" t="s">
        <v>425</v>
      </c>
      <c r="J13" s="449"/>
      <c r="K13" s="449" t="s">
        <v>419</v>
      </c>
      <c r="L13" s="447" t="s">
        <v>427</v>
      </c>
      <c r="M13" s="445"/>
      <c r="N13" s="720"/>
      <c r="O13" s="721"/>
      <c r="P13" s="721"/>
      <c r="Q13" s="722"/>
    </row>
    <row r="14" spans="2:17" ht="36" customHeight="1" thickBot="1" x14ac:dyDescent="0.35">
      <c r="B14" s="450" t="s">
        <v>424</v>
      </c>
      <c r="C14" s="445" t="s">
        <v>459</v>
      </c>
      <c r="D14" s="445"/>
      <c r="E14" s="445"/>
      <c r="F14" s="445"/>
      <c r="G14" s="445"/>
      <c r="H14" s="445"/>
      <c r="I14" s="445" t="s">
        <v>428</v>
      </c>
      <c r="J14" s="445"/>
      <c r="K14" s="445" t="s">
        <v>419</v>
      </c>
      <c r="L14" s="445" t="s">
        <v>429</v>
      </c>
      <c r="M14" s="445"/>
      <c r="N14" s="445">
        <v>42542</v>
      </c>
      <c r="O14" s="445" t="s">
        <v>428</v>
      </c>
      <c r="P14" s="445" t="s">
        <v>419</v>
      </c>
      <c r="Q14" s="451">
        <v>10.8</v>
      </c>
    </row>
    <row r="15" spans="2:17" ht="29.4" thickBot="1" x14ac:dyDescent="0.35">
      <c r="B15" s="443" t="s">
        <v>430</v>
      </c>
      <c r="C15" s="448" t="s">
        <v>460</v>
      </c>
      <c r="D15" s="449"/>
      <c r="E15" s="449"/>
      <c r="F15" s="449"/>
      <c r="G15" s="449"/>
      <c r="H15" s="449"/>
      <c r="I15" s="449" t="s">
        <v>431</v>
      </c>
      <c r="J15" s="449"/>
      <c r="K15" s="449" t="s">
        <v>419</v>
      </c>
      <c r="L15" s="446" t="s">
        <v>432</v>
      </c>
      <c r="M15" s="445"/>
      <c r="N15" s="720"/>
      <c r="O15" s="721"/>
      <c r="P15" s="721"/>
      <c r="Q15" s="722"/>
    </row>
    <row r="16" spans="2:17" ht="29.4" thickBot="1" x14ac:dyDescent="0.35">
      <c r="B16" s="443" t="s">
        <v>430</v>
      </c>
      <c r="C16" s="448" t="s">
        <v>461</v>
      </c>
      <c r="D16" s="449"/>
      <c r="E16" s="449"/>
      <c r="F16" s="449"/>
      <c r="G16" s="449"/>
      <c r="H16" s="449"/>
      <c r="I16" s="449" t="s">
        <v>433</v>
      </c>
      <c r="J16" s="449"/>
      <c r="K16" s="449" t="s">
        <v>434</v>
      </c>
      <c r="L16" s="446" t="s">
        <v>435</v>
      </c>
      <c r="M16" s="445"/>
      <c r="N16" s="720"/>
      <c r="O16" s="721"/>
      <c r="P16" s="721"/>
      <c r="Q16" s="722"/>
    </row>
    <row r="17" spans="2:17" ht="29.4" thickBot="1" x14ac:dyDescent="0.35">
      <c r="B17" s="443" t="s">
        <v>430</v>
      </c>
      <c r="C17" s="448" t="s">
        <v>462</v>
      </c>
      <c r="D17" s="449"/>
      <c r="E17" s="449"/>
      <c r="F17" s="449"/>
      <c r="G17" s="449"/>
      <c r="H17" s="449"/>
      <c r="I17" s="449" t="s">
        <v>433</v>
      </c>
      <c r="J17" s="449"/>
      <c r="K17" s="449" t="s">
        <v>436</v>
      </c>
      <c r="L17" s="446" t="s">
        <v>435</v>
      </c>
      <c r="M17" s="445"/>
      <c r="N17" s="720"/>
      <c r="O17" s="721"/>
      <c r="P17" s="721"/>
      <c r="Q17" s="722"/>
    </row>
    <row r="18" spans="2:17" ht="29.4" thickBot="1" x14ac:dyDescent="0.35">
      <c r="B18" s="450" t="s">
        <v>430</v>
      </c>
      <c r="C18" s="448" t="s">
        <v>463</v>
      </c>
      <c r="D18" s="449"/>
      <c r="E18" s="449"/>
      <c r="F18" s="449"/>
      <c r="G18" s="449"/>
      <c r="H18" s="449"/>
      <c r="I18" s="445" t="s">
        <v>437</v>
      </c>
      <c r="J18" s="445"/>
      <c r="K18" s="445" t="s">
        <v>438</v>
      </c>
      <c r="L18" s="445" t="s">
        <v>435</v>
      </c>
      <c r="M18" s="445"/>
      <c r="N18" s="445">
        <v>42906</v>
      </c>
      <c r="O18" s="445" t="s">
        <v>431</v>
      </c>
      <c r="P18" s="445">
        <v>11.18</v>
      </c>
      <c r="Q18" s="451">
        <v>12.3</v>
      </c>
    </row>
    <row r="19" spans="2:17" ht="29.4" thickBot="1" x14ac:dyDescent="0.35">
      <c r="B19" s="443" t="s">
        <v>439</v>
      </c>
      <c r="C19" s="448" t="s">
        <v>464</v>
      </c>
      <c r="D19" s="449"/>
      <c r="E19" s="449"/>
      <c r="F19" s="449"/>
      <c r="G19" s="449"/>
      <c r="H19" s="449"/>
      <c r="I19" s="449" t="s">
        <v>440</v>
      </c>
      <c r="J19" s="449"/>
      <c r="K19" s="449" t="s">
        <v>441</v>
      </c>
      <c r="L19" s="446" t="s">
        <v>442</v>
      </c>
      <c r="M19" s="445"/>
      <c r="N19" s="720"/>
      <c r="O19" s="721"/>
      <c r="P19" s="721"/>
      <c r="Q19" s="722"/>
    </row>
    <row r="20" spans="2:17" ht="29.4" thickBot="1" x14ac:dyDescent="0.35">
      <c r="B20" s="443" t="s">
        <v>439</v>
      </c>
      <c r="C20" s="448" t="s">
        <v>465</v>
      </c>
      <c r="D20" s="449"/>
      <c r="E20" s="449"/>
      <c r="F20" s="449"/>
      <c r="G20" s="449"/>
      <c r="H20" s="449"/>
      <c r="I20" s="449" t="s">
        <v>440</v>
      </c>
      <c r="J20" s="449"/>
      <c r="K20" s="449" t="s">
        <v>443</v>
      </c>
      <c r="L20" s="446" t="s">
        <v>444</v>
      </c>
      <c r="M20" s="445"/>
      <c r="N20" s="720"/>
      <c r="O20" s="721"/>
      <c r="P20" s="721"/>
      <c r="Q20" s="722"/>
    </row>
    <row r="21" spans="2:17" ht="29.4" thickBot="1" x14ac:dyDescent="0.35">
      <c r="B21" s="443" t="s">
        <v>439</v>
      </c>
      <c r="C21" s="448" t="s">
        <v>466</v>
      </c>
      <c r="D21" s="449"/>
      <c r="E21" s="449"/>
      <c r="F21" s="449"/>
      <c r="G21" s="449"/>
      <c r="H21" s="449"/>
      <c r="I21" s="449" t="s">
        <v>440</v>
      </c>
      <c r="J21" s="449"/>
      <c r="K21" s="449" t="s">
        <v>445</v>
      </c>
      <c r="L21" s="446" t="s">
        <v>446</v>
      </c>
      <c r="M21" s="445"/>
      <c r="N21" s="720"/>
      <c r="O21" s="721"/>
      <c r="P21" s="721"/>
      <c r="Q21" s="722"/>
    </row>
    <row r="22" spans="2:17" ht="29.4" thickBot="1" x14ac:dyDescent="0.35">
      <c r="B22" s="450" t="s">
        <v>439</v>
      </c>
      <c r="C22" s="444" t="s">
        <v>467</v>
      </c>
      <c r="D22" s="445"/>
      <c r="E22" s="445"/>
      <c r="F22" s="445"/>
      <c r="G22" s="445"/>
      <c r="H22" s="445"/>
      <c r="I22" s="445" t="s">
        <v>447</v>
      </c>
      <c r="J22" s="445"/>
      <c r="K22" s="445" t="s">
        <v>448</v>
      </c>
      <c r="L22" s="445" t="s">
        <v>449</v>
      </c>
      <c r="M22" s="445"/>
      <c r="N22" s="445">
        <v>43270</v>
      </c>
      <c r="O22" s="445" t="s">
        <v>450</v>
      </c>
      <c r="P22" s="445">
        <v>16.670000000000002</v>
      </c>
      <c r="Q22" s="451">
        <v>15.31</v>
      </c>
    </row>
    <row r="23" spans="2:17" s="6" customFormat="1" ht="29.4" thickBot="1" x14ac:dyDescent="0.35">
      <c r="B23" s="443" t="s">
        <v>521</v>
      </c>
      <c r="C23" s="448" t="s">
        <v>523</v>
      </c>
      <c r="D23" s="449" t="s">
        <v>526</v>
      </c>
      <c r="E23" s="546">
        <v>7.9000000000000001E-2</v>
      </c>
      <c r="F23" s="546">
        <v>8.5000000000000006E-2</v>
      </c>
      <c r="G23" s="546" t="s">
        <v>531</v>
      </c>
      <c r="H23" s="548">
        <f>365/1.35</f>
        <v>270.37037037037038</v>
      </c>
      <c r="I23" s="445" t="s">
        <v>433</v>
      </c>
      <c r="J23" s="547">
        <v>0.25</v>
      </c>
      <c r="K23" s="449" t="s">
        <v>525</v>
      </c>
      <c r="L23" s="446" t="s">
        <v>524</v>
      </c>
      <c r="M23" s="445"/>
      <c r="N23" s="734"/>
      <c r="O23" s="735"/>
      <c r="P23" s="735"/>
      <c r="Q23" s="736"/>
    </row>
    <row r="24" spans="2:17" ht="72.599999999999994" thickBot="1" x14ac:dyDescent="0.35">
      <c r="B24" s="450" t="s">
        <v>521</v>
      </c>
      <c r="C24" s="444" t="s">
        <v>522</v>
      </c>
      <c r="D24" s="444" t="s">
        <v>526</v>
      </c>
      <c r="E24" s="549">
        <v>7.9000000000000001E-2</v>
      </c>
      <c r="F24" s="549">
        <v>8.5000000000000006E-2</v>
      </c>
      <c r="G24" s="549" t="s">
        <v>531</v>
      </c>
      <c r="H24" s="550">
        <f>365/1.35</f>
        <v>270.37037037037038</v>
      </c>
      <c r="I24" s="444" t="s">
        <v>433</v>
      </c>
      <c r="J24" s="551">
        <v>0.25</v>
      </c>
      <c r="K24" s="444" t="s">
        <v>533</v>
      </c>
      <c r="L24" s="444" t="s">
        <v>534</v>
      </c>
      <c r="M24" s="552" t="s">
        <v>537</v>
      </c>
      <c r="N24" s="733"/>
      <c r="O24" s="733"/>
      <c r="P24" s="733"/>
      <c r="Q24" s="733"/>
    </row>
    <row r="25" spans="2:17" ht="15" thickBot="1" x14ac:dyDescent="0.35"/>
    <row r="26" spans="2:17" ht="15" thickBot="1" x14ac:dyDescent="0.35">
      <c r="B26" s="727" t="s">
        <v>535</v>
      </c>
      <c r="C26" s="728"/>
      <c r="D26" s="728"/>
      <c r="E26" s="728"/>
      <c r="F26" s="728"/>
      <c r="G26" s="728"/>
      <c r="H26" s="728"/>
      <c r="I26" s="728"/>
      <c r="J26" s="728"/>
      <c r="K26" s="728"/>
      <c r="L26" s="729"/>
    </row>
    <row r="27" spans="2:17" ht="43.5" customHeight="1" thickBot="1" x14ac:dyDescent="0.35">
      <c r="B27" s="730" t="s">
        <v>538</v>
      </c>
      <c r="C27" s="731"/>
      <c r="D27" s="731"/>
      <c r="E27" s="731"/>
      <c r="F27" s="732"/>
      <c r="G27" s="730" t="s">
        <v>539</v>
      </c>
      <c r="H27" s="731"/>
      <c r="I27" s="731"/>
      <c r="J27" s="731"/>
      <c r="K27" s="731"/>
      <c r="L27" s="732"/>
    </row>
  </sheetData>
  <mergeCells count="31">
    <mergeCell ref="B4:M4"/>
    <mergeCell ref="B27:F27"/>
    <mergeCell ref="G27:L27"/>
    <mergeCell ref="B26:L26"/>
    <mergeCell ref="N24:Q24"/>
    <mergeCell ref="D5:D6"/>
    <mergeCell ref="E5:E6"/>
    <mergeCell ref="F5:F6"/>
    <mergeCell ref="J5:J6"/>
    <mergeCell ref="G5:G6"/>
    <mergeCell ref="H5:H6"/>
    <mergeCell ref="N23:Q23"/>
    <mergeCell ref="M5:M6"/>
    <mergeCell ref="N4:Q4"/>
    <mergeCell ref="B5:B6"/>
    <mergeCell ref="C5:C6"/>
    <mergeCell ref="I5:I6"/>
    <mergeCell ref="N5:N6"/>
    <mergeCell ref="O5:O6"/>
    <mergeCell ref="N13:Q13"/>
    <mergeCell ref="N11:Q11"/>
    <mergeCell ref="N12:Q12"/>
    <mergeCell ref="N9:Q9"/>
    <mergeCell ref="N7:Q7"/>
    <mergeCell ref="N8:Q8"/>
    <mergeCell ref="N21:Q21"/>
    <mergeCell ref="N19:Q19"/>
    <mergeCell ref="N20:Q20"/>
    <mergeCell ref="N17:Q17"/>
    <mergeCell ref="N15:Q15"/>
    <mergeCell ref="N16:Q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T30"/>
  <sheetViews>
    <sheetView showGridLines="0" zoomScaleNormal="100" workbookViewId="0">
      <selection activeCell="H10" sqref="H10"/>
    </sheetView>
  </sheetViews>
  <sheetFormatPr defaultColWidth="9.109375" defaultRowHeight="14.4" x14ac:dyDescent="0.3"/>
  <cols>
    <col min="1" max="1" width="1.109375" style="6" customWidth="1"/>
    <col min="2" max="2" width="24.5546875" style="6" customWidth="1"/>
    <col min="3" max="10" width="12.33203125" style="6" customWidth="1"/>
    <col min="11" max="11" width="1.109375" style="6" customWidth="1"/>
    <col min="12" max="12" width="25" style="6" customWidth="1"/>
    <col min="13" max="20" width="12.33203125" style="6" customWidth="1"/>
    <col min="21" max="16384" width="9.109375" style="6"/>
  </cols>
  <sheetData>
    <row r="1" spans="2:20" x14ac:dyDescent="0.3">
      <c r="B1" s="6" t="s">
        <v>497</v>
      </c>
    </row>
    <row r="2" spans="2:20" x14ac:dyDescent="0.3">
      <c r="B2" s="6" t="s">
        <v>468</v>
      </c>
    </row>
    <row r="3" spans="2:20" ht="5.4" customHeight="1" x14ac:dyDescent="0.3">
      <c r="D3" s="1"/>
      <c r="E3" s="2"/>
      <c r="F3" s="2"/>
      <c r="G3" s="9"/>
    </row>
    <row r="4" spans="2:20" ht="16.95" customHeight="1" x14ac:dyDescent="0.3">
      <c r="B4" s="742" t="s">
        <v>94</v>
      </c>
      <c r="C4" s="743"/>
      <c r="D4" s="743"/>
      <c r="E4" s="743"/>
      <c r="F4" s="743"/>
      <c r="G4" s="743"/>
      <c r="H4" s="743"/>
      <c r="I4" s="743"/>
      <c r="J4" s="744"/>
      <c r="L4" s="745" t="s">
        <v>97</v>
      </c>
      <c r="M4" s="746"/>
      <c r="N4" s="746"/>
      <c r="O4" s="746"/>
      <c r="P4" s="746"/>
      <c r="Q4" s="746"/>
      <c r="R4" s="746"/>
      <c r="S4" s="746"/>
      <c r="T4" s="747"/>
    </row>
    <row r="5" spans="2:20" ht="16.95" customHeight="1" x14ac:dyDescent="0.3">
      <c r="B5" s="748" t="s">
        <v>95</v>
      </c>
      <c r="C5" s="21" t="s">
        <v>469</v>
      </c>
      <c r="D5" s="22" t="s">
        <v>469</v>
      </c>
      <c r="E5" s="21" t="s">
        <v>470</v>
      </c>
      <c r="F5" s="22" t="s">
        <v>470</v>
      </c>
      <c r="G5" s="21" t="s">
        <v>471</v>
      </c>
      <c r="H5" s="22" t="s">
        <v>471</v>
      </c>
      <c r="I5" s="23" t="s">
        <v>472</v>
      </c>
      <c r="J5" s="24" t="s">
        <v>472</v>
      </c>
      <c r="K5" s="10"/>
      <c r="L5" s="750" t="s">
        <v>95</v>
      </c>
      <c r="M5" s="28" t="s">
        <v>98</v>
      </c>
      <c r="N5" s="29" t="s">
        <v>98</v>
      </c>
      <c r="O5" s="28" t="s">
        <v>99</v>
      </c>
      <c r="P5" s="29" t="s">
        <v>99</v>
      </c>
      <c r="Q5" s="28" t="s">
        <v>473</v>
      </c>
      <c r="R5" s="29" t="s">
        <v>473</v>
      </c>
      <c r="S5" s="28" t="s">
        <v>474</v>
      </c>
      <c r="T5" s="29" t="s">
        <v>474</v>
      </c>
    </row>
    <row r="6" spans="2:20" ht="16.95" customHeight="1" x14ac:dyDescent="0.3">
      <c r="B6" s="749"/>
      <c r="C6" s="25" t="s">
        <v>96</v>
      </c>
      <c r="D6" s="26" t="s">
        <v>70</v>
      </c>
      <c r="E6" s="25" t="s">
        <v>96</v>
      </c>
      <c r="F6" s="26" t="s">
        <v>70</v>
      </c>
      <c r="G6" s="25" t="s">
        <v>96</v>
      </c>
      <c r="H6" s="26" t="s">
        <v>70</v>
      </c>
      <c r="I6" s="25" t="s">
        <v>96</v>
      </c>
      <c r="J6" s="27" t="s">
        <v>70</v>
      </c>
      <c r="K6" s="10"/>
      <c r="L6" s="751"/>
      <c r="M6" s="30" t="s">
        <v>96</v>
      </c>
      <c r="N6" s="31" t="s">
        <v>70</v>
      </c>
      <c r="O6" s="30" t="s">
        <v>96</v>
      </c>
      <c r="P6" s="31" t="s">
        <v>70</v>
      </c>
      <c r="Q6" s="30" t="s">
        <v>96</v>
      </c>
      <c r="R6" s="31" t="s">
        <v>70</v>
      </c>
      <c r="S6" s="30" t="s">
        <v>96</v>
      </c>
      <c r="T6" s="31" t="s">
        <v>70</v>
      </c>
    </row>
    <row r="7" spans="2:20" x14ac:dyDescent="0.3">
      <c r="B7" s="17" t="s">
        <v>475</v>
      </c>
      <c r="C7" s="19">
        <v>18</v>
      </c>
      <c r="D7" s="452">
        <v>16871.400000000001</v>
      </c>
      <c r="E7" s="19">
        <v>18</v>
      </c>
      <c r="F7" s="452">
        <v>17782.3</v>
      </c>
      <c r="G7" s="19">
        <v>18</v>
      </c>
      <c r="H7" s="452">
        <v>17880.400000000001</v>
      </c>
      <c r="I7" s="19">
        <v>18</v>
      </c>
      <c r="J7" s="456">
        <v>18674.400000000001</v>
      </c>
      <c r="K7" s="11"/>
      <c r="L7" s="17" t="str">
        <f>+B7</f>
        <v>Revenue ($M)</v>
      </c>
      <c r="M7" s="19">
        <v>25</v>
      </c>
      <c r="N7" s="452">
        <v>71267.399999999994</v>
      </c>
      <c r="O7" s="19">
        <v>23</v>
      </c>
      <c r="P7" s="452">
        <v>75123.3</v>
      </c>
      <c r="Q7" s="19">
        <v>9</v>
      </c>
      <c r="R7" s="452">
        <v>78968.2</v>
      </c>
      <c r="S7" s="19">
        <v>1</v>
      </c>
      <c r="T7" s="456">
        <v>83791</v>
      </c>
    </row>
    <row r="8" spans="2:20" x14ac:dyDescent="0.3">
      <c r="B8" s="17" t="s">
        <v>479</v>
      </c>
      <c r="C8" s="19">
        <v>10</v>
      </c>
      <c r="D8" s="452">
        <v>1437.3</v>
      </c>
      <c r="E8" s="19">
        <v>12</v>
      </c>
      <c r="F8" s="452">
        <v>1454.2</v>
      </c>
      <c r="G8" s="19">
        <v>10</v>
      </c>
      <c r="H8" s="452">
        <v>1398.1</v>
      </c>
      <c r="I8" s="19">
        <v>10</v>
      </c>
      <c r="J8" s="456">
        <v>2165.6999999999998</v>
      </c>
      <c r="K8" s="11"/>
      <c r="L8" s="17" t="str">
        <f t="shared" ref="L8:L15" si="0">+B8</f>
        <v>Operating Profit ($M)</v>
      </c>
      <c r="M8" s="19">
        <v>17</v>
      </c>
      <c r="N8" s="452">
        <v>6110.1</v>
      </c>
      <c r="O8" s="19">
        <v>16</v>
      </c>
      <c r="P8" s="452">
        <v>7128.9</v>
      </c>
      <c r="Q8" s="19">
        <v>7</v>
      </c>
      <c r="R8" s="452">
        <v>7749.9</v>
      </c>
      <c r="S8" s="19">
        <v>1</v>
      </c>
      <c r="T8" s="456">
        <v>7852</v>
      </c>
    </row>
    <row r="9" spans="2:20" x14ac:dyDescent="0.3">
      <c r="B9" s="17" t="s">
        <v>484</v>
      </c>
      <c r="C9" s="19"/>
      <c r="D9" s="453">
        <f>+D8/D7</f>
        <v>8.5191507521604593E-2</v>
      </c>
      <c r="E9" s="19"/>
      <c r="F9" s="453">
        <f>+F8/F7</f>
        <v>8.1777947734545026E-2</v>
      </c>
      <c r="G9" s="19"/>
      <c r="H9" s="453">
        <f>+H8/H7</f>
        <v>7.819176304780652E-2</v>
      </c>
      <c r="I9" s="19"/>
      <c r="J9" s="457">
        <f>+J8/J7</f>
        <v>0.11597159748104355</v>
      </c>
      <c r="K9" s="11"/>
      <c r="L9" s="17" t="str">
        <f t="shared" si="0"/>
        <v>Implied Operating Margin (%)</v>
      </c>
      <c r="M9" s="19"/>
      <c r="N9" s="453">
        <f>+N8/N7</f>
        <v>8.5734852120324306E-2</v>
      </c>
      <c r="O9" s="19"/>
      <c r="P9" s="453">
        <f>+P8/P7</f>
        <v>9.4895990990811099E-2</v>
      </c>
      <c r="Q9" s="19"/>
      <c r="R9" s="453">
        <f>+R8/R7</f>
        <v>9.8139504256143609E-2</v>
      </c>
      <c r="S9" s="19"/>
      <c r="T9" s="457">
        <f>+T8/T7</f>
        <v>9.3709348259359601E-2</v>
      </c>
    </row>
    <row r="10" spans="2:20" x14ac:dyDescent="0.3">
      <c r="B10" s="17" t="s">
        <v>476</v>
      </c>
      <c r="C10" s="19">
        <v>16</v>
      </c>
      <c r="D10" s="452">
        <v>2206.8000000000002</v>
      </c>
      <c r="E10" s="19">
        <v>16</v>
      </c>
      <c r="F10" s="452">
        <v>2239.6</v>
      </c>
      <c r="G10" s="19">
        <v>16</v>
      </c>
      <c r="H10" s="452">
        <v>2174.8000000000002</v>
      </c>
      <c r="I10" s="19">
        <v>16</v>
      </c>
      <c r="J10" s="456">
        <v>2978.1</v>
      </c>
      <c r="K10" s="11"/>
      <c r="L10" s="17" t="str">
        <f t="shared" si="0"/>
        <v>EBITDA ($M)</v>
      </c>
      <c r="M10" s="19">
        <v>21</v>
      </c>
      <c r="N10" s="452">
        <v>9376.7999999999993</v>
      </c>
      <c r="O10" s="19">
        <v>20</v>
      </c>
      <c r="P10" s="452">
        <v>10558.5</v>
      </c>
      <c r="Q10" s="19">
        <v>9</v>
      </c>
      <c r="R10" s="452">
        <v>11322.7</v>
      </c>
      <c r="S10" s="19">
        <v>1</v>
      </c>
      <c r="T10" s="456">
        <v>11256</v>
      </c>
    </row>
    <row r="11" spans="2:20" x14ac:dyDescent="0.3">
      <c r="B11" s="17" t="s">
        <v>477</v>
      </c>
      <c r="C11" s="19">
        <v>13</v>
      </c>
      <c r="D11" s="452">
        <v>1371.2</v>
      </c>
      <c r="E11" s="19">
        <v>13</v>
      </c>
      <c r="F11" s="452">
        <v>1438.8</v>
      </c>
      <c r="G11" s="19">
        <v>13</v>
      </c>
      <c r="H11" s="452">
        <v>1345.5</v>
      </c>
      <c r="I11" s="19">
        <v>13</v>
      </c>
      <c r="J11" s="456">
        <v>2155</v>
      </c>
      <c r="K11" s="11"/>
      <c r="L11" s="17" t="str">
        <f t="shared" si="0"/>
        <v>Pre-tax profit ($M)</v>
      </c>
      <c r="M11" s="19">
        <v>19</v>
      </c>
      <c r="N11" s="452">
        <v>6120.05</v>
      </c>
      <c r="O11" s="19">
        <v>18</v>
      </c>
      <c r="P11" s="452">
        <v>7101.9</v>
      </c>
      <c r="Q11" s="19">
        <v>7</v>
      </c>
      <c r="R11" s="452">
        <v>7841.6</v>
      </c>
      <c r="S11" s="19">
        <v>0</v>
      </c>
      <c r="T11" s="456"/>
    </row>
    <row r="12" spans="2:20" x14ac:dyDescent="0.3">
      <c r="B12" s="17" t="s">
        <v>478</v>
      </c>
      <c r="C12" s="19">
        <v>14</v>
      </c>
      <c r="D12" s="452">
        <v>1026.9000000000001</v>
      </c>
      <c r="E12" s="19">
        <v>14</v>
      </c>
      <c r="F12" s="452">
        <v>1071.7</v>
      </c>
      <c r="G12" s="19">
        <v>14</v>
      </c>
      <c r="H12" s="452">
        <v>1025.5</v>
      </c>
      <c r="I12" s="19">
        <v>14</v>
      </c>
      <c r="J12" s="456">
        <v>1610.1</v>
      </c>
      <c r="K12" s="11"/>
      <c r="L12" s="17" t="str">
        <f t="shared" si="0"/>
        <v>Net income (non-GAAP, $M)</v>
      </c>
      <c r="M12" s="19">
        <v>21</v>
      </c>
      <c r="N12" s="452">
        <v>4636.8999999999996</v>
      </c>
      <c r="O12" s="19">
        <v>20</v>
      </c>
      <c r="P12" s="452">
        <v>5364.3</v>
      </c>
      <c r="Q12" s="19">
        <v>8</v>
      </c>
      <c r="R12" s="452">
        <v>5858</v>
      </c>
      <c r="S12" s="19">
        <v>1</v>
      </c>
      <c r="T12" s="456">
        <v>6028</v>
      </c>
    </row>
    <row r="13" spans="2:20" x14ac:dyDescent="0.3">
      <c r="B13" s="17" t="s">
        <v>480</v>
      </c>
      <c r="C13" s="19">
        <v>23</v>
      </c>
      <c r="D13" s="454">
        <v>3.8</v>
      </c>
      <c r="E13" s="19">
        <v>23</v>
      </c>
      <c r="F13" s="454">
        <v>4.0199999999999996</v>
      </c>
      <c r="G13" s="19">
        <v>23</v>
      </c>
      <c r="H13" s="454">
        <v>3.84</v>
      </c>
      <c r="I13" s="19">
        <v>23</v>
      </c>
      <c r="J13" s="458">
        <v>6.03</v>
      </c>
      <c r="K13" s="11"/>
      <c r="L13" s="17" t="str">
        <f t="shared" si="0"/>
        <v>EPS (non-GAAP, $/per share)</v>
      </c>
      <c r="M13" s="19">
        <v>30</v>
      </c>
      <c r="N13" s="454">
        <v>17.52</v>
      </c>
      <c r="O13" s="19">
        <v>28</v>
      </c>
      <c r="P13" s="454">
        <v>20.190000000000001</v>
      </c>
      <c r="Q13" s="19">
        <v>9</v>
      </c>
      <c r="R13" s="454">
        <v>22.7</v>
      </c>
      <c r="S13" s="19">
        <v>1</v>
      </c>
      <c r="T13" s="458">
        <v>24.56</v>
      </c>
    </row>
    <row r="14" spans="2:20" x14ac:dyDescent="0.3">
      <c r="B14" s="17" t="s">
        <v>481</v>
      </c>
      <c r="C14" s="19">
        <v>3</v>
      </c>
      <c r="D14" s="452">
        <v>220.3</v>
      </c>
      <c r="E14" s="19">
        <v>3</v>
      </c>
      <c r="F14" s="452">
        <v>533.70000000000005</v>
      </c>
      <c r="G14" s="19">
        <v>3</v>
      </c>
      <c r="H14" s="452">
        <v>576.70000000000005</v>
      </c>
      <c r="I14" s="19">
        <v>3</v>
      </c>
      <c r="J14" s="456">
        <v>970.3</v>
      </c>
      <c r="K14" s="11"/>
      <c r="L14" s="17" t="str">
        <f t="shared" si="0"/>
        <v>Free cash flow ($M)</v>
      </c>
      <c r="M14" s="19">
        <v>11</v>
      </c>
      <c r="N14" s="452">
        <v>1858.8</v>
      </c>
      <c r="O14" s="19">
        <v>12</v>
      </c>
      <c r="P14" s="452">
        <v>2279.96</v>
      </c>
      <c r="Q14" s="19">
        <v>5</v>
      </c>
      <c r="R14" s="452">
        <v>3476.3</v>
      </c>
      <c r="S14" s="19">
        <v>1</v>
      </c>
      <c r="T14" s="456">
        <v>4566</v>
      </c>
    </row>
    <row r="15" spans="2:20" x14ac:dyDescent="0.3">
      <c r="B15" s="18" t="s">
        <v>482</v>
      </c>
      <c r="C15" s="20">
        <v>3</v>
      </c>
      <c r="D15" s="455">
        <v>1382.7</v>
      </c>
      <c r="E15" s="20">
        <v>2</v>
      </c>
      <c r="F15" s="455">
        <v>1437</v>
      </c>
      <c r="G15" s="20">
        <v>3</v>
      </c>
      <c r="H15" s="455">
        <v>1492.5</v>
      </c>
      <c r="I15" s="20">
        <v>3</v>
      </c>
      <c r="J15" s="459">
        <v>1492.5</v>
      </c>
      <c r="K15" s="11"/>
      <c r="L15" s="18" t="str">
        <f t="shared" si="0"/>
        <v>Capital expenditures ($M)</v>
      </c>
      <c r="M15" s="20">
        <v>11</v>
      </c>
      <c r="N15" s="455">
        <v>5607.4</v>
      </c>
      <c r="O15" s="20">
        <v>10</v>
      </c>
      <c r="P15" s="455">
        <v>6413.3</v>
      </c>
      <c r="Q15" s="20">
        <v>3</v>
      </c>
      <c r="R15" s="455">
        <v>6790.3</v>
      </c>
      <c r="S15" s="20">
        <v>0</v>
      </c>
      <c r="T15" s="459"/>
    </row>
    <row r="17" spans="2:14" x14ac:dyDescent="0.3">
      <c r="B17" s="7" t="s">
        <v>483</v>
      </c>
      <c r="C17" s="8"/>
      <c r="D17" s="8"/>
      <c r="E17" s="8"/>
      <c r="F17" s="8"/>
      <c r="I17" s="7"/>
      <c r="L17" s="7" t="s">
        <v>485</v>
      </c>
    </row>
    <row r="18" spans="2:14" ht="12.6" customHeight="1" x14ac:dyDescent="0.3">
      <c r="B18" s="7"/>
      <c r="C18" s="8"/>
      <c r="D18" s="8"/>
      <c r="E18" s="8"/>
      <c r="F18" s="8"/>
    </row>
    <row r="19" spans="2:14" ht="21" customHeight="1" x14ac:dyDescent="0.3">
      <c r="C19" s="13"/>
      <c r="D19" s="14"/>
      <c r="E19" s="14"/>
      <c r="F19" s="14"/>
      <c r="H19" s="7"/>
    </row>
    <row r="20" spans="2:14" s="5" customFormat="1" ht="21" customHeight="1" x14ac:dyDescent="0.3">
      <c r="C20" s="14"/>
      <c r="D20" s="14"/>
      <c r="E20" s="14"/>
      <c r="F20" s="14"/>
      <c r="H20" s="741"/>
      <c r="I20" s="741"/>
      <c r="J20" s="741"/>
      <c r="K20" s="741"/>
      <c r="L20" s="741"/>
      <c r="M20" s="741"/>
      <c r="N20" s="741"/>
    </row>
    <row r="21" spans="2:14" ht="21" customHeight="1" x14ac:dyDescent="0.3">
      <c r="C21" s="8"/>
      <c r="D21" s="12"/>
      <c r="E21" s="12"/>
      <c r="F21" s="12"/>
      <c r="G21" s="9"/>
    </row>
    <row r="22" spans="2:14" ht="21" customHeight="1" x14ac:dyDescent="0.3">
      <c r="C22" s="8"/>
      <c r="D22" s="12"/>
      <c r="E22" s="12"/>
      <c r="F22" s="12"/>
      <c r="G22" s="9"/>
    </row>
    <row r="23" spans="2:14" ht="21" customHeight="1" x14ac:dyDescent="0.3">
      <c r="C23" s="8"/>
      <c r="D23" s="12"/>
      <c r="E23" s="12"/>
      <c r="F23" s="12"/>
      <c r="G23" s="9"/>
    </row>
    <row r="24" spans="2:14" ht="21" customHeight="1" x14ac:dyDescent="0.3">
      <c r="C24" s="8"/>
      <c r="D24" s="12"/>
      <c r="E24" s="12"/>
      <c r="F24" s="12"/>
      <c r="G24" s="9"/>
    </row>
    <row r="25" spans="2:14" ht="21" customHeight="1" x14ac:dyDescent="0.3">
      <c r="C25" s="8"/>
      <c r="D25" s="12"/>
      <c r="E25" s="12"/>
      <c r="F25" s="15"/>
      <c r="G25" s="9"/>
    </row>
    <row r="26" spans="2:14" ht="21" customHeight="1" x14ac:dyDescent="0.3">
      <c r="C26" s="8"/>
      <c r="D26" s="12"/>
      <c r="E26" s="16"/>
      <c r="F26" s="16"/>
      <c r="G26" s="9"/>
    </row>
    <row r="27" spans="2:14" ht="21" customHeight="1" x14ac:dyDescent="0.3">
      <c r="C27" s="8"/>
      <c r="D27" s="12"/>
      <c r="E27" s="16"/>
      <c r="F27" s="16"/>
      <c r="G27" s="9"/>
    </row>
    <row r="28" spans="2:14" ht="21" customHeight="1" x14ac:dyDescent="0.3">
      <c r="C28" s="8"/>
      <c r="D28" s="12"/>
      <c r="E28" s="16"/>
      <c r="F28" s="16"/>
      <c r="G28" s="9"/>
    </row>
    <row r="29" spans="2:14" ht="21" customHeight="1" x14ac:dyDescent="0.3">
      <c r="D29" s="1"/>
      <c r="E29" s="2"/>
      <c r="F29" s="2"/>
      <c r="G29" s="9"/>
    </row>
    <row r="30" spans="2:14" ht="21" customHeight="1" x14ac:dyDescent="0.3">
      <c r="D30" s="1"/>
      <c r="E30" s="2"/>
      <c r="F30" s="2"/>
      <c r="G30" s="9"/>
    </row>
  </sheetData>
  <mergeCells count="5">
    <mergeCell ref="H20:N20"/>
    <mergeCell ref="B4:J4"/>
    <mergeCell ref="L4:T4"/>
    <mergeCell ref="B5:B6"/>
    <mergeCell ref="L5:L6"/>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2995-7B9E-4033-B251-A9F6C619E9A9}">
  <dimension ref="B1:T55"/>
  <sheetViews>
    <sheetView showGridLines="0" zoomScaleNormal="100" workbookViewId="0">
      <selection activeCell="V6" sqref="V6"/>
    </sheetView>
  </sheetViews>
  <sheetFormatPr defaultColWidth="9.109375" defaultRowHeight="14.4" x14ac:dyDescent="0.3"/>
  <cols>
    <col min="1" max="1" width="1.109375" style="6" customWidth="1"/>
    <col min="2" max="2" width="26.6640625" style="6" customWidth="1"/>
    <col min="3" max="3" width="8.6640625" style="6" customWidth="1"/>
    <col min="4" max="4" width="12.33203125" style="6" customWidth="1"/>
    <col min="5" max="6" width="11.109375" style="6" customWidth="1"/>
    <col min="7" max="7" width="13.33203125" style="6" customWidth="1"/>
    <col min="8" max="8" width="8.6640625" style="6" customWidth="1"/>
    <col min="9" max="10" width="11.109375" style="6" customWidth="1"/>
    <col min="11" max="11" width="8.6640625" style="6" customWidth="1"/>
    <col min="12" max="13" width="11.109375" style="6" customWidth="1"/>
    <col min="14" max="14" width="8.6640625" style="6" customWidth="1"/>
    <col min="15" max="16" width="11.109375" style="6" customWidth="1"/>
    <col min="17" max="17" width="8.6640625" style="6" customWidth="1"/>
    <col min="18" max="19" width="11.109375" style="6" customWidth="1"/>
    <col min="20" max="20" width="1.109375" style="6" customWidth="1"/>
    <col min="21" max="16384" width="9.109375" style="6"/>
  </cols>
  <sheetData>
    <row r="1" spans="2:20" x14ac:dyDescent="0.3">
      <c r="B1" s="6" t="s">
        <v>497</v>
      </c>
    </row>
    <row r="2" spans="2:20" x14ac:dyDescent="0.3">
      <c r="B2" s="6" t="s">
        <v>468</v>
      </c>
    </row>
    <row r="3" spans="2:20" x14ac:dyDescent="0.3">
      <c r="B3" s="6" t="s">
        <v>494</v>
      </c>
    </row>
    <row r="4" spans="2:20" ht="5.4" customHeight="1" x14ac:dyDescent="0.3">
      <c r="D4" s="1"/>
      <c r="E4" s="1"/>
      <c r="F4" s="1"/>
      <c r="G4" s="1"/>
      <c r="H4" s="2"/>
      <c r="I4" s="2"/>
      <c r="J4" s="1"/>
      <c r="K4" s="9"/>
      <c r="M4" s="1"/>
      <c r="P4" s="1"/>
      <c r="S4" s="1"/>
    </row>
    <row r="5" spans="2:20" ht="16.95" customHeight="1" x14ac:dyDescent="0.3">
      <c r="B5" s="752" t="s">
        <v>487</v>
      </c>
      <c r="C5" s="753"/>
      <c r="D5" s="753"/>
      <c r="E5" s="753"/>
      <c r="F5" s="753"/>
      <c r="G5" s="753"/>
      <c r="H5" s="753"/>
      <c r="I5" s="753"/>
      <c r="J5" s="753"/>
      <c r="K5" s="753"/>
      <c r="L5" s="753"/>
      <c r="M5" s="753"/>
      <c r="N5" s="753"/>
      <c r="O5" s="753"/>
      <c r="P5" s="753"/>
      <c r="Q5" s="753"/>
      <c r="R5" s="753"/>
      <c r="S5" s="754"/>
    </row>
    <row r="6" spans="2:20" ht="16.95" customHeight="1" x14ac:dyDescent="0.3">
      <c r="B6" s="465"/>
      <c r="C6" s="475"/>
      <c r="D6" s="476"/>
      <c r="E6" s="466" t="s">
        <v>469</v>
      </c>
      <c r="F6" s="476"/>
      <c r="G6" s="476"/>
      <c r="H6" s="475"/>
      <c r="I6" s="466" t="s">
        <v>470</v>
      </c>
      <c r="J6" s="476"/>
      <c r="K6" s="475"/>
      <c r="L6" s="466" t="s">
        <v>471</v>
      </c>
      <c r="M6" s="477"/>
      <c r="N6" s="476"/>
      <c r="O6" s="466" t="s">
        <v>472</v>
      </c>
      <c r="P6" s="477"/>
      <c r="Q6" s="476"/>
      <c r="R6" s="466" t="s">
        <v>489</v>
      </c>
      <c r="S6" s="478"/>
    </row>
    <row r="7" spans="2:20" ht="27.6" customHeight="1" x14ac:dyDescent="0.3">
      <c r="B7" s="430"/>
      <c r="C7" s="25" t="s">
        <v>96</v>
      </c>
      <c r="D7" s="460" t="s">
        <v>70</v>
      </c>
      <c r="E7" s="460" t="s">
        <v>490</v>
      </c>
      <c r="F7" s="460" t="s">
        <v>491</v>
      </c>
      <c r="G7" s="26" t="s">
        <v>492</v>
      </c>
      <c r="H7" s="21" t="s">
        <v>96</v>
      </c>
      <c r="I7" s="23" t="s">
        <v>70</v>
      </c>
      <c r="J7" s="460" t="s">
        <v>490</v>
      </c>
      <c r="K7" s="25" t="s">
        <v>96</v>
      </c>
      <c r="L7" s="460" t="s">
        <v>70</v>
      </c>
      <c r="M7" s="460" t="s">
        <v>490</v>
      </c>
      <c r="N7" s="25" t="s">
        <v>96</v>
      </c>
      <c r="O7" s="460" t="s">
        <v>70</v>
      </c>
      <c r="P7" s="460" t="s">
        <v>490</v>
      </c>
      <c r="Q7" s="25" t="s">
        <v>96</v>
      </c>
      <c r="R7" s="460" t="s">
        <v>70</v>
      </c>
      <c r="S7" s="460" t="s">
        <v>490</v>
      </c>
      <c r="T7" s="10"/>
    </row>
    <row r="8" spans="2:20" x14ac:dyDescent="0.3">
      <c r="B8" s="17" t="s">
        <v>475</v>
      </c>
      <c r="C8" s="19">
        <v>18</v>
      </c>
      <c r="D8" s="461">
        <v>16871.400000000001</v>
      </c>
      <c r="E8" s="461">
        <v>16856.352795851482</v>
      </c>
      <c r="F8" s="538">
        <f>+'FedEx Earnings Model'!S13</f>
        <v>17052</v>
      </c>
      <c r="G8" s="467">
        <f>+F8-E8</f>
        <v>195.64720414851763</v>
      </c>
      <c r="H8" s="19">
        <v>18</v>
      </c>
      <c r="I8" s="461">
        <v>17782.3</v>
      </c>
      <c r="J8" s="461">
        <v>18044.557902588942</v>
      </c>
      <c r="K8" s="19">
        <v>18</v>
      </c>
      <c r="L8" s="461">
        <v>17880.400000000001</v>
      </c>
      <c r="M8" s="461">
        <v>17874.463721077576</v>
      </c>
      <c r="N8" s="19">
        <v>18</v>
      </c>
      <c r="O8" s="461">
        <v>18674.400000000001</v>
      </c>
      <c r="P8" s="461">
        <v>18669.58214467749</v>
      </c>
      <c r="Q8" s="19"/>
      <c r="R8" s="461"/>
      <c r="S8" s="456">
        <v>17710.844728893226</v>
      </c>
      <c r="T8" s="11"/>
    </row>
    <row r="9" spans="2:20" x14ac:dyDescent="0.3">
      <c r="B9" s="17" t="s">
        <v>493</v>
      </c>
      <c r="C9" s="19">
        <v>10</v>
      </c>
      <c r="D9" s="461">
        <v>1437.3</v>
      </c>
      <c r="E9" s="461">
        <v>1405.3010846220386</v>
      </c>
      <c r="F9" s="538">
        <f>+'FedEx Earnings Model'!S27</f>
        <v>1192</v>
      </c>
      <c r="G9" s="467">
        <f t="shared" ref="G9:G16" si="0">+F9-E9</f>
        <v>-213.30108462203862</v>
      </c>
      <c r="H9" s="19">
        <v>12</v>
      </c>
      <c r="I9" s="461">
        <v>1454.2</v>
      </c>
      <c r="J9" s="461">
        <v>1550.7069786094653</v>
      </c>
      <c r="K9" s="19">
        <v>10</v>
      </c>
      <c r="L9" s="461">
        <v>1398.1</v>
      </c>
      <c r="M9" s="461">
        <v>1450.9662163808389</v>
      </c>
      <c r="N9" s="19">
        <v>10</v>
      </c>
      <c r="O9" s="461">
        <v>2165.6999999999998</v>
      </c>
      <c r="P9" s="461">
        <v>2313.3234359334742</v>
      </c>
      <c r="Q9" s="19"/>
      <c r="R9" s="461"/>
      <c r="S9" s="456">
        <v>1657.9367642813413</v>
      </c>
      <c r="T9" s="11"/>
    </row>
    <row r="10" spans="2:20" x14ac:dyDescent="0.3">
      <c r="B10" s="17" t="s">
        <v>484</v>
      </c>
      <c r="C10" s="19"/>
      <c r="D10" s="462">
        <f>+D9/D8</f>
        <v>8.5191507521604593E-2</v>
      </c>
      <c r="E10" s="462">
        <v>8.336922593171503E-2</v>
      </c>
      <c r="F10" s="539">
        <f>+F9/F8</f>
        <v>6.9903823598404885E-2</v>
      </c>
      <c r="G10" s="468">
        <f t="shared" si="0"/>
        <v>-1.3465402333310145E-2</v>
      </c>
      <c r="H10" s="19"/>
      <c r="I10" s="462">
        <f>+I9/I8</f>
        <v>8.1777947734545026E-2</v>
      </c>
      <c r="J10" s="462">
        <v>8.5937654276748876E-2</v>
      </c>
      <c r="K10" s="19"/>
      <c r="L10" s="462">
        <f>+L9/L8</f>
        <v>7.819176304780652E-2</v>
      </c>
      <c r="M10" s="462">
        <v>8.1175370574606887E-2</v>
      </c>
      <c r="N10" s="19"/>
      <c r="O10" s="462">
        <f>+O9/O8</f>
        <v>0.11597159748104355</v>
      </c>
      <c r="P10" s="462">
        <v>0.12390868836842069</v>
      </c>
      <c r="Q10" s="19"/>
      <c r="R10" s="462"/>
      <c r="S10" s="457">
        <v>9.3611388370234333E-2</v>
      </c>
      <c r="T10" s="11"/>
    </row>
    <row r="11" spans="2:20" x14ac:dyDescent="0.3">
      <c r="B11" s="17" t="s">
        <v>476</v>
      </c>
      <c r="C11" s="19">
        <v>16</v>
      </c>
      <c r="D11" s="461">
        <v>2206.8000000000002</v>
      </c>
      <c r="E11" s="461">
        <v>1880.2300570510238</v>
      </c>
      <c r="F11" s="538">
        <f>+'FedEx Earnings Model'!S36</f>
        <v>1909</v>
      </c>
      <c r="G11" s="467">
        <f t="shared" si="0"/>
        <v>28.769942948976222</v>
      </c>
      <c r="H11" s="19">
        <v>16</v>
      </c>
      <c r="I11" s="461">
        <v>2239.6</v>
      </c>
      <c r="J11" s="461">
        <v>2045.6622104972739</v>
      </c>
      <c r="K11" s="19">
        <v>16</v>
      </c>
      <c r="L11" s="461">
        <v>2174.8000000000002</v>
      </c>
      <c r="M11" s="461">
        <v>1950.8268922613763</v>
      </c>
      <c r="N11" s="19">
        <v>16</v>
      </c>
      <c r="O11" s="461">
        <v>2978.1</v>
      </c>
      <c r="P11" s="461">
        <v>3057.6332620036719</v>
      </c>
      <c r="Q11" s="19"/>
      <c r="R11" s="461"/>
      <c r="S11" s="456">
        <v>2243.6956534924711</v>
      </c>
      <c r="T11" s="11"/>
    </row>
    <row r="12" spans="2:20" x14ac:dyDescent="0.3">
      <c r="B12" s="17" t="s">
        <v>477</v>
      </c>
      <c r="C12" s="19">
        <v>13</v>
      </c>
      <c r="D12" s="461">
        <v>1371.2</v>
      </c>
      <c r="E12" s="461">
        <v>1153.0623564787106</v>
      </c>
      <c r="F12" s="538">
        <f>+'FedEx Earnings Model'!S35</f>
        <v>1101</v>
      </c>
      <c r="G12" s="467">
        <f t="shared" si="0"/>
        <v>-52.062356478710626</v>
      </c>
      <c r="H12" s="19">
        <v>13</v>
      </c>
      <c r="I12" s="461">
        <v>1438.8</v>
      </c>
      <c r="J12" s="461">
        <v>1300.5249772455334</v>
      </c>
      <c r="K12" s="19">
        <v>13</v>
      </c>
      <c r="L12" s="461">
        <v>1345.5</v>
      </c>
      <c r="M12" s="461">
        <v>1196.4865822550371</v>
      </c>
      <c r="N12" s="19">
        <v>13</v>
      </c>
      <c r="O12" s="461">
        <v>2155</v>
      </c>
      <c r="P12" s="461">
        <v>2284.6819857361779</v>
      </c>
      <c r="Q12" s="19"/>
      <c r="R12" s="461"/>
      <c r="S12" s="456">
        <v>1443.1714406608933</v>
      </c>
      <c r="T12" s="11"/>
    </row>
    <row r="13" spans="2:20" x14ac:dyDescent="0.3">
      <c r="B13" s="17" t="s">
        <v>478</v>
      </c>
      <c r="C13" s="19">
        <v>14</v>
      </c>
      <c r="D13" s="461">
        <v>1026.9000000000001</v>
      </c>
      <c r="E13" s="461">
        <v>957.53426735903292</v>
      </c>
      <c r="F13" s="538">
        <f>+'FedEx Earnings Model'!S40</f>
        <v>932.6</v>
      </c>
      <c r="G13" s="467">
        <f t="shared" si="0"/>
        <v>-24.934267359032901</v>
      </c>
      <c r="H13" s="19">
        <v>14</v>
      </c>
      <c r="I13" s="461">
        <v>1071.7</v>
      </c>
      <c r="J13" s="461">
        <v>1068.1312329341499</v>
      </c>
      <c r="K13" s="19">
        <v>14</v>
      </c>
      <c r="L13" s="461">
        <v>1025.5</v>
      </c>
      <c r="M13" s="461">
        <v>990.10243669127772</v>
      </c>
      <c r="N13" s="19">
        <v>14</v>
      </c>
      <c r="O13" s="461">
        <v>1610.1</v>
      </c>
      <c r="P13" s="461">
        <v>1635.826109338898</v>
      </c>
      <c r="Q13" s="19"/>
      <c r="R13" s="461"/>
      <c r="S13" s="456">
        <v>1133.9410804956699</v>
      </c>
      <c r="T13" s="11"/>
    </row>
    <row r="14" spans="2:20" x14ac:dyDescent="0.3">
      <c r="B14" s="17" t="s">
        <v>480</v>
      </c>
      <c r="C14" s="19">
        <v>23</v>
      </c>
      <c r="D14" s="463">
        <v>3.8</v>
      </c>
      <c r="E14" s="463">
        <v>3.5327830175235717</v>
      </c>
      <c r="F14" s="540">
        <f>+'FedEx Earnings Model'!S45</f>
        <v>3.4643387815750373</v>
      </c>
      <c r="G14" s="469">
        <f t="shared" si="0"/>
        <v>-6.8444235948534438E-2</v>
      </c>
      <c r="H14" s="19">
        <v>23</v>
      </c>
      <c r="I14" s="463">
        <v>4.0199999999999996</v>
      </c>
      <c r="J14" s="463">
        <v>3.9449679014064687</v>
      </c>
      <c r="K14" s="19">
        <v>23</v>
      </c>
      <c r="L14" s="463">
        <v>3.84</v>
      </c>
      <c r="M14" s="463">
        <v>3.662733110844949</v>
      </c>
      <c r="N14" s="19">
        <v>23</v>
      </c>
      <c r="O14" s="463">
        <v>6.03</v>
      </c>
      <c r="P14" s="463">
        <v>6.0620790147461978</v>
      </c>
      <c r="Q14" s="19"/>
      <c r="R14" s="463"/>
      <c r="S14" s="458">
        <v>4.2083009032443623</v>
      </c>
      <c r="T14" s="11"/>
    </row>
    <row r="15" spans="2:20" x14ac:dyDescent="0.3">
      <c r="B15" s="17" t="s">
        <v>481</v>
      </c>
      <c r="C15" s="19">
        <v>3</v>
      </c>
      <c r="D15" s="461">
        <v>220.3</v>
      </c>
      <c r="E15" s="461"/>
      <c r="F15" s="538"/>
      <c r="G15" s="467">
        <f t="shared" si="0"/>
        <v>0</v>
      </c>
      <c r="H15" s="19">
        <v>3</v>
      </c>
      <c r="I15" s="461">
        <v>533.70000000000005</v>
      </c>
      <c r="J15" s="461"/>
      <c r="K15" s="19">
        <v>3</v>
      </c>
      <c r="L15" s="461">
        <v>576.70000000000005</v>
      </c>
      <c r="M15" s="461"/>
      <c r="N15" s="19">
        <v>3</v>
      </c>
      <c r="O15" s="461">
        <v>970.3</v>
      </c>
      <c r="P15" s="461"/>
      <c r="Q15" s="19"/>
      <c r="R15" s="461"/>
      <c r="S15" s="456"/>
      <c r="T15" s="11"/>
    </row>
    <row r="16" spans="2:20" x14ac:dyDescent="0.3">
      <c r="B16" s="18" t="s">
        <v>482</v>
      </c>
      <c r="C16" s="20">
        <v>3</v>
      </c>
      <c r="D16" s="464">
        <v>1382.7</v>
      </c>
      <c r="E16" s="464">
        <v>1331.6518708722672</v>
      </c>
      <c r="F16" s="541">
        <f>-'FedEx Earnings Model'!S325</f>
        <v>1179</v>
      </c>
      <c r="G16" s="470">
        <f t="shared" si="0"/>
        <v>-152.65187087226718</v>
      </c>
      <c r="H16" s="20">
        <v>2</v>
      </c>
      <c r="I16" s="464">
        <v>1437</v>
      </c>
      <c r="J16" s="464">
        <v>1425.5200743045264</v>
      </c>
      <c r="K16" s="20">
        <v>3</v>
      </c>
      <c r="L16" s="464">
        <v>1492.5</v>
      </c>
      <c r="M16" s="464">
        <v>1412.0826339651285</v>
      </c>
      <c r="N16" s="20">
        <v>3</v>
      </c>
      <c r="O16" s="464">
        <v>1492.5</v>
      </c>
      <c r="P16" s="464">
        <v>1430.0708285481967</v>
      </c>
      <c r="Q16" s="20"/>
      <c r="R16" s="464"/>
      <c r="S16" s="459">
        <v>1388.5256818400935</v>
      </c>
      <c r="T16" s="11"/>
    </row>
    <row r="17" spans="2:20" ht="6" customHeight="1" x14ac:dyDescent="0.3"/>
    <row r="18" spans="2:20" ht="16.95" customHeight="1" x14ac:dyDescent="0.3">
      <c r="B18" s="755" t="s">
        <v>488</v>
      </c>
      <c r="C18" s="756"/>
      <c r="D18" s="756"/>
      <c r="E18" s="756"/>
      <c r="F18" s="756"/>
      <c r="G18" s="756"/>
      <c r="H18" s="756"/>
      <c r="I18" s="756"/>
      <c r="J18" s="756"/>
      <c r="K18" s="756"/>
      <c r="L18" s="756"/>
      <c r="M18" s="756"/>
      <c r="N18" s="756"/>
      <c r="O18" s="756"/>
      <c r="P18" s="756"/>
      <c r="Q18" s="756"/>
      <c r="R18" s="756"/>
      <c r="S18" s="757"/>
    </row>
    <row r="19" spans="2:20" ht="16.95" customHeight="1" x14ac:dyDescent="0.3">
      <c r="B19" s="465"/>
      <c r="C19" s="475"/>
      <c r="D19" s="476"/>
      <c r="E19" s="466" t="s">
        <v>495</v>
      </c>
      <c r="F19" s="476"/>
      <c r="G19" s="476"/>
      <c r="H19" s="758" t="s">
        <v>470</v>
      </c>
      <c r="I19" s="759"/>
      <c r="J19" s="759"/>
      <c r="K19" s="758" t="s">
        <v>471</v>
      </c>
      <c r="L19" s="759"/>
      <c r="M19" s="759"/>
      <c r="N19" s="759" t="s">
        <v>472</v>
      </c>
      <c r="O19" s="759"/>
      <c r="P19" s="760"/>
      <c r="Q19" s="759" t="s">
        <v>489</v>
      </c>
      <c r="R19" s="759"/>
      <c r="S19" s="761"/>
    </row>
    <row r="20" spans="2:20" ht="33.6" customHeight="1" x14ac:dyDescent="0.3">
      <c r="B20" s="429" t="s">
        <v>95</v>
      </c>
      <c r="C20" s="25" t="s">
        <v>96</v>
      </c>
      <c r="D20" s="460" t="s">
        <v>70</v>
      </c>
      <c r="E20" s="460" t="s">
        <v>490</v>
      </c>
      <c r="F20" s="460"/>
      <c r="G20" s="26"/>
      <c r="H20" s="21" t="s">
        <v>96</v>
      </c>
      <c r="I20" s="23" t="s">
        <v>70</v>
      </c>
      <c r="J20" s="23" t="s">
        <v>490</v>
      </c>
      <c r="K20" s="21" t="s">
        <v>96</v>
      </c>
      <c r="L20" s="23" t="s">
        <v>70</v>
      </c>
      <c r="M20" s="23" t="s">
        <v>490</v>
      </c>
      <c r="N20" s="21" t="s">
        <v>96</v>
      </c>
      <c r="O20" s="23" t="s">
        <v>70</v>
      </c>
      <c r="P20" s="23" t="s">
        <v>490</v>
      </c>
      <c r="Q20" s="21" t="s">
        <v>96</v>
      </c>
      <c r="R20" s="23" t="s">
        <v>70</v>
      </c>
      <c r="S20" s="23" t="s">
        <v>490</v>
      </c>
      <c r="T20" s="10"/>
    </row>
    <row r="21" spans="2:20" x14ac:dyDescent="0.3">
      <c r="B21" s="17" t="s">
        <v>475</v>
      </c>
      <c r="C21" s="556">
        <f>+C8</f>
        <v>18</v>
      </c>
      <c r="D21" s="557">
        <f>+D8</f>
        <v>16871.400000000001</v>
      </c>
      <c r="E21" s="461">
        <f>+'FedEx Earnings Model'!S13</f>
        <v>17052</v>
      </c>
      <c r="F21" s="471"/>
      <c r="G21" s="472"/>
      <c r="H21" s="19">
        <v>18</v>
      </c>
      <c r="I21" s="461">
        <v>17782.3</v>
      </c>
      <c r="J21" s="461">
        <f>+'FedEx Earnings Model'!T13</f>
        <v>17772.5</v>
      </c>
      <c r="K21" s="19">
        <v>18</v>
      </c>
      <c r="L21" s="461">
        <v>17880.400000000001</v>
      </c>
      <c r="M21" s="461">
        <f>+'FedEx Earnings Model'!U13</f>
        <v>17888.8</v>
      </c>
      <c r="N21" s="19">
        <v>18</v>
      </c>
      <c r="O21" s="461">
        <v>18674.400000000001</v>
      </c>
      <c r="P21" s="461">
        <f>+'FedEx Earnings Model'!V13</f>
        <v>18692.299999999996</v>
      </c>
      <c r="Q21" s="19"/>
      <c r="R21" s="461"/>
      <c r="S21" s="456">
        <f>+'FedEx Earnings Model'!X13</f>
        <v>18024.890000000003</v>
      </c>
      <c r="T21" s="11"/>
    </row>
    <row r="22" spans="2:20" x14ac:dyDescent="0.3">
      <c r="B22" s="17" t="s">
        <v>479</v>
      </c>
      <c r="C22" s="556">
        <f t="shared" ref="C22:C29" si="1">+C9</f>
        <v>10</v>
      </c>
      <c r="D22" s="557">
        <f t="shared" ref="D22" si="2">+D9</f>
        <v>1437.3</v>
      </c>
      <c r="E22" s="461">
        <f>+'FedEx Earnings Model'!S27</f>
        <v>1192</v>
      </c>
      <c r="F22" s="461"/>
      <c r="G22" s="472"/>
      <c r="H22" s="19">
        <v>12</v>
      </c>
      <c r="I22" s="461">
        <v>1454.2</v>
      </c>
      <c r="J22" s="461">
        <f>+'FedEx Earnings Model'!T27</f>
        <v>1421.540888468963</v>
      </c>
      <c r="K22" s="19">
        <v>10</v>
      </c>
      <c r="L22" s="461">
        <v>1398.1</v>
      </c>
      <c r="M22" s="461">
        <f>+'FedEx Earnings Model'!U27</f>
        <v>1373.7647260697183</v>
      </c>
      <c r="N22" s="19">
        <v>10</v>
      </c>
      <c r="O22" s="461">
        <v>2165.6999999999998</v>
      </c>
      <c r="P22" s="461">
        <f>+'FedEx Earnings Model'!V27</f>
        <v>2167.7568618330993</v>
      </c>
      <c r="Q22" s="19"/>
      <c r="R22" s="461"/>
      <c r="S22" s="456">
        <f>+'FedEx Earnings Model'!X27</f>
        <v>1592.8491900763365</v>
      </c>
      <c r="T22" s="11"/>
    </row>
    <row r="23" spans="2:20" x14ac:dyDescent="0.3">
      <c r="B23" s="17" t="s">
        <v>484</v>
      </c>
      <c r="C23" s="556">
        <f t="shared" si="1"/>
        <v>0</v>
      </c>
      <c r="D23" s="462">
        <f t="shared" ref="D23" si="3">+D10</f>
        <v>8.5191507521604593E-2</v>
      </c>
      <c r="E23" s="462">
        <f>+E22/E21</f>
        <v>6.9903823598404885E-2</v>
      </c>
      <c r="F23" s="462"/>
      <c r="G23" s="453"/>
      <c r="H23" s="19"/>
      <c r="I23" s="462">
        <f>+I22/I21</f>
        <v>8.1777947734545026E-2</v>
      </c>
      <c r="J23" s="462">
        <f>+J22/J21</f>
        <v>7.9985420648134076E-2</v>
      </c>
      <c r="K23" s="19"/>
      <c r="L23" s="462">
        <f>+L22/L21</f>
        <v>7.819176304780652E-2</v>
      </c>
      <c r="M23" s="462">
        <f>+M22/M21</f>
        <v>7.679468304580063E-2</v>
      </c>
      <c r="N23" s="19"/>
      <c r="O23" s="462">
        <f>+O22/O21</f>
        <v>0.11597159748104355</v>
      </c>
      <c r="P23" s="462">
        <f>+P22/P21</f>
        <v>0.11597057942752362</v>
      </c>
      <c r="Q23" s="19"/>
      <c r="R23" s="462"/>
      <c r="S23" s="457">
        <f>+S22/S21</f>
        <v>8.8369426391857936E-2</v>
      </c>
      <c r="T23" s="11"/>
    </row>
    <row r="24" spans="2:20" x14ac:dyDescent="0.3">
      <c r="B24" s="17" t="s">
        <v>476</v>
      </c>
      <c r="C24" s="556">
        <f t="shared" si="1"/>
        <v>16</v>
      </c>
      <c r="D24" s="557">
        <f t="shared" ref="D24" si="4">+D11</f>
        <v>2206.8000000000002</v>
      </c>
      <c r="E24" s="461">
        <f>+'FedEx Earnings Model'!S36</f>
        <v>1909</v>
      </c>
      <c r="F24" s="461"/>
      <c r="G24" s="472"/>
      <c r="H24" s="19">
        <v>16</v>
      </c>
      <c r="I24" s="461">
        <v>2239.6</v>
      </c>
      <c r="J24" s="461">
        <f>+'FedEx Earnings Model'!T36</f>
        <v>2063.3918225166017</v>
      </c>
      <c r="K24" s="19">
        <v>16</v>
      </c>
      <c r="L24" s="461">
        <v>2174.8000000000002</v>
      </c>
      <c r="M24" s="461">
        <f>+'FedEx Earnings Model'!U36</f>
        <v>2020.0910031674503</v>
      </c>
      <c r="N24" s="19">
        <v>16</v>
      </c>
      <c r="O24" s="461">
        <v>2978.1</v>
      </c>
      <c r="P24" s="461">
        <f>+'FedEx Earnings Model'!V36</f>
        <v>3062.8038771698366</v>
      </c>
      <c r="Q24" s="19"/>
      <c r="R24" s="461"/>
      <c r="S24" s="456">
        <f>+'FedEx Earnings Model'!X36</f>
        <v>2331.2068761014762</v>
      </c>
      <c r="T24" s="11"/>
    </row>
    <row r="25" spans="2:20" x14ac:dyDescent="0.3">
      <c r="B25" s="17" t="s">
        <v>477</v>
      </c>
      <c r="C25" s="556">
        <f t="shared" si="1"/>
        <v>13</v>
      </c>
      <c r="D25" s="557">
        <f t="shared" ref="D25" si="5">+D12</f>
        <v>1371.2</v>
      </c>
      <c r="E25" s="461">
        <f>+'FedEx Earnings Model'!S35</f>
        <v>1101</v>
      </c>
      <c r="F25" s="461"/>
      <c r="G25" s="472"/>
      <c r="H25" s="19">
        <v>13</v>
      </c>
      <c r="I25" s="461">
        <v>1438.8</v>
      </c>
      <c r="J25" s="461">
        <f>+'FedEx Earnings Model'!T35</f>
        <v>1319.8138806067961</v>
      </c>
      <c r="K25" s="19">
        <v>13</v>
      </c>
      <c r="L25" s="461">
        <v>1345.5</v>
      </c>
      <c r="M25" s="461">
        <f>+'FedEx Earnings Model'!U35</f>
        <v>1267.0694269868825</v>
      </c>
      <c r="N25" s="19">
        <v>13</v>
      </c>
      <c r="O25" s="461">
        <v>2155</v>
      </c>
      <c r="P25" s="461">
        <f>+'FedEx Earnings Model'!V35</f>
        <v>2290.4126056761716</v>
      </c>
      <c r="Q25" s="19"/>
      <c r="R25" s="461"/>
      <c r="S25" s="456">
        <f>+'FedEx Earnings Model'!X35</f>
        <v>1530.1884631508756</v>
      </c>
      <c r="T25" s="11"/>
    </row>
    <row r="26" spans="2:20" x14ac:dyDescent="0.3">
      <c r="B26" s="17" t="s">
        <v>478</v>
      </c>
      <c r="C26" s="556">
        <f t="shared" si="1"/>
        <v>14</v>
      </c>
      <c r="D26" s="557">
        <f t="shared" ref="D26" si="6">+D13</f>
        <v>1026.9000000000001</v>
      </c>
      <c r="E26" s="461">
        <f>+'FedEx Earnings Model'!S40</f>
        <v>932.6</v>
      </c>
      <c r="F26" s="461"/>
      <c r="G26" s="472"/>
      <c r="H26" s="19">
        <v>14</v>
      </c>
      <c r="I26" s="461">
        <v>1071.7</v>
      </c>
      <c r="J26" s="461">
        <f>+'FedEx Earnings Model'!T40</f>
        <v>1080.3604104550971</v>
      </c>
      <c r="K26" s="19">
        <v>14</v>
      </c>
      <c r="L26" s="461">
        <v>1025.5</v>
      </c>
      <c r="M26" s="461">
        <f>+'FedEx Earnings Model'!U40</f>
        <v>1040.8020702401618</v>
      </c>
      <c r="N26" s="19">
        <v>14</v>
      </c>
      <c r="O26" s="461">
        <v>1610.1</v>
      </c>
      <c r="P26" s="461">
        <f>+'FedEx Earnings Model'!V40</f>
        <v>1637.8865742938935</v>
      </c>
      <c r="Q26" s="19"/>
      <c r="R26" s="461"/>
      <c r="S26" s="456">
        <f>+'FedEx Earnings Model'!X40</f>
        <v>1199.2038473631567</v>
      </c>
      <c r="T26" s="11"/>
    </row>
    <row r="27" spans="2:20" x14ac:dyDescent="0.3">
      <c r="B27" s="17" t="s">
        <v>480</v>
      </c>
      <c r="C27" s="556">
        <f t="shared" si="1"/>
        <v>23</v>
      </c>
      <c r="D27" s="558">
        <f t="shared" ref="D27" si="7">+D14</f>
        <v>3.8</v>
      </c>
      <c r="E27" s="463">
        <f>+'FedEx Earnings Model'!S45</f>
        <v>3.4643387815750373</v>
      </c>
      <c r="F27" s="463"/>
      <c r="G27" s="473"/>
      <c r="H27" s="19">
        <v>23</v>
      </c>
      <c r="I27" s="463">
        <v>4.0199999999999996</v>
      </c>
      <c r="J27" s="463">
        <f>+'FedEx Earnings Model'!T45</f>
        <v>4.003615981233426</v>
      </c>
      <c r="K27" s="19">
        <v>23</v>
      </c>
      <c r="L27" s="463">
        <v>3.84</v>
      </c>
      <c r="M27" s="463">
        <f>+'FedEx Earnings Model'!U45</f>
        <v>3.8526711793717623</v>
      </c>
      <c r="N27" s="19">
        <v>23</v>
      </c>
      <c r="O27" s="463">
        <v>6.03</v>
      </c>
      <c r="P27" s="463">
        <f>+'FedEx Earnings Model'!V45</f>
        <v>6.0474885872906556</v>
      </c>
      <c r="Q27" s="19"/>
      <c r="R27" s="463"/>
      <c r="S27" s="458">
        <f>+'FedEx Earnings Model'!X45</f>
        <v>4.4300000000000015</v>
      </c>
      <c r="T27" s="11"/>
    </row>
    <row r="28" spans="2:20" x14ac:dyDescent="0.3">
      <c r="B28" s="17" t="s">
        <v>481</v>
      </c>
      <c r="C28" s="556">
        <f t="shared" si="1"/>
        <v>3</v>
      </c>
      <c r="D28" s="557">
        <f t="shared" ref="D28" si="8">+D15</f>
        <v>220.3</v>
      </c>
      <c r="E28" s="461"/>
      <c r="F28" s="461"/>
      <c r="G28" s="472"/>
      <c r="H28" s="19">
        <v>3</v>
      </c>
      <c r="I28" s="461">
        <v>533.70000000000005</v>
      </c>
      <c r="J28" s="461"/>
      <c r="K28" s="19">
        <v>3</v>
      </c>
      <c r="L28" s="461">
        <v>576.70000000000005</v>
      </c>
      <c r="M28" s="461"/>
      <c r="N28" s="19">
        <v>3</v>
      </c>
      <c r="O28" s="461">
        <v>970.3</v>
      </c>
      <c r="P28" s="461"/>
      <c r="Q28" s="19"/>
      <c r="R28" s="461"/>
      <c r="S28" s="456"/>
      <c r="T28" s="11"/>
    </row>
    <row r="29" spans="2:20" x14ac:dyDescent="0.3">
      <c r="B29" s="18" t="s">
        <v>482</v>
      </c>
      <c r="C29" s="559">
        <f t="shared" si="1"/>
        <v>3</v>
      </c>
      <c r="D29" s="560">
        <f t="shared" ref="D29" si="9">+D16</f>
        <v>1382.7</v>
      </c>
      <c r="E29" s="464">
        <f>-'FedEx Earnings Model'!S325</f>
        <v>1179</v>
      </c>
      <c r="F29" s="464"/>
      <c r="G29" s="474"/>
      <c r="H29" s="20">
        <v>2</v>
      </c>
      <c r="I29" s="464">
        <v>1437</v>
      </c>
      <c r="J29" s="464">
        <f>-'FedEx Earnings Model'!T325</f>
        <v>1439.5725</v>
      </c>
      <c r="K29" s="20">
        <v>3</v>
      </c>
      <c r="L29" s="464">
        <v>1492.5</v>
      </c>
      <c r="M29" s="464">
        <f>-'FedEx Earnings Model'!U325</f>
        <v>1448.9928</v>
      </c>
      <c r="N29" s="20">
        <v>3</v>
      </c>
      <c r="O29" s="464">
        <v>1492.5</v>
      </c>
      <c r="P29" s="464">
        <f>-'FedEx Earnings Model'!V325</f>
        <v>1532.4346999999996</v>
      </c>
      <c r="Q29" s="20"/>
      <c r="R29" s="464"/>
      <c r="S29" s="459">
        <f>-'FedEx Earnings Model'!X325</f>
        <v>1411.0045517268563</v>
      </c>
      <c r="T29" s="11"/>
    </row>
    <row r="30" spans="2:20" ht="8.4" customHeight="1" x14ac:dyDescent="0.3">
      <c r="C30" s="8"/>
      <c r="D30" s="8"/>
      <c r="E30" s="8"/>
      <c r="F30" s="8"/>
      <c r="G30" s="8"/>
      <c r="H30" s="8"/>
      <c r="I30" s="8"/>
      <c r="J30" s="8"/>
      <c r="M30" s="8"/>
      <c r="N30" s="7"/>
      <c r="P30" s="8"/>
      <c r="Q30" s="7"/>
      <c r="S30" s="8"/>
    </row>
    <row r="31" spans="2:20" ht="16.95" customHeight="1" x14ac:dyDescent="0.3">
      <c r="B31" s="762" t="s">
        <v>496</v>
      </c>
      <c r="C31" s="763"/>
      <c r="D31" s="763"/>
      <c r="E31" s="763"/>
      <c r="F31" s="763"/>
      <c r="G31" s="763"/>
      <c r="H31" s="763"/>
      <c r="I31" s="763"/>
      <c r="J31" s="763"/>
      <c r="K31" s="763"/>
      <c r="L31" s="763"/>
      <c r="M31" s="763"/>
      <c r="N31" s="763"/>
      <c r="O31" s="763"/>
      <c r="P31" s="763"/>
      <c r="Q31" s="763"/>
      <c r="R31" s="763"/>
      <c r="S31" s="764"/>
    </row>
    <row r="32" spans="2:20" ht="16.95" customHeight="1" x14ac:dyDescent="0.3">
      <c r="B32" s="465"/>
      <c r="C32" s="475"/>
      <c r="D32" s="476"/>
      <c r="E32" s="466" t="s">
        <v>495</v>
      </c>
      <c r="F32" s="476"/>
      <c r="G32" s="476"/>
      <c r="H32" s="758" t="s">
        <v>470</v>
      </c>
      <c r="I32" s="759"/>
      <c r="J32" s="759"/>
      <c r="K32" s="758" t="s">
        <v>471</v>
      </c>
      <c r="L32" s="759"/>
      <c r="M32" s="759"/>
      <c r="N32" s="759" t="s">
        <v>472</v>
      </c>
      <c r="O32" s="759"/>
      <c r="P32" s="760"/>
      <c r="Q32" s="759" t="s">
        <v>489</v>
      </c>
      <c r="R32" s="759"/>
      <c r="S32" s="761"/>
    </row>
    <row r="33" spans="2:20" ht="33.6" customHeight="1" x14ac:dyDescent="0.3">
      <c r="B33" s="429" t="s">
        <v>95</v>
      </c>
      <c r="C33" s="25"/>
      <c r="D33" s="460" t="s">
        <v>70</v>
      </c>
      <c r="E33" s="460" t="s">
        <v>490</v>
      </c>
      <c r="F33" s="23"/>
      <c r="G33" s="22"/>
      <c r="H33" s="21"/>
      <c r="I33" s="23" t="s">
        <v>70</v>
      </c>
      <c r="J33" s="23" t="s">
        <v>490</v>
      </c>
      <c r="K33" s="21"/>
      <c r="L33" s="23" t="s">
        <v>70</v>
      </c>
      <c r="M33" s="23" t="s">
        <v>490</v>
      </c>
      <c r="N33" s="21"/>
      <c r="O33" s="23" t="s">
        <v>70</v>
      </c>
      <c r="P33" s="23" t="s">
        <v>490</v>
      </c>
      <c r="Q33" s="21"/>
      <c r="R33" s="23" t="s">
        <v>70</v>
      </c>
      <c r="S33" s="24" t="s">
        <v>490</v>
      </c>
      <c r="T33" s="10"/>
    </row>
    <row r="34" spans="2:20" x14ac:dyDescent="0.3">
      <c r="B34" s="17" t="s">
        <v>475</v>
      </c>
      <c r="C34" s="19"/>
      <c r="D34" s="461">
        <f>+F8-D8</f>
        <v>180.59999999999854</v>
      </c>
      <c r="E34" s="461">
        <f>+E21-E8</f>
        <v>195.64720414851763</v>
      </c>
      <c r="F34" s="471"/>
      <c r="G34" s="472"/>
      <c r="H34" s="19"/>
      <c r="I34" s="461">
        <f>+I21-I8</f>
        <v>0</v>
      </c>
      <c r="J34" s="461">
        <f>+J21-J8</f>
        <v>-272.05790258894194</v>
      </c>
      <c r="K34" s="19"/>
      <c r="L34" s="461">
        <f>+L21-L8</f>
        <v>0</v>
      </c>
      <c r="M34" s="461">
        <f>+M21-M8</f>
        <v>14.336278922422935</v>
      </c>
      <c r="N34" s="19"/>
      <c r="O34" s="461">
        <f>+O21-O8</f>
        <v>0</v>
      </c>
      <c r="P34" s="461">
        <f>+P21-P8</f>
        <v>22.717855322505784</v>
      </c>
      <c r="Q34" s="19"/>
      <c r="R34" s="461">
        <f>+R21-R8</f>
        <v>0</v>
      </c>
      <c r="S34" s="456">
        <f>+S21-S8</f>
        <v>314.04527110677736</v>
      </c>
      <c r="T34" s="11"/>
    </row>
    <row r="35" spans="2:20" x14ac:dyDescent="0.3">
      <c r="B35" s="17" t="s">
        <v>479</v>
      </c>
      <c r="C35" s="19"/>
      <c r="D35" s="461">
        <f t="shared" ref="D35:D42" si="10">+F9-D9</f>
        <v>-245.29999999999995</v>
      </c>
      <c r="E35" s="461">
        <f t="shared" ref="E35" si="11">+E22-E9</f>
        <v>-213.30108462203862</v>
      </c>
      <c r="F35" s="461"/>
      <c r="G35" s="472"/>
      <c r="H35" s="19"/>
      <c r="I35" s="461">
        <f t="shared" ref="I35:J35" si="12">+I22-I9</f>
        <v>0</v>
      </c>
      <c r="J35" s="461">
        <f t="shared" si="12"/>
        <v>-129.16609014050232</v>
      </c>
      <c r="K35" s="19"/>
      <c r="L35" s="461">
        <f t="shared" ref="L35:M35" si="13">+L22-L9</f>
        <v>0</v>
      </c>
      <c r="M35" s="461">
        <f t="shared" si="13"/>
        <v>-77.201490311120551</v>
      </c>
      <c r="N35" s="19"/>
      <c r="O35" s="461">
        <f t="shared" ref="O35:P35" si="14">+O22-O9</f>
        <v>0</v>
      </c>
      <c r="P35" s="461">
        <f t="shared" si="14"/>
        <v>-145.56657410037496</v>
      </c>
      <c r="Q35" s="19"/>
      <c r="R35" s="461">
        <f t="shared" ref="R35:S35" si="15">+R22-R9</f>
        <v>0</v>
      </c>
      <c r="S35" s="456">
        <f t="shared" si="15"/>
        <v>-65.087574205004785</v>
      </c>
      <c r="T35" s="11"/>
    </row>
    <row r="36" spans="2:20" x14ac:dyDescent="0.3">
      <c r="B36" s="17" t="s">
        <v>484</v>
      </c>
      <c r="C36" s="19"/>
      <c r="D36" s="461">
        <f t="shared" si="10"/>
        <v>-1.5287683923199707E-2</v>
      </c>
      <c r="E36" s="462">
        <f t="shared" ref="E36" si="16">+E23-E10</f>
        <v>-1.3465402333310145E-2</v>
      </c>
      <c r="F36" s="462"/>
      <c r="G36" s="453"/>
      <c r="H36" s="19"/>
      <c r="I36" s="462">
        <f t="shared" ref="I36:J36" si="17">+I23-I10</f>
        <v>0</v>
      </c>
      <c r="J36" s="462">
        <f t="shared" si="17"/>
        <v>-5.9522336286148003E-3</v>
      </c>
      <c r="K36" s="19"/>
      <c r="L36" s="462">
        <f t="shared" ref="L36:M36" si="18">+L23-L10</f>
        <v>0</v>
      </c>
      <c r="M36" s="462">
        <f t="shared" si="18"/>
        <v>-4.3806875288062569E-3</v>
      </c>
      <c r="N36" s="19"/>
      <c r="O36" s="462">
        <f t="shared" ref="O36:P36" si="19">+O23-O10</f>
        <v>0</v>
      </c>
      <c r="P36" s="462">
        <f t="shared" si="19"/>
        <v>-7.9381089408970679E-3</v>
      </c>
      <c r="Q36" s="19"/>
      <c r="R36" s="462">
        <f t="shared" ref="R36:S36" si="20">+R23-R10</f>
        <v>0</v>
      </c>
      <c r="S36" s="457">
        <f t="shared" si="20"/>
        <v>-5.2419619783763971E-3</v>
      </c>
      <c r="T36" s="11"/>
    </row>
    <row r="37" spans="2:20" x14ac:dyDescent="0.3">
      <c r="B37" s="17" t="s">
        <v>476</v>
      </c>
      <c r="C37" s="19"/>
      <c r="D37" s="461">
        <f t="shared" si="10"/>
        <v>-297.80000000000018</v>
      </c>
      <c r="E37" s="461">
        <f t="shared" ref="E37" si="21">+E24-E11</f>
        <v>28.769942948976222</v>
      </c>
      <c r="F37" s="461"/>
      <c r="G37" s="472"/>
      <c r="H37" s="19"/>
      <c r="I37" s="461">
        <f t="shared" ref="I37:J37" si="22">+I24-I11</f>
        <v>0</v>
      </c>
      <c r="J37" s="461">
        <f t="shared" si="22"/>
        <v>17.72961201932776</v>
      </c>
      <c r="K37" s="19"/>
      <c r="L37" s="461">
        <f t="shared" ref="L37:M37" si="23">+L24-L11</f>
        <v>0</v>
      </c>
      <c r="M37" s="461">
        <f t="shared" si="23"/>
        <v>69.264110906073938</v>
      </c>
      <c r="N37" s="19"/>
      <c r="O37" s="461">
        <f t="shared" ref="O37:P37" si="24">+O24-O11</f>
        <v>0</v>
      </c>
      <c r="P37" s="461">
        <f t="shared" si="24"/>
        <v>5.17061516616468</v>
      </c>
      <c r="Q37" s="19"/>
      <c r="R37" s="461">
        <f t="shared" ref="R37:S37" si="25">+R24-R11</f>
        <v>0</v>
      </c>
      <c r="S37" s="456">
        <f t="shared" si="25"/>
        <v>87.511222609005017</v>
      </c>
      <c r="T37" s="11"/>
    </row>
    <row r="38" spans="2:20" x14ac:dyDescent="0.3">
      <c r="B38" s="17" t="s">
        <v>477</v>
      </c>
      <c r="C38" s="19"/>
      <c r="D38" s="461">
        <f t="shared" si="10"/>
        <v>-270.20000000000005</v>
      </c>
      <c r="E38" s="461">
        <f t="shared" ref="E38" si="26">+E25-E12</f>
        <v>-52.062356478710626</v>
      </c>
      <c r="F38" s="461"/>
      <c r="G38" s="472"/>
      <c r="H38" s="19"/>
      <c r="I38" s="461">
        <f t="shared" ref="I38:J38" si="27">+I25-I12</f>
        <v>0</v>
      </c>
      <c r="J38" s="461">
        <f t="shared" si="27"/>
        <v>19.288903361262783</v>
      </c>
      <c r="K38" s="19"/>
      <c r="L38" s="461">
        <f t="shared" ref="L38:M38" si="28">+L25-L12</f>
        <v>0</v>
      </c>
      <c r="M38" s="461">
        <f t="shared" si="28"/>
        <v>70.582844731845398</v>
      </c>
      <c r="N38" s="19"/>
      <c r="O38" s="461">
        <f t="shared" ref="O38:P38" si="29">+O25-O12</f>
        <v>0</v>
      </c>
      <c r="P38" s="461">
        <f t="shared" si="29"/>
        <v>5.7306199399936304</v>
      </c>
      <c r="Q38" s="19"/>
      <c r="R38" s="461">
        <f t="shared" ref="R38:S38" si="30">+R25-R12</f>
        <v>0</v>
      </c>
      <c r="S38" s="456">
        <f t="shared" si="30"/>
        <v>87.01702248998231</v>
      </c>
      <c r="T38" s="11"/>
    </row>
    <row r="39" spans="2:20" x14ac:dyDescent="0.3">
      <c r="B39" s="17" t="s">
        <v>478</v>
      </c>
      <c r="C39" s="19"/>
      <c r="D39" s="461">
        <f t="shared" si="10"/>
        <v>-94.300000000000068</v>
      </c>
      <c r="E39" s="461">
        <f t="shared" ref="E39" si="31">+E26-E13</f>
        <v>-24.934267359032901</v>
      </c>
      <c r="F39" s="461"/>
      <c r="G39" s="472"/>
      <c r="H39" s="19"/>
      <c r="I39" s="461">
        <f t="shared" ref="I39:J39" si="32">+I26-I13</f>
        <v>0</v>
      </c>
      <c r="J39" s="461">
        <f t="shared" si="32"/>
        <v>12.229177520947133</v>
      </c>
      <c r="K39" s="19"/>
      <c r="L39" s="461">
        <f t="shared" ref="L39:M39" si="33">+L26-L13</f>
        <v>0</v>
      </c>
      <c r="M39" s="461">
        <f t="shared" si="33"/>
        <v>50.699633548884094</v>
      </c>
      <c r="N39" s="19"/>
      <c r="O39" s="461">
        <f t="shared" ref="O39:P39" si="34">+O26-O13</f>
        <v>0</v>
      </c>
      <c r="P39" s="461">
        <f t="shared" si="34"/>
        <v>2.0604649549954956</v>
      </c>
      <c r="Q39" s="19"/>
      <c r="R39" s="461">
        <f t="shared" ref="R39:S39" si="35">+R26-R13</f>
        <v>0</v>
      </c>
      <c r="S39" s="456">
        <f t="shared" si="35"/>
        <v>65.262766867486789</v>
      </c>
      <c r="T39" s="11"/>
    </row>
    <row r="40" spans="2:20" x14ac:dyDescent="0.3">
      <c r="B40" s="17" t="s">
        <v>480</v>
      </c>
      <c r="C40" s="19"/>
      <c r="D40" s="461">
        <f t="shared" si="10"/>
        <v>-0.33566121842496255</v>
      </c>
      <c r="E40" s="463">
        <f t="shared" ref="E40" si="36">+E27-E14</f>
        <v>-6.8444235948534438E-2</v>
      </c>
      <c r="F40" s="463"/>
      <c r="G40" s="473"/>
      <c r="H40" s="19"/>
      <c r="I40" s="463">
        <f t="shared" ref="I40:J40" si="37">+I27-I14</f>
        <v>0</v>
      </c>
      <c r="J40" s="463">
        <f t="shared" si="37"/>
        <v>5.86480798269573E-2</v>
      </c>
      <c r="K40" s="19"/>
      <c r="L40" s="463">
        <f t="shared" ref="L40:M40" si="38">+L27-L14</f>
        <v>0</v>
      </c>
      <c r="M40" s="463">
        <f t="shared" si="38"/>
        <v>0.18993806852681328</v>
      </c>
      <c r="N40" s="19"/>
      <c r="O40" s="463">
        <f t="shared" ref="O40:P40" si="39">+O27-O14</f>
        <v>0</v>
      </c>
      <c r="P40" s="463">
        <f t="shared" si="39"/>
        <v>-1.4590427455542176E-2</v>
      </c>
      <c r="Q40" s="19"/>
      <c r="R40" s="463">
        <f t="shared" ref="R40:S40" si="40">+R27-R14</f>
        <v>0</v>
      </c>
      <c r="S40" s="458">
        <f t="shared" si="40"/>
        <v>0.22169909675563915</v>
      </c>
      <c r="T40" s="11"/>
    </row>
    <row r="41" spans="2:20" x14ac:dyDescent="0.3">
      <c r="B41" s="17" t="s">
        <v>481</v>
      </c>
      <c r="C41" s="19"/>
      <c r="D41" s="461">
        <f t="shared" si="10"/>
        <v>-220.3</v>
      </c>
      <c r="E41" s="461">
        <f t="shared" ref="E41" si="41">+E28-E15</f>
        <v>0</v>
      </c>
      <c r="F41" s="461"/>
      <c r="G41" s="472"/>
      <c r="H41" s="19"/>
      <c r="I41" s="461">
        <f t="shared" ref="I41:J41" si="42">+I28-I15</f>
        <v>0</v>
      </c>
      <c r="J41" s="461">
        <f t="shared" si="42"/>
        <v>0</v>
      </c>
      <c r="K41" s="19"/>
      <c r="L41" s="461">
        <f t="shared" ref="L41:M41" si="43">+L28-L15</f>
        <v>0</v>
      </c>
      <c r="M41" s="461">
        <f t="shared" si="43"/>
        <v>0</v>
      </c>
      <c r="N41" s="19"/>
      <c r="O41" s="461">
        <f t="shared" ref="O41:P41" si="44">+O28-O15</f>
        <v>0</v>
      </c>
      <c r="P41" s="461">
        <f t="shared" si="44"/>
        <v>0</v>
      </c>
      <c r="Q41" s="19"/>
      <c r="R41" s="461">
        <f t="shared" ref="R41:S41" si="45">+R28-R15</f>
        <v>0</v>
      </c>
      <c r="S41" s="456">
        <f t="shared" si="45"/>
        <v>0</v>
      </c>
      <c r="T41" s="11"/>
    </row>
    <row r="42" spans="2:20" x14ac:dyDescent="0.3">
      <c r="B42" s="18" t="s">
        <v>482</v>
      </c>
      <c r="C42" s="20"/>
      <c r="D42" s="461">
        <f t="shared" si="10"/>
        <v>-203.70000000000005</v>
      </c>
      <c r="E42" s="464">
        <f t="shared" ref="E42" si="46">+E29-E16</f>
        <v>-152.65187087226718</v>
      </c>
      <c r="F42" s="464"/>
      <c r="G42" s="474"/>
      <c r="H42" s="20"/>
      <c r="I42" s="464">
        <f t="shared" ref="I42:J42" si="47">+I29-I16</f>
        <v>0</v>
      </c>
      <c r="J42" s="464">
        <f t="shared" si="47"/>
        <v>14.05242569547363</v>
      </c>
      <c r="K42" s="20"/>
      <c r="L42" s="464">
        <f t="shared" ref="L42:M42" si="48">+L29-L16</f>
        <v>0</v>
      </c>
      <c r="M42" s="464">
        <f t="shared" si="48"/>
        <v>36.910166034871509</v>
      </c>
      <c r="N42" s="20"/>
      <c r="O42" s="464">
        <f t="shared" ref="O42:P42" si="49">+O29-O16</f>
        <v>0</v>
      </c>
      <c r="P42" s="464">
        <f t="shared" si="49"/>
        <v>102.36387145180288</v>
      </c>
      <c r="Q42" s="20"/>
      <c r="R42" s="464">
        <f t="shared" ref="R42:S42" si="50">+R29-R16</f>
        <v>0</v>
      </c>
      <c r="S42" s="459">
        <f t="shared" si="50"/>
        <v>22.478869886762823</v>
      </c>
      <c r="T42" s="11"/>
    </row>
    <row r="43" spans="2:20" ht="12.6" customHeight="1" x14ac:dyDescent="0.3">
      <c r="B43" s="7" t="s">
        <v>486</v>
      </c>
      <c r="C43" s="8"/>
      <c r="D43" s="8"/>
      <c r="E43" s="8"/>
      <c r="F43" s="8"/>
      <c r="G43" s="8"/>
      <c r="H43" s="8"/>
      <c r="I43" s="8"/>
      <c r="J43" s="8"/>
      <c r="M43" s="8"/>
      <c r="P43" s="8"/>
      <c r="S43" s="8"/>
    </row>
    <row r="44" spans="2:20" ht="21" customHeight="1" x14ac:dyDescent="0.3">
      <c r="C44" s="13"/>
      <c r="D44" s="14"/>
      <c r="E44" s="14"/>
      <c r="F44" s="14"/>
      <c r="G44" s="14"/>
      <c r="H44" s="14"/>
      <c r="I44" s="14"/>
      <c r="J44" s="14"/>
      <c r="L44" s="7"/>
      <c r="M44" s="14"/>
      <c r="P44" s="14"/>
      <c r="S44" s="14"/>
    </row>
    <row r="45" spans="2:20" s="5" customFormat="1" ht="21" customHeight="1" x14ac:dyDescent="0.3">
      <c r="C45" s="14"/>
      <c r="D45" s="14"/>
      <c r="E45" s="14"/>
      <c r="F45" s="14"/>
      <c r="G45" s="14"/>
      <c r="H45" s="14"/>
      <c r="I45" s="14"/>
      <c r="J45" s="14"/>
      <c r="L45" s="741"/>
      <c r="M45" s="741"/>
      <c r="N45" s="741"/>
      <c r="O45" s="741"/>
      <c r="P45" s="741"/>
      <c r="Q45" s="741"/>
      <c r="R45" s="741"/>
      <c r="S45" s="741"/>
      <c r="T45" s="741"/>
    </row>
    <row r="46" spans="2:20" ht="21" customHeight="1" x14ac:dyDescent="0.3">
      <c r="C46" s="8"/>
      <c r="D46" s="12"/>
      <c r="E46" s="12"/>
      <c r="F46" s="12"/>
      <c r="G46" s="12"/>
      <c r="H46" s="12"/>
      <c r="I46" s="12"/>
      <c r="J46" s="12"/>
      <c r="K46" s="9"/>
      <c r="M46" s="12"/>
      <c r="P46" s="12"/>
      <c r="S46" s="12"/>
    </row>
    <row r="47" spans="2:20" ht="21" customHeight="1" x14ac:dyDescent="0.3">
      <c r="C47" s="8"/>
      <c r="D47" s="12"/>
      <c r="E47" s="12"/>
      <c r="F47" s="12"/>
      <c r="G47" s="12"/>
      <c r="H47" s="12"/>
      <c r="I47" s="12"/>
      <c r="J47" s="12"/>
      <c r="K47" s="9"/>
      <c r="M47" s="12"/>
      <c r="P47" s="12"/>
      <c r="S47" s="12"/>
    </row>
    <row r="48" spans="2:20" ht="21" customHeight="1" x14ac:dyDescent="0.3">
      <c r="C48" s="8"/>
      <c r="D48" s="12"/>
      <c r="E48" s="12"/>
      <c r="F48" s="12"/>
      <c r="G48" s="12"/>
      <c r="H48" s="12"/>
      <c r="I48" s="12"/>
      <c r="J48" s="12"/>
      <c r="K48" s="9"/>
      <c r="M48" s="12"/>
      <c r="P48" s="12"/>
      <c r="S48" s="12"/>
    </row>
    <row r="49" spans="3:19" ht="21" customHeight="1" x14ac:dyDescent="0.3">
      <c r="C49" s="8"/>
      <c r="D49" s="12"/>
      <c r="E49" s="12"/>
      <c r="F49" s="12"/>
      <c r="G49" s="12"/>
      <c r="H49" s="12"/>
      <c r="I49" s="12"/>
      <c r="J49" s="12"/>
      <c r="K49" s="9"/>
      <c r="M49" s="12"/>
      <c r="P49" s="12"/>
      <c r="S49" s="12"/>
    </row>
    <row r="50" spans="3:19" ht="21" customHeight="1" x14ac:dyDescent="0.3">
      <c r="C50" s="8"/>
      <c r="D50" s="12"/>
      <c r="E50" s="12"/>
      <c r="F50" s="12"/>
      <c r="G50" s="12"/>
      <c r="H50" s="12"/>
      <c r="I50" s="15"/>
      <c r="J50" s="12"/>
      <c r="K50" s="9"/>
      <c r="M50" s="12"/>
      <c r="P50" s="12"/>
      <c r="S50" s="12"/>
    </row>
    <row r="51" spans="3:19" ht="21" customHeight="1" x14ac:dyDescent="0.3">
      <c r="C51" s="8"/>
      <c r="D51" s="12"/>
      <c r="E51" s="12"/>
      <c r="F51" s="12"/>
      <c r="G51" s="12"/>
      <c r="H51" s="16"/>
      <c r="I51" s="16"/>
      <c r="J51" s="12"/>
      <c r="K51" s="9"/>
      <c r="M51" s="12"/>
      <c r="P51" s="12"/>
      <c r="S51" s="12"/>
    </row>
    <row r="52" spans="3:19" ht="21" customHeight="1" x14ac:dyDescent="0.3">
      <c r="C52" s="8"/>
      <c r="D52" s="12"/>
      <c r="E52" s="12"/>
      <c r="F52" s="12"/>
      <c r="G52" s="12"/>
      <c r="H52" s="16"/>
      <c r="I52" s="16"/>
      <c r="J52" s="12"/>
      <c r="K52" s="9"/>
      <c r="M52" s="12"/>
      <c r="P52" s="12"/>
      <c r="S52" s="12"/>
    </row>
    <row r="53" spans="3:19" ht="21" customHeight="1" x14ac:dyDescent="0.3">
      <c r="C53" s="8"/>
      <c r="D53" s="12"/>
      <c r="E53" s="12"/>
      <c r="F53" s="12"/>
      <c r="G53" s="12"/>
      <c r="H53" s="16"/>
      <c r="I53" s="16"/>
      <c r="J53" s="12"/>
      <c r="K53" s="9"/>
      <c r="M53" s="12"/>
      <c r="P53" s="12"/>
      <c r="S53" s="12"/>
    </row>
    <row r="54" spans="3:19" ht="21" customHeight="1" x14ac:dyDescent="0.3">
      <c r="D54" s="1"/>
      <c r="E54" s="1"/>
      <c r="F54" s="1"/>
      <c r="G54" s="1"/>
      <c r="H54" s="2"/>
      <c r="I54" s="2"/>
      <c r="J54" s="1"/>
      <c r="K54" s="9"/>
      <c r="M54" s="1"/>
      <c r="P54" s="1"/>
      <c r="S54" s="1"/>
    </row>
    <row r="55" spans="3:19" ht="21" customHeight="1" x14ac:dyDescent="0.3">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FedEx Earnings Model</vt:lpstr>
      <vt:lpstr>Guidance</vt:lpstr>
      <vt:lpstr>Consensus Est (Before F1Q19)</vt:lpstr>
      <vt:lpstr>Forecast vs Actual (F1Q19)</vt:lpstr>
      <vt:lpstr>'FedEx Earnings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Admin</cp:lastModifiedBy>
  <cp:lastPrinted>2015-01-03T01:11:29Z</cp:lastPrinted>
  <dcterms:created xsi:type="dcterms:W3CDTF">2014-10-18T18:34:10Z</dcterms:created>
  <dcterms:modified xsi:type="dcterms:W3CDTF">2019-01-16T18:33:35Z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