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drawings/drawing7.xml" ContentType="application/vnd.openxmlformats-officedocument.drawingml.chartshapes+xml"/>
  <Override PartName="/xl/charts/chart11.xml" ContentType="application/vnd.openxmlformats-officedocument.drawingml.chart+xml"/>
  <Override PartName="/xl/drawings/drawing8.xml" ContentType="application/vnd.openxmlformats-officedocument.drawingml.chartshapes+xml"/>
  <Override PartName="/xl/charts/chart12.xml" ContentType="application/vnd.openxmlformats-officedocument.drawingml.chart+xml"/>
  <Override PartName="/xl/drawings/drawing9.xml" ContentType="application/vnd.openxmlformats-officedocument.drawingml.chartshapes+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charts/chart16.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7.xml" ContentType="application/vnd.openxmlformats-officedocument.drawingml.chart+xml"/>
  <Override PartName="/xl/drawings/drawing15.xml" ContentType="application/vnd.openxmlformats-officedocument.drawingml.chartshape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78A1D6F6-BF95-40CE-97E5-E272DA72EB35}" xr6:coauthVersionLast="40" xr6:coauthVersionMax="40" xr10:uidLastSave="{00000000-0000-0000-0000-000000000000}"/>
  <bookViews>
    <workbookView xWindow="480" yWindow="168" windowWidth="8952" windowHeight="7356" tabRatio="807" xr2:uid="{00000000-000D-0000-FFFF-FFFF00000000}"/>
  </bookViews>
  <sheets>
    <sheet name="FedEx Earnings Model" sheetId="3" r:id="rId1"/>
    <sheet name="Charts" sheetId="21" r:id="rId2"/>
    <sheet name="Guidance" sheetId="24" r:id="rId3"/>
    <sheet name="Std Dev &amp; Mean Return" sheetId="29" r:id="rId4"/>
    <sheet name="Consensus (Before F2Q19)" sheetId="30" r:id="rId5"/>
    <sheet name="Surprise" sheetId="34" r:id="rId6"/>
    <sheet name="Forecast vs Actual (F2Q19)" sheetId="31" r:id="rId7"/>
    <sheet name="Forecast vs Actual (F1Q19)" sheetId="26" r:id="rId8"/>
  </sheets>
  <definedNames>
    <definedName name="DATA" localSheetId="1">#REF!</definedName>
    <definedName name="DATA" localSheetId="4">#REF!</definedName>
    <definedName name="DATA" localSheetId="7">#REF!</definedName>
    <definedName name="DATA" localSheetId="6">#REF!</definedName>
    <definedName name="DATA" localSheetId="5">#REF!</definedName>
    <definedName name="DATA">#REF!</definedName>
    <definedName name="_xlnm.Print_Area" localSheetId="0">'FedEx Earnings Model'!$B$2:$AQ$424</definedName>
  </definedNames>
  <calcPr calcId="181029" concurrentCalc="0"/>
</workbook>
</file>

<file path=xl/calcChain.xml><?xml version="1.0" encoding="utf-8"?>
<calcChain xmlns="http://schemas.openxmlformats.org/spreadsheetml/2006/main">
  <c r="C410" i="3" l="1"/>
  <c r="C409" i="3"/>
  <c r="C376" i="3"/>
  <c r="S97" i="3"/>
  <c r="S95" i="3"/>
  <c r="C365" i="3"/>
  <c r="K21" i="29"/>
  <c r="K20" i="29"/>
  <c r="K22" i="29"/>
  <c r="K19" i="29"/>
  <c r="K18" i="29"/>
  <c r="K5" i="29"/>
  <c r="K16" i="29"/>
  <c r="J5" i="29"/>
  <c r="J6" i="29"/>
  <c r="J7" i="29"/>
  <c r="J8" i="29"/>
  <c r="J9" i="29"/>
  <c r="J10" i="29"/>
  <c r="J11" i="29"/>
  <c r="J12" i="29"/>
  <c r="J13" i="29"/>
  <c r="J14" i="29"/>
  <c r="J15" i="29"/>
  <c r="J16" i="29"/>
  <c r="I5" i="29"/>
  <c r="I6" i="29"/>
  <c r="I7" i="29"/>
  <c r="I8" i="29"/>
  <c r="I9" i="29"/>
  <c r="I10" i="29"/>
  <c r="I11" i="29"/>
  <c r="I12" i="29"/>
  <c r="I13" i="29"/>
  <c r="I14" i="29"/>
  <c r="I15" i="29"/>
  <c r="I16" i="29"/>
  <c r="K7" i="29"/>
  <c r="K6" i="29"/>
  <c r="K9" i="29"/>
  <c r="K13" i="29"/>
  <c r="K10" i="29"/>
  <c r="K14" i="29"/>
  <c r="K11" i="29"/>
  <c r="K15" i="29"/>
  <c r="K8" i="29"/>
  <c r="K12" i="29"/>
  <c r="I17" i="29"/>
  <c r="O37" i="26"/>
  <c r="O42" i="26"/>
  <c r="O41" i="26"/>
  <c r="O40" i="26"/>
  <c r="O39" i="26"/>
  <c r="O38" i="26"/>
  <c r="O36" i="26"/>
  <c r="O35" i="26"/>
  <c r="O34" i="26"/>
  <c r="L42" i="26"/>
  <c r="L41" i="26"/>
  <c r="L40" i="26"/>
  <c r="L39" i="26"/>
  <c r="L38" i="26"/>
  <c r="L37" i="26"/>
  <c r="L36" i="26"/>
  <c r="L35" i="26"/>
  <c r="L34" i="26"/>
  <c r="I35" i="26"/>
  <c r="I36" i="26"/>
  <c r="I37" i="26"/>
  <c r="I38" i="26"/>
  <c r="I39" i="26"/>
  <c r="I40" i="26"/>
  <c r="I41" i="26"/>
  <c r="I42" i="26"/>
  <c r="I34" i="26"/>
  <c r="D9" i="30"/>
  <c r="E9" i="30"/>
  <c r="F9" i="30"/>
  <c r="C9" i="30"/>
  <c r="R42" i="31"/>
  <c r="O42" i="31"/>
  <c r="L42" i="31"/>
  <c r="I42" i="31"/>
  <c r="S41" i="31"/>
  <c r="R41" i="31"/>
  <c r="P41" i="31"/>
  <c r="O41" i="31"/>
  <c r="M41" i="31"/>
  <c r="L41" i="31"/>
  <c r="J41" i="31"/>
  <c r="I41" i="31"/>
  <c r="E41" i="31"/>
  <c r="D41" i="31"/>
  <c r="R40" i="31"/>
  <c r="O40" i="31"/>
  <c r="L40" i="31"/>
  <c r="I40" i="31"/>
  <c r="R39" i="31"/>
  <c r="O39" i="31"/>
  <c r="L39" i="31"/>
  <c r="I39" i="31"/>
  <c r="R38" i="31"/>
  <c r="O38" i="31"/>
  <c r="L38" i="31"/>
  <c r="I38" i="31"/>
  <c r="R37" i="31"/>
  <c r="O37" i="31"/>
  <c r="L37" i="31"/>
  <c r="I37" i="31"/>
  <c r="R36" i="31"/>
  <c r="R35" i="31"/>
  <c r="O35" i="31"/>
  <c r="L35" i="31"/>
  <c r="I35" i="31"/>
  <c r="R34" i="31"/>
  <c r="O34" i="31"/>
  <c r="L34" i="31"/>
  <c r="I34" i="31"/>
  <c r="O36" i="31"/>
  <c r="L36" i="31"/>
  <c r="I36" i="31"/>
  <c r="G15" i="31"/>
  <c r="V239" i="3"/>
  <c r="U239" i="3"/>
  <c r="T239" i="3"/>
  <c r="S196" i="3"/>
  <c r="S155" i="3"/>
  <c r="V238" i="3"/>
  <c r="U238" i="3"/>
  <c r="T238" i="3"/>
  <c r="T32" i="3"/>
  <c r="U32" i="3"/>
  <c r="V32" i="3"/>
  <c r="X32" i="3"/>
  <c r="Y32" i="3"/>
  <c r="Z32" i="3"/>
  <c r="AA32" i="3"/>
  <c r="AC32" i="3"/>
  <c r="AD32" i="3"/>
  <c r="AE32" i="3"/>
  <c r="AF32" i="3"/>
  <c r="AH32" i="3"/>
  <c r="H24" i="24"/>
  <c r="H23" i="24"/>
  <c r="AI32" i="3"/>
  <c r="AJ32" i="3"/>
  <c r="AK32" i="3"/>
  <c r="AM32" i="3"/>
  <c r="AG32" i="3"/>
  <c r="M243" i="3"/>
  <c r="M242" i="3"/>
  <c r="S202" i="3"/>
  <c r="Q23" i="3"/>
  <c r="P23" i="3"/>
  <c r="O23" i="3"/>
  <c r="N23" i="3"/>
  <c r="L23" i="3"/>
  <c r="K23" i="3"/>
  <c r="J23" i="3"/>
  <c r="I23" i="3"/>
  <c r="Q175" i="3"/>
  <c r="P175" i="3"/>
  <c r="O175" i="3"/>
  <c r="N175" i="3"/>
  <c r="L175" i="3"/>
  <c r="K175" i="3"/>
  <c r="J175" i="3"/>
  <c r="I175" i="3"/>
  <c r="Q166" i="3"/>
  <c r="P166" i="3"/>
  <c r="O166" i="3"/>
  <c r="N166" i="3"/>
  <c r="L166" i="3"/>
  <c r="K166" i="3"/>
  <c r="J166" i="3"/>
  <c r="I166" i="3"/>
  <c r="Q149" i="3"/>
  <c r="P149" i="3"/>
  <c r="O149" i="3"/>
  <c r="N149" i="3"/>
  <c r="L149" i="3"/>
  <c r="K149" i="3"/>
  <c r="J149" i="3"/>
  <c r="I149" i="3"/>
  <c r="I70" i="3"/>
  <c r="J70" i="3"/>
  <c r="K70" i="3"/>
  <c r="L70" i="3"/>
  <c r="N70" i="3"/>
  <c r="O70" i="3"/>
  <c r="P70" i="3"/>
  <c r="Q70" i="3"/>
  <c r="AB32" i="3"/>
  <c r="W32" i="3"/>
  <c r="H32" i="3"/>
  <c r="M32" i="3"/>
  <c r="R32" i="3"/>
  <c r="R33" i="3"/>
  <c r="G34" i="3"/>
  <c r="F34" i="3"/>
  <c r="E34" i="3"/>
  <c r="D34" i="3"/>
  <c r="L34" i="3"/>
  <c r="K34" i="3"/>
  <c r="J34" i="3"/>
  <c r="I34" i="3"/>
  <c r="Q34" i="3"/>
  <c r="P34" i="3"/>
  <c r="O34" i="3"/>
  <c r="N34" i="3"/>
  <c r="AN32" i="3"/>
  <c r="AO32" i="3"/>
  <c r="AP32" i="3"/>
  <c r="AL32" i="3"/>
  <c r="S31" i="3"/>
  <c r="R31" i="3"/>
  <c r="S305" i="3"/>
  <c r="S304" i="3"/>
  <c r="S301" i="3"/>
  <c r="S300" i="3"/>
  <c r="S298" i="3"/>
  <c r="S299" i="3"/>
  <c r="S297" i="3"/>
  <c r="S296" i="3"/>
  <c r="S294" i="3"/>
  <c r="S295" i="3"/>
  <c r="S359" i="3"/>
  <c r="S357" i="3"/>
  <c r="S356" i="3"/>
  <c r="S233" i="3"/>
  <c r="S231" i="3"/>
  <c r="S230" i="3"/>
  <c r="S179" i="3"/>
  <c r="S176" i="3"/>
  <c r="S172" i="3"/>
  <c r="S160" i="3"/>
  <c r="S158" i="3"/>
  <c r="S143" i="3"/>
  <c r="X143" i="3"/>
  <c r="Y143" i="3"/>
  <c r="Z143" i="3"/>
  <c r="AA143" i="3"/>
  <c r="S141" i="3"/>
  <c r="S139" i="3"/>
  <c r="S133" i="3"/>
  <c r="S131" i="3"/>
  <c r="S127" i="3"/>
  <c r="S125" i="3"/>
  <c r="S121" i="3"/>
  <c r="S119" i="3"/>
  <c r="S115" i="3"/>
  <c r="S113" i="3"/>
  <c r="S109" i="3"/>
  <c r="S107" i="3"/>
  <c r="S103" i="3"/>
  <c r="S101" i="3"/>
  <c r="S89" i="3"/>
  <c r="S91" i="3"/>
  <c r="S85" i="3"/>
  <c r="S83" i="3"/>
  <c r="S79" i="3"/>
  <c r="S77" i="3"/>
  <c r="S59" i="3"/>
  <c r="S47" i="3"/>
  <c r="S24" i="3"/>
  <c r="S25" i="3"/>
  <c r="AQ32" i="3"/>
  <c r="S34" i="3"/>
  <c r="S35" i="3"/>
  <c r="T269" i="3"/>
  <c r="U269" i="3"/>
  <c r="V269" i="3"/>
  <c r="X269" i="3"/>
  <c r="Y269" i="3"/>
  <c r="Z269" i="3"/>
  <c r="AA269" i="3"/>
  <c r="AC269" i="3"/>
  <c r="AD269" i="3"/>
  <c r="AE269" i="3"/>
  <c r="AF269" i="3"/>
  <c r="AH269" i="3"/>
  <c r="AI269" i="3"/>
  <c r="AJ269" i="3"/>
  <c r="AK269" i="3"/>
  <c r="AM269" i="3"/>
  <c r="AN269" i="3"/>
  <c r="AO269" i="3"/>
  <c r="AP269" i="3"/>
  <c r="Q297" i="3"/>
  <c r="V297" i="3"/>
  <c r="AA297" i="3"/>
  <c r="AF297" i="3"/>
  <c r="AK297" i="3"/>
  <c r="AP297" i="3"/>
  <c r="P297" i="3"/>
  <c r="U297" i="3"/>
  <c r="Z297" i="3"/>
  <c r="AE297" i="3"/>
  <c r="AJ297" i="3"/>
  <c r="AO297" i="3"/>
  <c r="O297" i="3"/>
  <c r="T297" i="3"/>
  <c r="Y297" i="3"/>
  <c r="AD297" i="3"/>
  <c r="AI297" i="3"/>
  <c r="AN297" i="3"/>
  <c r="N297" i="3"/>
  <c r="X297" i="3"/>
  <c r="AC297" i="3"/>
  <c r="AH297" i="3"/>
  <c r="AM297" i="3"/>
  <c r="I297" i="3"/>
  <c r="J297" i="3"/>
  <c r="K297" i="3"/>
  <c r="L297" i="3"/>
  <c r="F297" i="3"/>
  <c r="G297" i="3"/>
  <c r="E297" i="3"/>
  <c r="T259" i="3"/>
  <c r="U259" i="3"/>
  <c r="V259" i="3"/>
  <c r="X259" i="3"/>
  <c r="Y259" i="3"/>
  <c r="Z259" i="3"/>
  <c r="AA259" i="3"/>
  <c r="AC259" i="3"/>
  <c r="AD259" i="3"/>
  <c r="AE259" i="3"/>
  <c r="AF259" i="3"/>
  <c r="AH259" i="3"/>
  <c r="AI259" i="3"/>
  <c r="AJ259" i="3"/>
  <c r="AK259" i="3"/>
  <c r="AM259" i="3"/>
  <c r="AN259" i="3"/>
  <c r="AO259" i="3"/>
  <c r="AP259" i="3"/>
  <c r="T258" i="3"/>
  <c r="U258" i="3"/>
  <c r="V258" i="3"/>
  <c r="X258" i="3"/>
  <c r="Y258" i="3"/>
  <c r="Z258" i="3"/>
  <c r="AA258" i="3"/>
  <c r="AC258" i="3"/>
  <c r="AD258" i="3"/>
  <c r="AE258" i="3"/>
  <c r="AF258" i="3"/>
  <c r="AH258" i="3"/>
  <c r="AI258" i="3"/>
  <c r="AJ258" i="3"/>
  <c r="AK258" i="3"/>
  <c r="AM258" i="3"/>
  <c r="AN258" i="3"/>
  <c r="AO258" i="3"/>
  <c r="AP258" i="3"/>
  <c r="W233" i="3"/>
  <c r="Q176" i="3"/>
  <c r="X359" i="3"/>
  <c r="Y359" i="3"/>
  <c r="Z359" i="3"/>
  <c r="AA359" i="3"/>
  <c r="AC359" i="3"/>
  <c r="AD359" i="3"/>
  <c r="AE359" i="3"/>
  <c r="E79" i="3"/>
  <c r="AF359" i="3"/>
  <c r="AA207" i="3"/>
  <c r="AB207" i="3"/>
  <c r="AQ207" i="3"/>
  <c r="AL207" i="3"/>
  <c r="AL216" i="3"/>
  <c r="AQ216" i="3"/>
  <c r="AG207" i="3"/>
  <c r="V206" i="3"/>
  <c r="W206" i="3"/>
  <c r="W215" i="3"/>
  <c r="V204" i="3"/>
  <c r="AH359" i="3"/>
  <c r="AI359" i="3"/>
  <c r="T232" i="3"/>
  <c r="U232" i="3"/>
  <c r="V232" i="3"/>
  <c r="X232" i="3"/>
  <c r="Y232" i="3"/>
  <c r="Z232" i="3"/>
  <c r="AA232" i="3"/>
  <c r="AC232" i="3"/>
  <c r="AD232" i="3"/>
  <c r="AE232" i="3"/>
  <c r="AF232" i="3"/>
  <c r="AH232" i="3"/>
  <c r="AI232" i="3"/>
  <c r="AJ232" i="3"/>
  <c r="AK232" i="3"/>
  <c r="AM232" i="3"/>
  <c r="AN232" i="3"/>
  <c r="AO232" i="3"/>
  <c r="AP232" i="3"/>
  <c r="AJ359" i="3"/>
  <c r="D301" i="3"/>
  <c r="H202" i="3"/>
  <c r="G208" i="3"/>
  <c r="AO26" i="3"/>
  <c r="AN26" i="3"/>
  <c r="AM26" i="3"/>
  <c r="AQ21" i="3"/>
  <c r="AJ26" i="3"/>
  <c r="AI26" i="3"/>
  <c r="AH26" i="3"/>
  <c r="AL21" i="3"/>
  <c r="AE26" i="3"/>
  <c r="AD26" i="3"/>
  <c r="AC26" i="3"/>
  <c r="AG21" i="3"/>
  <c r="Z26" i="3"/>
  <c r="Y26" i="3"/>
  <c r="X26" i="3"/>
  <c r="AB21" i="3"/>
  <c r="AQ244" i="3"/>
  <c r="AQ240" i="3"/>
  <c r="AQ238" i="3"/>
  <c r="AQ236" i="3"/>
  <c r="AL244" i="3"/>
  <c r="AL240" i="3"/>
  <c r="AL238" i="3"/>
  <c r="AL236" i="3"/>
  <c r="AG244" i="3"/>
  <c r="AG240" i="3"/>
  <c r="AG238" i="3"/>
  <c r="AG236" i="3"/>
  <c r="AB244" i="3"/>
  <c r="AB240" i="3"/>
  <c r="AB238" i="3"/>
  <c r="AB236" i="3"/>
  <c r="W244" i="3"/>
  <c r="T243" i="3"/>
  <c r="U243" i="3"/>
  <c r="W238" i="3"/>
  <c r="T237" i="3"/>
  <c r="U237" i="3"/>
  <c r="V237" i="3"/>
  <c r="W236" i="3"/>
  <c r="V46" i="3"/>
  <c r="AA46" i="3"/>
  <c r="AF46" i="3"/>
  <c r="AK46" i="3"/>
  <c r="AP46" i="3"/>
  <c r="U46" i="3"/>
  <c r="Z46" i="3"/>
  <c r="AE46" i="3"/>
  <c r="AJ46" i="3"/>
  <c r="AO46" i="3"/>
  <c r="T46" i="3"/>
  <c r="Y46" i="3"/>
  <c r="AD46" i="3"/>
  <c r="AI46" i="3"/>
  <c r="AN46" i="3"/>
  <c r="X46" i="3"/>
  <c r="X33" i="3"/>
  <c r="Y33" i="3"/>
  <c r="Z33" i="3"/>
  <c r="AA33" i="3"/>
  <c r="AC33" i="3"/>
  <c r="AD33" i="3"/>
  <c r="AE33" i="3"/>
  <c r="AF33" i="3"/>
  <c r="AH33" i="3"/>
  <c r="AI33" i="3"/>
  <c r="AJ33" i="3"/>
  <c r="AK33" i="3"/>
  <c r="AM33" i="3"/>
  <c r="AN33" i="3"/>
  <c r="AO33" i="3"/>
  <c r="AP33" i="3"/>
  <c r="AQ341" i="3"/>
  <c r="AQ339" i="3"/>
  <c r="AQ338" i="3"/>
  <c r="AQ335" i="3"/>
  <c r="AQ328" i="3"/>
  <c r="AO322" i="3"/>
  <c r="AN322" i="3"/>
  <c r="AM322" i="3"/>
  <c r="AQ318" i="3"/>
  <c r="AP316" i="3"/>
  <c r="AO316" i="3"/>
  <c r="AN316" i="3"/>
  <c r="AM316" i="3"/>
  <c r="AL341" i="3"/>
  <c r="AL339" i="3"/>
  <c r="AL338" i="3"/>
  <c r="AL335" i="3"/>
  <c r="AL328" i="3"/>
  <c r="AJ322" i="3"/>
  <c r="AI322" i="3"/>
  <c r="AH322" i="3"/>
  <c r="AL318" i="3"/>
  <c r="AK316" i="3"/>
  <c r="AJ316" i="3"/>
  <c r="AI316" i="3"/>
  <c r="AH316" i="3"/>
  <c r="AG341" i="3"/>
  <c r="AG339" i="3"/>
  <c r="AG338" i="3"/>
  <c r="AG335" i="3"/>
  <c r="AG328" i="3"/>
  <c r="AE322" i="3"/>
  <c r="AD322" i="3"/>
  <c r="AC322" i="3"/>
  <c r="AG318" i="3"/>
  <c r="AF316" i="3"/>
  <c r="AE316" i="3"/>
  <c r="AD316" i="3"/>
  <c r="AC316" i="3"/>
  <c r="AB341" i="3"/>
  <c r="AB339" i="3"/>
  <c r="AB338" i="3"/>
  <c r="AB335" i="3"/>
  <c r="AB328" i="3"/>
  <c r="Z322" i="3"/>
  <c r="Y322" i="3"/>
  <c r="X322" i="3"/>
  <c r="AB318" i="3"/>
  <c r="AA316" i="3"/>
  <c r="Z316" i="3"/>
  <c r="Y316" i="3"/>
  <c r="X316" i="3"/>
  <c r="AQ252" i="3"/>
  <c r="AL252" i="3"/>
  <c r="AG252" i="3"/>
  <c r="AB252" i="3"/>
  <c r="T322" i="3"/>
  <c r="U322" i="3"/>
  <c r="R191" i="3"/>
  <c r="R270" i="3"/>
  <c r="R287" i="3"/>
  <c r="T283" i="3"/>
  <c r="U283" i="3"/>
  <c r="V283" i="3"/>
  <c r="T279" i="3"/>
  <c r="U279" i="3"/>
  <c r="V279" i="3"/>
  <c r="X279" i="3"/>
  <c r="Y279" i="3"/>
  <c r="Z279" i="3"/>
  <c r="AA279" i="3"/>
  <c r="W283" i="3"/>
  <c r="AK359" i="3"/>
  <c r="W237" i="3"/>
  <c r="AB279" i="3"/>
  <c r="AC279" i="3"/>
  <c r="AD279" i="3"/>
  <c r="AE279" i="3"/>
  <c r="AF279" i="3"/>
  <c r="X241" i="3"/>
  <c r="X239" i="3"/>
  <c r="X237" i="3"/>
  <c r="Y226" i="3"/>
  <c r="AB46" i="3"/>
  <c r="AC46" i="3"/>
  <c r="T253" i="3"/>
  <c r="AB316" i="3"/>
  <c r="X243" i="3"/>
  <c r="AQ316" i="3"/>
  <c r="W239" i="3"/>
  <c r="AL316" i="3"/>
  <c r="AQ33" i="3"/>
  <c r="AL33" i="3"/>
  <c r="AG33" i="3"/>
  <c r="AG316" i="3"/>
  <c r="AB33" i="3"/>
  <c r="T273" i="3"/>
  <c r="U273" i="3"/>
  <c r="V273" i="3"/>
  <c r="X273" i="3"/>
  <c r="Y273" i="3"/>
  <c r="Z273" i="3"/>
  <c r="AA273" i="3"/>
  <c r="T316" i="3"/>
  <c r="U316" i="3"/>
  <c r="V316" i="3"/>
  <c r="D357" i="3"/>
  <c r="I356" i="3"/>
  <c r="N356" i="3"/>
  <c r="D356" i="3"/>
  <c r="Q305" i="3"/>
  <c r="Q304" i="3"/>
  <c r="Q298" i="3"/>
  <c r="V298" i="3"/>
  <c r="Q296" i="3"/>
  <c r="Q299" i="3"/>
  <c r="AA298" i="3"/>
  <c r="AM359" i="3"/>
  <c r="AN359" i="3"/>
  <c r="T241" i="3"/>
  <c r="X39" i="3"/>
  <c r="AG46" i="3"/>
  <c r="AG47" i="3"/>
  <c r="AH46" i="3"/>
  <c r="AG279" i="3"/>
  <c r="AH279" i="3"/>
  <c r="AI279" i="3"/>
  <c r="AJ279" i="3"/>
  <c r="AK279" i="3"/>
  <c r="AB273" i="3"/>
  <c r="AC273" i="3"/>
  <c r="AD273" i="3"/>
  <c r="AE273" i="3"/>
  <c r="AF273" i="3"/>
  <c r="Y239" i="3"/>
  <c r="Z226" i="3"/>
  <c r="Y237" i="3"/>
  <c r="Y243" i="3"/>
  <c r="Y241" i="3"/>
  <c r="T272" i="3"/>
  <c r="U272" i="3"/>
  <c r="V272" i="3"/>
  <c r="X272" i="3"/>
  <c r="Y272" i="3"/>
  <c r="Z272" i="3"/>
  <c r="AA272" i="3"/>
  <c r="I92" i="3"/>
  <c r="AO359" i="3"/>
  <c r="AP359" i="3"/>
  <c r="AA299" i="3"/>
  <c r="AF298" i="3"/>
  <c r="V241" i="3"/>
  <c r="U241" i="3"/>
  <c r="U39" i="3"/>
  <c r="Y39" i="3"/>
  <c r="Z237" i="3"/>
  <c r="Z243" i="3"/>
  <c r="AA226" i="3"/>
  <c r="AC226" i="3"/>
  <c r="Z241" i="3"/>
  <c r="Z239" i="3"/>
  <c r="AL279" i="3"/>
  <c r="AM279" i="3"/>
  <c r="AN279" i="3"/>
  <c r="AO279" i="3"/>
  <c r="AP279" i="3"/>
  <c r="AQ279" i="3"/>
  <c r="AB272" i="3"/>
  <c r="AC272" i="3"/>
  <c r="AD272" i="3"/>
  <c r="AE272" i="3"/>
  <c r="AF272" i="3"/>
  <c r="AG273" i="3"/>
  <c r="AH273" i="3"/>
  <c r="AI273" i="3"/>
  <c r="AJ273" i="3"/>
  <c r="AK273" i="3"/>
  <c r="AL46" i="3"/>
  <c r="AL47" i="3"/>
  <c r="AM46" i="3"/>
  <c r="AQ46" i="3"/>
  <c r="D26" i="3"/>
  <c r="E26" i="3"/>
  <c r="F26" i="3"/>
  <c r="G26" i="3"/>
  <c r="H26" i="3"/>
  <c r="D39" i="3"/>
  <c r="E39" i="3"/>
  <c r="F39" i="3"/>
  <c r="G39" i="3"/>
  <c r="H39" i="3"/>
  <c r="L241" i="3"/>
  <c r="L240" i="3"/>
  <c r="L26" i="3"/>
  <c r="R39" i="3"/>
  <c r="S39" i="3"/>
  <c r="T39" i="3"/>
  <c r="I39" i="3"/>
  <c r="J39" i="3"/>
  <c r="K39" i="3"/>
  <c r="L39" i="3"/>
  <c r="N39" i="3"/>
  <c r="O39" i="3"/>
  <c r="P39" i="3"/>
  <c r="S26" i="3"/>
  <c r="T26" i="3"/>
  <c r="U26" i="3"/>
  <c r="I26" i="3"/>
  <c r="J26" i="3"/>
  <c r="K26" i="3"/>
  <c r="N26" i="3"/>
  <c r="O26" i="3"/>
  <c r="P26" i="3"/>
  <c r="R26" i="3"/>
  <c r="Q39" i="3"/>
  <c r="Q26" i="3"/>
  <c r="M241" i="3"/>
  <c r="M39" i="3"/>
  <c r="M240" i="3"/>
  <c r="M26" i="3"/>
  <c r="E350" i="3"/>
  <c r="F350" i="3"/>
  <c r="G350" i="3"/>
  <c r="I350" i="3"/>
  <c r="J350" i="3"/>
  <c r="K350" i="3"/>
  <c r="L350" i="3"/>
  <c r="N350" i="3"/>
  <c r="O350" i="3"/>
  <c r="P350" i="3"/>
  <c r="Q350" i="3"/>
  <c r="D350" i="3"/>
  <c r="N233" i="3"/>
  <c r="P233" i="3"/>
  <c r="H233" i="3"/>
  <c r="G233" i="3"/>
  <c r="M233" i="3"/>
  <c r="M31" i="3"/>
  <c r="H31" i="3"/>
  <c r="R202" i="3"/>
  <c r="R199" i="3"/>
  <c r="R201" i="3"/>
  <c r="W201" i="3"/>
  <c r="Q200" i="3"/>
  <c r="R200" i="3"/>
  <c r="R194" i="3"/>
  <c r="R205" i="3"/>
  <c r="P135" i="3"/>
  <c r="O135" i="3"/>
  <c r="AF299" i="3"/>
  <c r="AK298" i="3"/>
  <c r="AQ47" i="3"/>
  <c r="W241" i="3"/>
  <c r="W240" i="3"/>
  <c r="AA241" i="3"/>
  <c r="AB241" i="3"/>
  <c r="AA239" i="3"/>
  <c r="AB239" i="3"/>
  <c r="AA237" i="3"/>
  <c r="AB237" i="3"/>
  <c r="AG272" i="3"/>
  <c r="AH272" i="3"/>
  <c r="AI272" i="3"/>
  <c r="AJ272" i="3"/>
  <c r="AK272" i="3"/>
  <c r="Z39" i="3"/>
  <c r="AL273" i="3"/>
  <c r="AM273" i="3"/>
  <c r="AN273" i="3"/>
  <c r="AO273" i="3"/>
  <c r="AP273" i="3"/>
  <c r="AQ273" i="3"/>
  <c r="R195" i="3"/>
  <c r="W194" i="3"/>
  <c r="G59" i="3"/>
  <c r="F59" i="3"/>
  <c r="E59" i="3"/>
  <c r="D59" i="3"/>
  <c r="G172" i="3"/>
  <c r="F172" i="3"/>
  <c r="E172" i="3"/>
  <c r="D172" i="3"/>
  <c r="G158" i="3"/>
  <c r="F158" i="3"/>
  <c r="E158" i="3"/>
  <c r="D158" i="3"/>
  <c r="G156" i="3"/>
  <c r="F156" i="3"/>
  <c r="E156" i="3"/>
  <c r="D156" i="3"/>
  <c r="G141" i="3"/>
  <c r="F141" i="3"/>
  <c r="E141" i="3"/>
  <c r="D141" i="3"/>
  <c r="G139" i="3"/>
  <c r="F139" i="3"/>
  <c r="E139" i="3"/>
  <c r="D139" i="3"/>
  <c r="G133" i="3"/>
  <c r="F133" i="3"/>
  <c r="E133" i="3"/>
  <c r="D133" i="3"/>
  <c r="G131" i="3"/>
  <c r="F131" i="3"/>
  <c r="E131" i="3"/>
  <c r="D131" i="3"/>
  <c r="G127" i="3"/>
  <c r="F127" i="3"/>
  <c r="E127" i="3"/>
  <c r="D127" i="3"/>
  <c r="G125" i="3"/>
  <c r="F125" i="3"/>
  <c r="E125" i="3"/>
  <c r="D125" i="3"/>
  <c r="G121" i="3"/>
  <c r="F121" i="3"/>
  <c r="E121" i="3"/>
  <c r="D121" i="3"/>
  <c r="G119" i="3"/>
  <c r="F119" i="3"/>
  <c r="E119" i="3"/>
  <c r="D119" i="3"/>
  <c r="G115" i="3"/>
  <c r="F115" i="3"/>
  <c r="E115" i="3"/>
  <c r="D115" i="3"/>
  <c r="G113" i="3"/>
  <c r="F113" i="3"/>
  <c r="E113" i="3"/>
  <c r="D113" i="3"/>
  <c r="AK299" i="3"/>
  <c r="AP298" i="3"/>
  <c r="AP299" i="3"/>
  <c r="W195" i="3"/>
  <c r="AL272" i="3"/>
  <c r="AM272" i="3"/>
  <c r="AN272" i="3"/>
  <c r="AO272" i="3"/>
  <c r="AP272" i="3"/>
  <c r="AQ272" i="3"/>
  <c r="AD226" i="3"/>
  <c r="AC239" i="3"/>
  <c r="AC237" i="3"/>
  <c r="AC243" i="3"/>
  <c r="AC241" i="3"/>
  <c r="G109" i="3"/>
  <c r="F109" i="3"/>
  <c r="E109" i="3"/>
  <c r="D109" i="3"/>
  <c r="G107" i="3"/>
  <c r="F107" i="3"/>
  <c r="E107" i="3"/>
  <c r="D107" i="3"/>
  <c r="G103" i="3"/>
  <c r="F103" i="3"/>
  <c r="E103" i="3"/>
  <c r="D103" i="3"/>
  <c r="G101" i="3"/>
  <c r="F101" i="3"/>
  <c r="E101" i="3"/>
  <c r="D101" i="3"/>
  <c r="G97" i="3"/>
  <c r="F97" i="3"/>
  <c r="E97" i="3"/>
  <c r="D97" i="3"/>
  <c r="G95" i="3"/>
  <c r="F95" i="3"/>
  <c r="E95" i="3"/>
  <c r="D95" i="3"/>
  <c r="G91" i="3"/>
  <c r="F91" i="3"/>
  <c r="E91" i="3"/>
  <c r="D91" i="3"/>
  <c r="G89" i="3"/>
  <c r="F89" i="3"/>
  <c r="E89" i="3"/>
  <c r="D89" i="3"/>
  <c r="G85" i="3"/>
  <c r="F85" i="3"/>
  <c r="E85" i="3"/>
  <c r="D85" i="3"/>
  <c r="G83" i="3"/>
  <c r="F83" i="3"/>
  <c r="E83" i="3"/>
  <c r="D83" i="3"/>
  <c r="G77" i="3"/>
  <c r="F77" i="3"/>
  <c r="E77" i="3"/>
  <c r="D77" i="3"/>
  <c r="G79" i="3"/>
  <c r="F79" i="3"/>
  <c r="D79" i="3"/>
  <c r="G47" i="3"/>
  <c r="F47" i="3"/>
  <c r="E47" i="3"/>
  <c r="D47" i="3"/>
  <c r="AE226" i="3"/>
  <c r="AF226" i="3"/>
  <c r="AH226" i="3"/>
  <c r="AI226" i="3"/>
  <c r="AJ226" i="3"/>
  <c r="AK226" i="3"/>
  <c r="AM226" i="3"/>
  <c r="AN226" i="3"/>
  <c r="AO226" i="3"/>
  <c r="AP226" i="3"/>
  <c r="AD237" i="3"/>
  <c r="AD243" i="3"/>
  <c r="AD241" i="3"/>
  <c r="AD239" i="3"/>
  <c r="AC39" i="3"/>
  <c r="H286" i="3"/>
  <c r="W252" i="3"/>
  <c r="W272" i="3"/>
  <c r="W273" i="3"/>
  <c r="R258" i="3"/>
  <c r="P288" i="3"/>
  <c r="W341" i="3"/>
  <c r="W338" i="3"/>
  <c r="W335" i="3"/>
  <c r="W328" i="3"/>
  <c r="W318" i="3"/>
  <c r="W316" i="3"/>
  <c r="Q338" i="3"/>
  <c r="R338" i="3"/>
  <c r="Q179" i="3"/>
  <c r="Q178" i="3"/>
  <c r="Q47" i="3"/>
  <c r="L47" i="3"/>
  <c r="D208" i="3"/>
  <c r="H204" i="3"/>
  <c r="AD39" i="3"/>
  <c r="AE243" i="3"/>
  <c r="AE241" i="3"/>
  <c r="AE239" i="3"/>
  <c r="AE237" i="3"/>
  <c r="D176" i="3"/>
  <c r="D179" i="3"/>
  <c r="D178" i="3"/>
  <c r="AE39" i="3"/>
  <c r="AF241" i="3"/>
  <c r="AG241" i="3"/>
  <c r="AF239" i="3"/>
  <c r="AG239" i="3"/>
  <c r="AF237" i="3"/>
  <c r="AG237" i="3"/>
  <c r="Q172" i="3"/>
  <c r="Q155" i="3"/>
  <c r="I155" i="3"/>
  <c r="I162" i="3"/>
  <c r="G162" i="3"/>
  <c r="F162" i="3"/>
  <c r="E162" i="3"/>
  <c r="E154" i="3"/>
  <c r="D162" i="3"/>
  <c r="Q145" i="3"/>
  <c r="P145" i="3"/>
  <c r="O145" i="3"/>
  <c r="N145" i="3"/>
  <c r="L145" i="3"/>
  <c r="K145" i="3"/>
  <c r="J145" i="3"/>
  <c r="I145" i="3"/>
  <c r="G145" i="3"/>
  <c r="F145" i="3"/>
  <c r="E145" i="3"/>
  <c r="D145" i="3"/>
  <c r="Q135" i="3"/>
  <c r="N135" i="3"/>
  <c r="L135" i="3"/>
  <c r="K135" i="3"/>
  <c r="J135" i="3"/>
  <c r="I135" i="3"/>
  <c r="G135" i="3"/>
  <c r="F135" i="3"/>
  <c r="E135" i="3"/>
  <c r="D135" i="3"/>
  <c r="Q128" i="3"/>
  <c r="P128" i="3"/>
  <c r="O128" i="3"/>
  <c r="N128" i="3"/>
  <c r="L128" i="3"/>
  <c r="K128" i="3"/>
  <c r="J128" i="3"/>
  <c r="I128" i="3"/>
  <c r="G128" i="3"/>
  <c r="F128" i="3"/>
  <c r="E128" i="3"/>
  <c r="D128" i="3"/>
  <c r="Q122" i="3"/>
  <c r="P122" i="3"/>
  <c r="O122" i="3"/>
  <c r="N122" i="3"/>
  <c r="L122" i="3"/>
  <c r="K122" i="3"/>
  <c r="J122" i="3"/>
  <c r="I122" i="3"/>
  <c r="G122" i="3"/>
  <c r="F122" i="3"/>
  <c r="E122" i="3"/>
  <c r="D122" i="3"/>
  <c r="Q116" i="3"/>
  <c r="P116" i="3"/>
  <c r="O116" i="3"/>
  <c r="N116" i="3"/>
  <c r="L116" i="3"/>
  <c r="K116" i="3"/>
  <c r="J116" i="3"/>
  <c r="I116" i="3"/>
  <c r="G116" i="3"/>
  <c r="F116" i="3"/>
  <c r="E116" i="3"/>
  <c r="D116" i="3"/>
  <c r="Q110" i="3"/>
  <c r="P110" i="3"/>
  <c r="O110" i="3"/>
  <c r="N110" i="3"/>
  <c r="L110" i="3"/>
  <c r="K110" i="3"/>
  <c r="J110" i="3"/>
  <c r="I110" i="3"/>
  <c r="G110" i="3"/>
  <c r="F110" i="3"/>
  <c r="E110" i="3"/>
  <c r="D110" i="3"/>
  <c r="Q104" i="3"/>
  <c r="P104" i="3"/>
  <c r="O104" i="3"/>
  <c r="N104" i="3"/>
  <c r="L104" i="3"/>
  <c r="K104" i="3"/>
  <c r="J104" i="3"/>
  <c r="I104" i="3"/>
  <c r="G104" i="3"/>
  <c r="F104" i="3"/>
  <c r="E104" i="3"/>
  <c r="D104" i="3"/>
  <c r="Q98" i="3"/>
  <c r="P98" i="3"/>
  <c r="O98" i="3"/>
  <c r="N98" i="3"/>
  <c r="L98" i="3"/>
  <c r="K98" i="3"/>
  <c r="J98" i="3"/>
  <c r="I98" i="3"/>
  <c r="G98" i="3"/>
  <c r="F98" i="3"/>
  <c r="E98" i="3"/>
  <c r="D98" i="3"/>
  <c r="Q92" i="3"/>
  <c r="P92" i="3"/>
  <c r="O92" i="3"/>
  <c r="N92" i="3"/>
  <c r="L92" i="3"/>
  <c r="K92" i="3"/>
  <c r="J92" i="3"/>
  <c r="G92" i="3"/>
  <c r="F92" i="3"/>
  <c r="E92" i="3"/>
  <c r="D92" i="3"/>
  <c r="Q86" i="3"/>
  <c r="P86" i="3"/>
  <c r="O86" i="3"/>
  <c r="N86" i="3"/>
  <c r="L86" i="3"/>
  <c r="K86" i="3"/>
  <c r="J86" i="3"/>
  <c r="I86" i="3"/>
  <c r="G86" i="3"/>
  <c r="F86" i="3"/>
  <c r="E86" i="3"/>
  <c r="D86" i="3"/>
  <c r="Q80" i="3"/>
  <c r="P80" i="3"/>
  <c r="O80" i="3"/>
  <c r="N80" i="3"/>
  <c r="L80" i="3"/>
  <c r="K80" i="3"/>
  <c r="J80" i="3"/>
  <c r="I80" i="3"/>
  <c r="G80" i="3"/>
  <c r="F80" i="3"/>
  <c r="E80" i="3"/>
  <c r="D80" i="3"/>
  <c r="Q143" i="3"/>
  <c r="P143" i="3"/>
  <c r="O143" i="3"/>
  <c r="N143" i="3"/>
  <c r="L143" i="3"/>
  <c r="J143" i="3"/>
  <c r="K143" i="3"/>
  <c r="I143" i="3"/>
  <c r="Q52" i="3"/>
  <c r="N52" i="3"/>
  <c r="L55" i="3"/>
  <c r="L52" i="3"/>
  <c r="K52" i="3"/>
  <c r="J55" i="3"/>
  <c r="J52" i="3"/>
  <c r="Q59" i="3"/>
  <c r="Q160" i="3"/>
  <c r="Q158" i="3"/>
  <c r="Q141" i="3"/>
  <c r="Q139" i="3"/>
  <c r="Q133" i="3"/>
  <c r="Q131" i="3"/>
  <c r="Q127" i="3"/>
  <c r="Q125" i="3"/>
  <c r="Q121" i="3"/>
  <c r="Q119" i="3"/>
  <c r="Q115" i="3"/>
  <c r="Q113" i="3"/>
  <c r="Q109" i="3"/>
  <c r="Q107" i="3"/>
  <c r="Q103" i="3"/>
  <c r="Q101" i="3"/>
  <c r="Q97" i="3"/>
  <c r="Q95" i="3"/>
  <c r="Q91" i="3"/>
  <c r="Q89" i="3"/>
  <c r="Q85" i="3"/>
  <c r="Q83" i="3"/>
  <c r="Q79" i="3"/>
  <c r="Q77" i="3"/>
  <c r="D151" i="3"/>
  <c r="D152" i="3"/>
  <c r="Q162" i="3"/>
  <c r="Q167" i="3"/>
  <c r="V167" i="3"/>
  <c r="AA167" i="3"/>
  <c r="AF167" i="3"/>
  <c r="AH237" i="3"/>
  <c r="AH243" i="3"/>
  <c r="AH241" i="3"/>
  <c r="AH239" i="3"/>
  <c r="D137" i="3"/>
  <c r="D150" i="3"/>
  <c r="N301" i="3"/>
  <c r="X301" i="3"/>
  <c r="AC301" i="3"/>
  <c r="AH301" i="3"/>
  <c r="AM301" i="3"/>
  <c r="P301" i="3"/>
  <c r="U301" i="3"/>
  <c r="Z301" i="3"/>
  <c r="AE301" i="3"/>
  <c r="AJ301" i="3"/>
  <c r="AO301" i="3"/>
  <c r="O301" i="3"/>
  <c r="T301" i="3"/>
  <c r="Y301" i="3"/>
  <c r="AD301" i="3"/>
  <c r="AI301" i="3"/>
  <c r="AN301" i="3"/>
  <c r="I301" i="3"/>
  <c r="L301" i="3"/>
  <c r="K301" i="3"/>
  <c r="J301" i="3"/>
  <c r="F301" i="3"/>
  <c r="G301" i="3"/>
  <c r="E301" i="3"/>
  <c r="D146" i="3"/>
  <c r="AK167" i="3"/>
  <c r="AP167" i="3"/>
  <c r="AH39" i="3"/>
  <c r="AI243" i="3"/>
  <c r="AI241" i="3"/>
  <c r="AI239" i="3"/>
  <c r="AI237" i="3"/>
  <c r="T142" i="3"/>
  <c r="AQ202" i="3"/>
  <c r="AQ199" i="3"/>
  <c r="AL202" i="3"/>
  <c r="AL199" i="3"/>
  <c r="AG202" i="3"/>
  <c r="AG199" i="3"/>
  <c r="AB202" i="3"/>
  <c r="AB199" i="3"/>
  <c r="AB201" i="3"/>
  <c r="AG201" i="3"/>
  <c r="W199" i="3"/>
  <c r="F202" i="3"/>
  <c r="E202" i="3"/>
  <c r="E199" i="3"/>
  <c r="F199" i="3"/>
  <c r="G199" i="3"/>
  <c r="D202" i="3"/>
  <c r="K199" i="3"/>
  <c r="L199" i="3"/>
  <c r="J202" i="3"/>
  <c r="O202" i="3"/>
  <c r="O199" i="3"/>
  <c r="P199" i="3"/>
  <c r="Q199" i="3"/>
  <c r="J196" i="3"/>
  <c r="O196" i="3"/>
  <c r="I202" i="3"/>
  <c r="N202" i="3"/>
  <c r="I196" i="3"/>
  <c r="R206" i="3"/>
  <c r="K202" i="3"/>
  <c r="P202" i="3"/>
  <c r="K196" i="3"/>
  <c r="P196" i="3"/>
  <c r="M194" i="3"/>
  <c r="M195" i="3"/>
  <c r="H194" i="3"/>
  <c r="H195" i="3"/>
  <c r="R285" i="3"/>
  <c r="R286" i="3"/>
  <c r="P300" i="3"/>
  <c r="U300" i="3"/>
  <c r="Z300" i="3"/>
  <c r="AE300" i="3"/>
  <c r="AJ300" i="3"/>
  <c r="AO300" i="3"/>
  <c r="O300" i="3"/>
  <c r="T300" i="3"/>
  <c r="Y300" i="3"/>
  <c r="AD300" i="3"/>
  <c r="AI300" i="3"/>
  <c r="AN300" i="3"/>
  <c r="N300" i="3"/>
  <c r="X300" i="3"/>
  <c r="AC300" i="3"/>
  <c r="AH300" i="3"/>
  <c r="AM300" i="3"/>
  <c r="I300" i="3"/>
  <c r="L300" i="3"/>
  <c r="K300" i="3"/>
  <c r="J300" i="3"/>
  <c r="F300" i="3"/>
  <c r="G300" i="3"/>
  <c r="E300" i="3"/>
  <c r="D300" i="3"/>
  <c r="I298" i="3"/>
  <c r="P305" i="3"/>
  <c r="T305" i="3"/>
  <c r="U305" i="3"/>
  <c r="V305" i="3"/>
  <c r="X305" i="3"/>
  <c r="Y305" i="3"/>
  <c r="Z305" i="3"/>
  <c r="AA305" i="3"/>
  <c r="AC305" i="3"/>
  <c r="AD305" i="3"/>
  <c r="AE305" i="3"/>
  <c r="AF305" i="3"/>
  <c r="AH305" i="3"/>
  <c r="AI305" i="3"/>
  <c r="AJ305" i="3"/>
  <c r="AK305" i="3"/>
  <c r="AM305" i="3"/>
  <c r="AN305" i="3"/>
  <c r="AO305" i="3"/>
  <c r="AP305" i="3"/>
  <c r="O305" i="3"/>
  <c r="N305" i="3"/>
  <c r="P304" i="3"/>
  <c r="T304" i="3"/>
  <c r="U304" i="3"/>
  <c r="V304" i="3"/>
  <c r="X304" i="3"/>
  <c r="Y304" i="3"/>
  <c r="Z304" i="3"/>
  <c r="AA304" i="3"/>
  <c r="AC304" i="3"/>
  <c r="AD304" i="3"/>
  <c r="AE304" i="3"/>
  <c r="AF304" i="3"/>
  <c r="AH304" i="3"/>
  <c r="AI304" i="3"/>
  <c r="AJ304" i="3"/>
  <c r="AK304" i="3"/>
  <c r="AM304" i="3"/>
  <c r="AN304" i="3"/>
  <c r="AO304" i="3"/>
  <c r="AP304" i="3"/>
  <c r="O304" i="3"/>
  <c r="N304" i="3"/>
  <c r="L305" i="3"/>
  <c r="K305" i="3"/>
  <c r="J305" i="3"/>
  <c r="I305" i="3"/>
  <c r="L304" i="3"/>
  <c r="K304" i="3"/>
  <c r="J304" i="3"/>
  <c r="I304" i="3"/>
  <c r="E304" i="3"/>
  <c r="F304" i="3"/>
  <c r="G304" i="3"/>
  <c r="E305" i="3"/>
  <c r="F305" i="3"/>
  <c r="G305" i="3"/>
  <c r="D305" i="3"/>
  <c r="D304" i="3"/>
  <c r="I359" i="3"/>
  <c r="N359" i="3"/>
  <c r="D359" i="3"/>
  <c r="G202" i="3"/>
  <c r="Q202" i="3"/>
  <c r="AI39" i="3"/>
  <c r="AJ241" i="3"/>
  <c r="AJ239" i="3"/>
  <c r="AJ237" i="3"/>
  <c r="AJ243" i="3"/>
  <c r="W285" i="3"/>
  <c r="AB285" i="3"/>
  <c r="AG285" i="3"/>
  <c r="AL285" i="3"/>
  <c r="AQ285" i="3"/>
  <c r="AB195" i="3"/>
  <c r="AG195" i="3"/>
  <c r="AL195" i="3"/>
  <c r="AQ195" i="3"/>
  <c r="U142" i="3"/>
  <c r="AL201" i="3"/>
  <c r="AQ201" i="3"/>
  <c r="H196" i="3"/>
  <c r="G196" i="3"/>
  <c r="R269" i="3"/>
  <c r="P296" i="3"/>
  <c r="O296" i="3"/>
  <c r="N296" i="3"/>
  <c r="L296" i="3"/>
  <c r="K296" i="3"/>
  <c r="J296" i="3"/>
  <c r="I296" i="3"/>
  <c r="E296" i="3"/>
  <c r="F296" i="3"/>
  <c r="G296" i="3"/>
  <c r="D296" i="3"/>
  <c r="P294" i="3"/>
  <c r="O294" i="3"/>
  <c r="T294" i="3"/>
  <c r="Y294" i="3"/>
  <c r="N294" i="3"/>
  <c r="X294" i="3"/>
  <c r="E294" i="3"/>
  <c r="D294" i="3"/>
  <c r="I294" i="3"/>
  <c r="I295" i="3"/>
  <c r="X295" i="3"/>
  <c r="AC294" i="3"/>
  <c r="Y295" i="3"/>
  <c r="AD294" i="3"/>
  <c r="P295" i="3"/>
  <c r="U294" i="3"/>
  <c r="Z294" i="3"/>
  <c r="AJ39" i="3"/>
  <c r="X283" i="3"/>
  <c r="W258" i="3"/>
  <c r="AK239" i="3"/>
  <c r="AL239" i="3"/>
  <c r="AK237" i="3"/>
  <c r="AL237" i="3"/>
  <c r="AK241" i="3"/>
  <c r="AL241" i="3"/>
  <c r="M284" i="3"/>
  <c r="AB194" i="3"/>
  <c r="M196" i="3"/>
  <c r="L196" i="3"/>
  <c r="R196" i="3"/>
  <c r="V142" i="3"/>
  <c r="W202" i="3"/>
  <c r="W189" i="3"/>
  <c r="T296" i="3"/>
  <c r="U296" i="3"/>
  <c r="V296" i="3"/>
  <c r="X296" i="3"/>
  <c r="Y296" i="3"/>
  <c r="Z296" i="3"/>
  <c r="AA296" i="3"/>
  <c r="AC296" i="3"/>
  <c r="AD296" i="3"/>
  <c r="AE296" i="3"/>
  <c r="AF296" i="3"/>
  <c r="AH296" i="3"/>
  <c r="AI296" i="3"/>
  <c r="AJ296" i="3"/>
  <c r="AK296" i="3"/>
  <c r="AM296" i="3"/>
  <c r="AN296" i="3"/>
  <c r="AO296" i="3"/>
  <c r="AP296" i="3"/>
  <c r="T315" i="3"/>
  <c r="D223" i="3"/>
  <c r="E223" i="3"/>
  <c r="F223" i="3"/>
  <c r="G223" i="3"/>
  <c r="I223" i="3"/>
  <c r="J223" i="3"/>
  <c r="K223" i="3"/>
  <c r="L223" i="3"/>
  <c r="N223" i="3"/>
  <c r="O223" i="3"/>
  <c r="P223" i="3"/>
  <c r="D224" i="3"/>
  <c r="E224" i="3"/>
  <c r="F224" i="3"/>
  <c r="G224" i="3"/>
  <c r="I224" i="3"/>
  <c r="J224" i="3"/>
  <c r="K224" i="3"/>
  <c r="L224" i="3"/>
  <c r="N224" i="3"/>
  <c r="O224" i="3"/>
  <c r="P224" i="3"/>
  <c r="D225" i="3"/>
  <c r="E225" i="3"/>
  <c r="F225" i="3"/>
  <c r="G225" i="3"/>
  <c r="I225" i="3"/>
  <c r="J225" i="3"/>
  <c r="K225" i="3"/>
  <c r="L225" i="3"/>
  <c r="N225" i="3"/>
  <c r="O225" i="3"/>
  <c r="P225" i="3"/>
  <c r="G219" i="3"/>
  <c r="F219" i="3"/>
  <c r="E219" i="3"/>
  <c r="D219" i="3"/>
  <c r="R34" i="3"/>
  <c r="M202" i="3"/>
  <c r="L202" i="3"/>
  <c r="W213" i="3"/>
  <c r="AB213" i="3"/>
  <c r="AG213" i="3"/>
  <c r="AL213" i="3"/>
  <c r="AQ213" i="3"/>
  <c r="AB214" i="3"/>
  <c r="AA206" i="3"/>
  <c r="W207" i="3"/>
  <c r="P208" i="3"/>
  <c r="O208" i="3"/>
  <c r="N208" i="3"/>
  <c r="R207" i="3"/>
  <c r="I208" i="3"/>
  <c r="J208" i="3"/>
  <c r="M206" i="3"/>
  <c r="M192" i="3"/>
  <c r="H192" i="3"/>
  <c r="M191" i="3"/>
  <c r="H191" i="3"/>
  <c r="L208" i="3"/>
  <c r="K208" i="3"/>
  <c r="F208" i="3"/>
  <c r="E208" i="3"/>
  <c r="H207" i="3"/>
  <c r="H206" i="3"/>
  <c r="M207" i="3"/>
  <c r="M204" i="3"/>
  <c r="P176" i="3"/>
  <c r="G179" i="3"/>
  <c r="G183" i="3"/>
  <c r="F179" i="3"/>
  <c r="F183" i="3"/>
  <c r="E179" i="3"/>
  <c r="E183" i="3"/>
  <c r="D183" i="3"/>
  <c r="G178" i="3"/>
  <c r="F178" i="3"/>
  <c r="E178" i="3"/>
  <c r="G176" i="3"/>
  <c r="F176" i="3"/>
  <c r="E176" i="3"/>
  <c r="L179" i="3"/>
  <c r="L183" i="3"/>
  <c r="K179" i="3"/>
  <c r="K183" i="3"/>
  <c r="J179" i="3"/>
  <c r="J183" i="3"/>
  <c r="I179" i="3"/>
  <c r="I183" i="3"/>
  <c r="L178" i="3"/>
  <c r="K178" i="3"/>
  <c r="J178" i="3"/>
  <c r="I178" i="3"/>
  <c r="L176" i="3"/>
  <c r="K176" i="3"/>
  <c r="J176" i="3"/>
  <c r="I176" i="3"/>
  <c r="O179" i="3"/>
  <c r="O183" i="3"/>
  <c r="N179" i="3"/>
  <c r="N183" i="3"/>
  <c r="O178" i="3"/>
  <c r="N178" i="3"/>
  <c r="O176" i="3"/>
  <c r="N176" i="3"/>
  <c r="P179" i="3"/>
  <c r="P178" i="3"/>
  <c r="P184" i="3"/>
  <c r="H208" i="3"/>
  <c r="AD295" i="3"/>
  <c r="AI294" i="3"/>
  <c r="Z295" i="3"/>
  <c r="AE294" i="3"/>
  <c r="AC295" i="3"/>
  <c r="AH294" i="3"/>
  <c r="AG214" i="3"/>
  <c r="AB206" i="3"/>
  <c r="AG194" i="3"/>
  <c r="AL194" i="3"/>
  <c r="AQ194" i="3"/>
  <c r="X329" i="3"/>
  <c r="AM243" i="3"/>
  <c r="AM241" i="3"/>
  <c r="AM239" i="3"/>
  <c r="AM237" i="3"/>
  <c r="Y283" i="3"/>
  <c r="M286" i="3"/>
  <c r="Q196" i="3"/>
  <c r="S286" i="3"/>
  <c r="U253" i="3"/>
  <c r="AB210" i="3"/>
  <c r="AB215" i="3"/>
  <c r="V196" i="3"/>
  <c r="U196" i="3"/>
  <c r="T196" i="3"/>
  <c r="X142" i="3"/>
  <c r="W190" i="3"/>
  <c r="U315" i="3"/>
  <c r="AB211" i="3"/>
  <c r="M208" i="3"/>
  <c r="P183" i="3"/>
  <c r="N184" i="3"/>
  <c r="K184" i="3"/>
  <c r="F184" i="3"/>
  <c r="L184" i="3"/>
  <c r="G184" i="3"/>
  <c r="I184" i="3"/>
  <c r="D184" i="3"/>
  <c r="O184" i="3"/>
  <c r="J184" i="3"/>
  <c r="E184" i="3"/>
  <c r="AH295" i="3"/>
  <c r="AM294" i="3"/>
  <c r="AM295" i="3"/>
  <c r="T176" i="3"/>
  <c r="U176" i="3"/>
  <c r="V176" i="3"/>
  <c r="X176" i="3"/>
  <c r="Y176" i="3"/>
  <c r="Z176" i="3"/>
  <c r="AI295" i="3"/>
  <c r="AN294" i="3"/>
  <c r="AN295" i="3"/>
  <c r="AE295" i="3"/>
  <c r="AJ294" i="3"/>
  <c r="AA204" i="3"/>
  <c r="AB204" i="3"/>
  <c r="AL214" i="3"/>
  <c r="AF206" i="3"/>
  <c r="AG206" i="3"/>
  <c r="Z283" i="3"/>
  <c r="AM39" i="3"/>
  <c r="AN241" i="3"/>
  <c r="AN239" i="3"/>
  <c r="AN237" i="3"/>
  <c r="AN243" i="3"/>
  <c r="Y329" i="3"/>
  <c r="T284" i="3"/>
  <c r="V253" i="3"/>
  <c r="AG210" i="3"/>
  <c r="W196" i="3"/>
  <c r="Y196" i="3"/>
  <c r="Y142" i="3"/>
  <c r="T208" i="3"/>
  <c r="T22" i="3"/>
  <c r="T317" i="3"/>
  <c r="AB190" i="3"/>
  <c r="Q208" i="3"/>
  <c r="AB189" i="3"/>
  <c r="AG189" i="3"/>
  <c r="AL189" i="3"/>
  <c r="AQ189" i="3"/>
  <c r="AG211" i="3"/>
  <c r="R192" i="3"/>
  <c r="AJ295" i="3"/>
  <c r="AO294" i="3"/>
  <c r="AO295" i="3"/>
  <c r="AL210" i="3"/>
  <c r="AG215" i="3"/>
  <c r="AF204" i="3"/>
  <c r="AG204" i="3"/>
  <c r="AQ214" i="3"/>
  <c r="AP206" i="3"/>
  <c r="AQ206" i="3"/>
  <c r="AK206" i="3"/>
  <c r="AL206" i="3"/>
  <c r="AO239" i="3"/>
  <c r="AO237" i="3"/>
  <c r="AO243" i="3"/>
  <c r="AO241" i="3"/>
  <c r="AN39" i="3"/>
  <c r="AA283" i="3"/>
  <c r="Z329" i="3"/>
  <c r="X253" i="3"/>
  <c r="U284" i="3"/>
  <c r="V284" i="3"/>
  <c r="T286" i="3"/>
  <c r="W269" i="3"/>
  <c r="V315" i="3"/>
  <c r="W315" i="3"/>
  <c r="W253" i="3"/>
  <c r="Z196" i="3"/>
  <c r="AA196" i="3"/>
  <c r="X196" i="3"/>
  <c r="Z142" i="3"/>
  <c r="AG190" i="3"/>
  <c r="Y208" i="3"/>
  <c r="Y22" i="3"/>
  <c r="Y317" i="3"/>
  <c r="S208" i="3"/>
  <c r="R204" i="3"/>
  <c r="R208" i="3"/>
  <c r="U208" i="3"/>
  <c r="U22" i="3"/>
  <c r="U317" i="3"/>
  <c r="AB191" i="3"/>
  <c r="AB192" i="3"/>
  <c r="AL211" i="3"/>
  <c r="W192" i="3"/>
  <c r="W191" i="3"/>
  <c r="AA176" i="3"/>
  <c r="W284" i="3"/>
  <c r="W286" i="3"/>
  <c r="V286" i="3"/>
  <c r="X284" i="3"/>
  <c r="X286" i="3"/>
  <c r="AA322" i="3"/>
  <c r="AB322" i="3"/>
  <c r="AQ210" i="3"/>
  <c r="AQ215" i="3"/>
  <c r="AL215" i="3"/>
  <c r="AK204" i="3"/>
  <c r="AL204" i="3"/>
  <c r="AB258" i="3"/>
  <c r="AA329" i="3"/>
  <c r="AB329" i="3"/>
  <c r="AO39" i="3"/>
  <c r="AB283" i="3"/>
  <c r="AP237" i="3"/>
  <c r="AP241" i="3"/>
  <c r="AQ241" i="3"/>
  <c r="AP239" i="3"/>
  <c r="AQ239" i="3"/>
  <c r="X315" i="3"/>
  <c r="V322" i="3"/>
  <c r="Y253" i="3"/>
  <c r="U286" i="3"/>
  <c r="AB196" i="3"/>
  <c r="Z208" i="3"/>
  <c r="Z22" i="3"/>
  <c r="Z317" i="3"/>
  <c r="AA142" i="3"/>
  <c r="AC143" i="3"/>
  <c r="V208" i="3"/>
  <c r="AQ211" i="3"/>
  <c r="W204" i="3"/>
  <c r="W208" i="3"/>
  <c r="X208" i="3"/>
  <c r="X22" i="3"/>
  <c r="AA208" i="3"/>
  <c r="AL190" i="3"/>
  <c r="AG192" i="3"/>
  <c r="AG191" i="3"/>
  <c r="AC208" i="3"/>
  <c r="AC22" i="3"/>
  <c r="AC176" i="3"/>
  <c r="AD176" i="3"/>
  <c r="AE176" i="3"/>
  <c r="AF176" i="3"/>
  <c r="Y284" i="3"/>
  <c r="Z284" i="3"/>
  <c r="V22" i="3"/>
  <c r="V317" i="3"/>
  <c r="W317" i="3"/>
  <c r="V242" i="3"/>
  <c r="AA22" i="3"/>
  <c r="AA317" i="3"/>
  <c r="AA242" i="3"/>
  <c r="AP204" i="3"/>
  <c r="AQ204" i="3"/>
  <c r="Z253" i="3"/>
  <c r="AA253" i="3"/>
  <c r="Y286" i="3"/>
  <c r="AC317" i="3"/>
  <c r="Y315" i="3"/>
  <c r="AQ237" i="3"/>
  <c r="AC329" i="3"/>
  <c r="AF322" i="3"/>
  <c r="AG322" i="3"/>
  <c r="X317" i="3"/>
  <c r="AC283" i="3"/>
  <c r="AE196" i="3"/>
  <c r="AF196" i="3"/>
  <c r="AD196" i="3"/>
  <c r="AC196" i="3"/>
  <c r="AC142" i="3"/>
  <c r="AD143" i="3"/>
  <c r="AL191" i="3"/>
  <c r="AQ190" i="3"/>
  <c r="AL192" i="3"/>
  <c r="AH208" i="3"/>
  <c r="AH22" i="3"/>
  <c r="AD208" i="3"/>
  <c r="AD22" i="3"/>
  <c r="AD317" i="3"/>
  <c r="AB208" i="3"/>
  <c r="AH176" i="3"/>
  <c r="AB317" i="3"/>
  <c r="AC253" i="3"/>
  <c r="AD253" i="3"/>
  <c r="AB22" i="3"/>
  <c r="V243" i="3"/>
  <c r="W242" i="3"/>
  <c r="W26" i="3"/>
  <c r="V26" i="3"/>
  <c r="AB242" i="3"/>
  <c r="AB26" i="3"/>
  <c r="AA26" i="3"/>
  <c r="AA243" i="3"/>
  <c r="AD283" i="3"/>
  <c r="AK322" i="3"/>
  <c r="AL322" i="3"/>
  <c r="AA284" i="3"/>
  <c r="Z286" i="3"/>
  <c r="AH317" i="3"/>
  <c r="AB269" i="3"/>
  <c r="AA315" i="3"/>
  <c r="AD329" i="3"/>
  <c r="Z315" i="3"/>
  <c r="AB253" i="3"/>
  <c r="AG196" i="3"/>
  <c r="AE143" i="3"/>
  <c r="AD142" i="3"/>
  <c r="AQ192" i="3"/>
  <c r="AQ191" i="3"/>
  <c r="AN208" i="3"/>
  <c r="AN22" i="3"/>
  <c r="AN317" i="3"/>
  <c r="AI176" i="3"/>
  <c r="AJ176" i="3"/>
  <c r="AK176" i="3"/>
  <c r="AA286" i="3"/>
  <c r="AB284" i="3"/>
  <c r="W243" i="3"/>
  <c r="W39" i="3"/>
  <c r="V39" i="3"/>
  <c r="AB243" i="3"/>
  <c r="AB39" i="3"/>
  <c r="AA39" i="3"/>
  <c r="AP322" i="3"/>
  <c r="AQ322" i="3"/>
  <c r="AE253" i="3"/>
  <c r="AB315" i="3"/>
  <c r="AE283" i="3"/>
  <c r="AC315" i="3"/>
  <c r="AE329" i="3"/>
  <c r="AH196" i="3"/>
  <c r="AJ196" i="3"/>
  <c r="AI196" i="3"/>
  <c r="AK196" i="3"/>
  <c r="AF143" i="3"/>
  <c r="AH143" i="3"/>
  <c r="AI143" i="3"/>
  <c r="AJ143" i="3"/>
  <c r="AK143" i="3"/>
  <c r="AM143" i="3"/>
  <c r="AN143" i="3"/>
  <c r="AO143" i="3"/>
  <c r="AP143" i="3"/>
  <c r="AE142" i="3"/>
  <c r="AM208" i="3"/>
  <c r="AM22" i="3"/>
  <c r="AI208" i="3"/>
  <c r="AI22" i="3"/>
  <c r="AJ208" i="3"/>
  <c r="AJ22" i="3"/>
  <c r="AJ317" i="3"/>
  <c r="AE208" i="3"/>
  <c r="AE22" i="3"/>
  <c r="AO208" i="3"/>
  <c r="AO22" i="3"/>
  <c r="AO317" i="3"/>
  <c r="AM176" i="3"/>
  <c r="P24" i="3"/>
  <c r="P180" i="3"/>
  <c r="P185" i="3"/>
  <c r="AB286" i="3"/>
  <c r="AC284" i="3"/>
  <c r="AF253" i="3"/>
  <c r="AI317" i="3"/>
  <c r="AM317" i="3"/>
  <c r="AD315" i="3"/>
  <c r="AE317" i="3"/>
  <c r="AG258" i="3"/>
  <c r="AF329" i="3"/>
  <c r="AG329" i="3"/>
  <c r="AF283" i="3"/>
  <c r="AL196" i="3"/>
  <c r="AF142" i="3"/>
  <c r="AL208" i="3"/>
  <c r="AP208" i="3"/>
  <c r="AG208" i="3"/>
  <c r="AF208" i="3"/>
  <c r="AN176" i="3"/>
  <c r="AO176" i="3"/>
  <c r="AP176" i="3"/>
  <c r="P25" i="3"/>
  <c r="H168" i="3"/>
  <c r="M168" i="3"/>
  <c r="AC286" i="3"/>
  <c r="AD284" i="3"/>
  <c r="AF22" i="3"/>
  <c r="AF317" i="3"/>
  <c r="AG317" i="3"/>
  <c r="AF242" i="3"/>
  <c r="P27" i="3"/>
  <c r="P220" i="3"/>
  <c r="AP22" i="3"/>
  <c r="AP317" i="3"/>
  <c r="AQ317" i="3"/>
  <c r="AP242" i="3"/>
  <c r="AG253" i="3"/>
  <c r="AH253" i="3"/>
  <c r="AI253" i="3"/>
  <c r="AG283" i="3"/>
  <c r="AH329" i="3"/>
  <c r="AE315" i="3"/>
  <c r="AO196" i="3"/>
  <c r="AN196" i="3"/>
  <c r="AM196" i="3"/>
  <c r="AP196" i="3"/>
  <c r="AK208" i="3"/>
  <c r="AH142" i="3"/>
  <c r="AQ208" i="3"/>
  <c r="Q183" i="3"/>
  <c r="AE284" i="3"/>
  <c r="AD286" i="3"/>
  <c r="AG22" i="3"/>
  <c r="P40" i="3"/>
  <c r="P45" i="3"/>
  <c r="P221" i="3"/>
  <c r="AQ22" i="3"/>
  <c r="AK22" i="3"/>
  <c r="AL22" i="3"/>
  <c r="AK242" i="3"/>
  <c r="AP26" i="3"/>
  <c r="AQ242" i="3"/>
  <c r="AQ26" i="3"/>
  <c r="AP243" i="3"/>
  <c r="AF26" i="3"/>
  <c r="AG242" i="3"/>
  <c r="AG26" i="3"/>
  <c r="AF243" i="3"/>
  <c r="AK317" i="3"/>
  <c r="AL317" i="3"/>
  <c r="AG269" i="3"/>
  <c r="AF315" i="3"/>
  <c r="AG315" i="3"/>
  <c r="AH283" i="3"/>
  <c r="AJ253" i="3"/>
  <c r="AK253" i="3"/>
  <c r="AI329" i="3"/>
  <c r="AQ196" i="3"/>
  <c r="AI142" i="3"/>
  <c r="AF284" i="3"/>
  <c r="AE286" i="3"/>
  <c r="AG243" i="3"/>
  <c r="AG39" i="3"/>
  <c r="AF39" i="3"/>
  <c r="AK26" i="3"/>
  <c r="AL242" i="3"/>
  <c r="AL26" i="3"/>
  <c r="AK243" i="3"/>
  <c r="AQ243" i="3"/>
  <c r="AQ39" i="3"/>
  <c r="AP39" i="3"/>
  <c r="AJ329" i="3"/>
  <c r="AI283" i="3"/>
  <c r="AL253" i="3"/>
  <c r="AM253" i="3"/>
  <c r="AH315" i="3"/>
  <c r="AJ142" i="3"/>
  <c r="AG284" i="3"/>
  <c r="AF286" i="3"/>
  <c r="AL243" i="3"/>
  <c r="AL39" i="3"/>
  <c r="AK39" i="3"/>
  <c r="AN253" i="3"/>
  <c r="AO253" i="3"/>
  <c r="AP253" i="3"/>
  <c r="AQ253" i="3"/>
  <c r="AL258" i="3"/>
  <c r="AK329" i="3"/>
  <c r="AL329" i="3"/>
  <c r="AI315" i="3"/>
  <c r="AJ283" i="3"/>
  <c r="AK142" i="3"/>
  <c r="AH284" i="3"/>
  <c r="AG286" i="3"/>
  <c r="AM329" i="3"/>
  <c r="AK283" i="3"/>
  <c r="AJ315" i="3"/>
  <c r="AM142" i="3"/>
  <c r="G66" i="3"/>
  <c r="G67" i="3"/>
  <c r="F66" i="3"/>
  <c r="F67" i="3"/>
  <c r="E66" i="3"/>
  <c r="E67" i="3"/>
  <c r="D66" i="3"/>
  <c r="D67" i="3"/>
  <c r="L66" i="3"/>
  <c r="L67" i="3"/>
  <c r="K66" i="3"/>
  <c r="K67" i="3"/>
  <c r="J66" i="3"/>
  <c r="J67" i="3"/>
  <c r="I66" i="3"/>
  <c r="I67" i="3"/>
  <c r="O66" i="3"/>
  <c r="O67" i="3"/>
  <c r="P66" i="3"/>
  <c r="P67" i="3"/>
  <c r="N66" i="3"/>
  <c r="N67" i="3"/>
  <c r="P172" i="3"/>
  <c r="O172" i="3"/>
  <c r="N172" i="3"/>
  <c r="L172" i="3"/>
  <c r="K172" i="3"/>
  <c r="J172" i="3"/>
  <c r="I172" i="3"/>
  <c r="P160" i="3"/>
  <c r="O160" i="3"/>
  <c r="N160" i="3"/>
  <c r="L160" i="3"/>
  <c r="K160" i="3"/>
  <c r="J160" i="3"/>
  <c r="I160" i="3"/>
  <c r="P158" i="3"/>
  <c r="O158" i="3"/>
  <c r="N158" i="3"/>
  <c r="L158" i="3"/>
  <c r="K158" i="3"/>
  <c r="J158" i="3"/>
  <c r="I158" i="3"/>
  <c r="L155" i="3"/>
  <c r="L162" i="3"/>
  <c r="K155" i="3"/>
  <c r="K162" i="3"/>
  <c r="J155" i="3"/>
  <c r="P155" i="3"/>
  <c r="P162" i="3"/>
  <c r="O155" i="3"/>
  <c r="O162" i="3"/>
  <c r="N155" i="3"/>
  <c r="P131" i="3"/>
  <c r="F75" i="3"/>
  <c r="M263" i="3"/>
  <c r="F288" i="3"/>
  <c r="F303" i="3"/>
  <c r="G288" i="3"/>
  <c r="G303" i="3"/>
  <c r="D288" i="3"/>
  <c r="D303" i="3"/>
  <c r="E288" i="3"/>
  <c r="E303" i="3"/>
  <c r="I288" i="3"/>
  <c r="I303" i="3"/>
  <c r="J288" i="3"/>
  <c r="J303" i="3"/>
  <c r="K288" i="3"/>
  <c r="K303" i="3"/>
  <c r="N288" i="3"/>
  <c r="N303" i="3"/>
  <c r="O288" i="3"/>
  <c r="O303" i="3"/>
  <c r="R280" i="3"/>
  <c r="R273" i="3"/>
  <c r="R272" i="3"/>
  <c r="H287" i="3"/>
  <c r="H281" i="3"/>
  <c r="H280" i="3"/>
  <c r="H279" i="3"/>
  <c r="H274" i="3"/>
  <c r="H273" i="3"/>
  <c r="H272" i="3"/>
  <c r="H271" i="3"/>
  <c r="H270" i="3"/>
  <c r="H197" i="3"/>
  <c r="H198" i="3"/>
  <c r="H269" i="3"/>
  <c r="H268" i="3"/>
  <c r="H266" i="3"/>
  <c r="H265" i="3"/>
  <c r="H264" i="3"/>
  <c r="H263" i="3"/>
  <c r="H350" i="3"/>
  <c r="H259" i="3"/>
  <c r="H258" i="3"/>
  <c r="H256" i="3"/>
  <c r="H255" i="3"/>
  <c r="I302" i="3"/>
  <c r="H253" i="3"/>
  <c r="H252" i="3"/>
  <c r="H251" i="3"/>
  <c r="H250" i="3"/>
  <c r="L288" i="3"/>
  <c r="L303" i="3"/>
  <c r="M274" i="3"/>
  <c r="M251" i="3"/>
  <c r="M256" i="3"/>
  <c r="M264" i="3"/>
  <c r="M269" i="3"/>
  <c r="M270" i="3"/>
  <c r="M197" i="3"/>
  <c r="M198" i="3"/>
  <c r="M271" i="3"/>
  <c r="M272" i="3"/>
  <c r="M273" i="3"/>
  <c r="M280" i="3"/>
  <c r="M287" i="3"/>
  <c r="P303" i="3"/>
  <c r="D267" i="3"/>
  <c r="E267" i="3"/>
  <c r="E275" i="3"/>
  <c r="F267" i="3"/>
  <c r="G267" i="3"/>
  <c r="I267" i="3"/>
  <c r="J267" i="3"/>
  <c r="K267" i="3"/>
  <c r="L267" i="3"/>
  <c r="L275" i="3"/>
  <c r="N267" i="3"/>
  <c r="O267" i="3"/>
  <c r="D257" i="3"/>
  <c r="E257" i="3"/>
  <c r="F257" i="3"/>
  <c r="G257" i="3"/>
  <c r="I257" i="3"/>
  <c r="J257" i="3"/>
  <c r="K257" i="3"/>
  <c r="L257" i="3"/>
  <c r="N257" i="3"/>
  <c r="O257" i="3"/>
  <c r="P257" i="3"/>
  <c r="O341" i="3"/>
  <c r="O339" i="3"/>
  <c r="P339" i="3"/>
  <c r="Q339" i="3"/>
  <c r="R339" i="3"/>
  <c r="O337" i="3"/>
  <c r="P337" i="3"/>
  <c r="Q337" i="3"/>
  <c r="R337" i="3"/>
  <c r="O336" i="3"/>
  <c r="O335" i="3"/>
  <c r="O333" i="3"/>
  <c r="O332" i="3"/>
  <c r="P332" i="3"/>
  <c r="Q332" i="3"/>
  <c r="R332" i="3"/>
  <c r="O329" i="3"/>
  <c r="P329" i="3"/>
  <c r="Q329" i="3"/>
  <c r="O328" i="3"/>
  <c r="P328" i="3"/>
  <c r="Q328" i="3"/>
  <c r="O327" i="3"/>
  <c r="O324" i="3"/>
  <c r="O323" i="3"/>
  <c r="P323" i="3"/>
  <c r="Q323" i="3"/>
  <c r="R323" i="3"/>
  <c r="O321" i="3"/>
  <c r="O320" i="3"/>
  <c r="O315" i="3"/>
  <c r="O314" i="3"/>
  <c r="O313" i="3"/>
  <c r="O356" i="3"/>
  <c r="O312" i="3"/>
  <c r="O302" i="3"/>
  <c r="J341" i="3"/>
  <c r="K341" i="3"/>
  <c r="L341" i="3"/>
  <c r="J337" i="3"/>
  <c r="K337" i="3"/>
  <c r="L337" i="3"/>
  <c r="J336" i="3"/>
  <c r="K336" i="3"/>
  <c r="L336" i="3"/>
  <c r="J335" i="3"/>
  <c r="K335" i="3"/>
  <c r="L335" i="3"/>
  <c r="J333" i="3"/>
  <c r="K333" i="3"/>
  <c r="L333" i="3"/>
  <c r="J329" i="3"/>
  <c r="K329" i="3"/>
  <c r="L329" i="3"/>
  <c r="J327" i="3"/>
  <c r="J324" i="3"/>
  <c r="K324" i="3"/>
  <c r="L324" i="3"/>
  <c r="J323" i="3"/>
  <c r="K323" i="3"/>
  <c r="L323" i="3"/>
  <c r="J321" i="3"/>
  <c r="K321" i="3"/>
  <c r="L321" i="3"/>
  <c r="J320" i="3"/>
  <c r="K320" i="3"/>
  <c r="L320" i="3"/>
  <c r="J318" i="3"/>
  <c r="K318" i="3"/>
  <c r="L318" i="3"/>
  <c r="J315" i="3"/>
  <c r="K315" i="3"/>
  <c r="L315" i="3"/>
  <c r="J314" i="3"/>
  <c r="K314" i="3"/>
  <c r="L314" i="3"/>
  <c r="J313" i="3"/>
  <c r="J312" i="3"/>
  <c r="J302" i="3"/>
  <c r="I339" i="3"/>
  <c r="J339" i="3"/>
  <c r="K339" i="3"/>
  <c r="L339" i="3"/>
  <c r="E341" i="3"/>
  <c r="F341" i="3"/>
  <c r="G341" i="3"/>
  <c r="E339" i="3"/>
  <c r="F339" i="3"/>
  <c r="G339" i="3"/>
  <c r="E337" i="3"/>
  <c r="F337" i="3"/>
  <c r="G337" i="3"/>
  <c r="E336" i="3"/>
  <c r="F336" i="3"/>
  <c r="G336" i="3"/>
  <c r="E335" i="3"/>
  <c r="F335" i="3"/>
  <c r="G335" i="3"/>
  <c r="E334" i="3"/>
  <c r="F334" i="3"/>
  <c r="G334" i="3"/>
  <c r="E333" i="3"/>
  <c r="F333" i="3"/>
  <c r="G333" i="3"/>
  <c r="E329" i="3"/>
  <c r="F329" i="3"/>
  <c r="G329" i="3"/>
  <c r="E327" i="3"/>
  <c r="E324" i="3"/>
  <c r="F324" i="3"/>
  <c r="G324" i="3"/>
  <c r="E323" i="3"/>
  <c r="F323" i="3"/>
  <c r="G323" i="3"/>
  <c r="E321" i="3"/>
  <c r="F321" i="3"/>
  <c r="G321" i="3"/>
  <c r="E320" i="3"/>
  <c r="F320" i="3"/>
  <c r="G320" i="3"/>
  <c r="E315" i="3"/>
  <c r="F315" i="3"/>
  <c r="G315" i="3"/>
  <c r="E314" i="3"/>
  <c r="F314" i="3"/>
  <c r="G314" i="3"/>
  <c r="E313" i="3"/>
  <c r="E312" i="3"/>
  <c r="E302" i="3"/>
  <c r="D340" i="3"/>
  <c r="N340" i="3"/>
  <c r="J338" i="3"/>
  <c r="K338" i="3"/>
  <c r="O334" i="3"/>
  <c r="J334" i="3"/>
  <c r="K334" i="3"/>
  <c r="L334" i="3"/>
  <c r="J332" i="3"/>
  <c r="J328" i="3"/>
  <c r="E328" i="3"/>
  <c r="O322" i="3"/>
  <c r="O318" i="3"/>
  <c r="O317" i="3"/>
  <c r="P317" i="3"/>
  <c r="Q317" i="3"/>
  <c r="R317" i="3"/>
  <c r="O316" i="3"/>
  <c r="P316" i="3"/>
  <c r="Q316" i="3"/>
  <c r="R316" i="3"/>
  <c r="J322" i="3"/>
  <c r="J317" i="3"/>
  <c r="J316" i="3"/>
  <c r="E322" i="3"/>
  <c r="E318" i="3"/>
  <c r="E317" i="3"/>
  <c r="E316" i="3"/>
  <c r="AI284" i="3"/>
  <c r="AH286" i="3"/>
  <c r="N162" i="3"/>
  <c r="N167" i="3"/>
  <c r="S156" i="3"/>
  <c r="AM315" i="3"/>
  <c r="AN329" i="3"/>
  <c r="AL269" i="3"/>
  <c r="AK315" i="3"/>
  <c r="AL315" i="3"/>
  <c r="AN315" i="3"/>
  <c r="AL283" i="3"/>
  <c r="F313" i="3"/>
  <c r="E356" i="3"/>
  <c r="K313" i="3"/>
  <c r="J356" i="3"/>
  <c r="H288" i="3"/>
  <c r="P322" i="3"/>
  <c r="Q322" i="3"/>
  <c r="P315" i="3"/>
  <c r="Q315" i="3"/>
  <c r="P324" i="3"/>
  <c r="Q324" i="3"/>
  <c r="P320" i="3"/>
  <c r="Q320" i="3"/>
  <c r="P333" i="3"/>
  <c r="Q333" i="3"/>
  <c r="J156" i="3"/>
  <c r="J162" i="3"/>
  <c r="P318" i="3"/>
  <c r="Q318" i="3"/>
  <c r="P314" i="3"/>
  <c r="Q314" i="3"/>
  <c r="P336" i="3"/>
  <c r="Q336" i="3"/>
  <c r="P313" i="3"/>
  <c r="P321" i="3"/>
  <c r="Q321" i="3"/>
  <c r="P335" i="3"/>
  <c r="Q335" i="3"/>
  <c r="P341" i="3"/>
  <c r="Q341" i="3"/>
  <c r="R341" i="3"/>
  <c r="I156" i="3"/>
  <c r="AN142" i="3"/>
  <c r="P137" i="3"/>
  <c r="P151" i="3"/>
  <c r="P146" i="3"/>
  <c r="P150" i="3"/>
  <c r="L156" i="3"/>
  <c r="Q156" i="3"/>
  <c r="K327" i="3"/>
  <c r="J359" i="3"/>
  <c r="F312" i="3"/>
  <c r="F302" i="3"/>
  <c r="F327" i="3"/>
  <c r="E359" i="3"/>
  <c r="K312" i="3"/>
  <c r="K302" i="3"/>
  <c r="P312" i="3"/>
  <c r="P302" i="3"/>
  <c r="P327" i="3"/>
  <c r="O359" i="3"/>
  <c r="P154" i="3"/>
  <c r="I340" i="3"/>
  <c r="O156" i="3"/>
  <c r="Q66" i="3"/>
  <c r="Q67" i="3"/>
  <c r="N156" i="3"/>
  <c r="K156" i="3"/>
  <c r="P156" i="3"/>
  <c r="O340" i="3"/>
  <c r="P334" i="3"/>
  <c r="H257" i="3"/>
  <c r="H267" i="3"/>
  <c r="H275" i="3"/>
  <c r="E289" i="3"/>
  <c r="J340" i="3"/>
  <c r="L338" i="3"/>
  <c r="M338" i="3"/>
  <c r="K332" i="3"/>
  <c r="K328" i="3"/>
  <c r="L328" i="3"/>
  <c r="M328" i="3"/>
  <c r="F328" i="3"/>
  <c r="G328" i="3"/>
  <c r="K316" i="3"/>
  <c r="L316" i="3"/>
  <c r="K317" i="3"/>
  <c r="L317" i="3"/>
  <c r="K322" i="3"/>
  <c r="L322" i="3"/>
  <c r="F316" i="3"/>
  <c r="G316" i="3"/>
  <c r="F317" i="3"/>
  <c r="G317" i="3"/>
  <c r="F318" i="3"/>
  <c r="G318" i="3"/>
  <c r="F322" i="3"/>
  <c r="G322" i="3"/>
  <c r="P141" i="3"/>
  <c r="O141" i="3"/>
  <c r="N141" i="3"/>
  <c r="P139" i="3"/>
  <c r="O139" i="3"/>
  <c r="N139" i="3"/>
  <c r="L141" i="3"/>
  <c r="K141" i="3"/>
  <c r="J141" i="3"/>
  <c r="I141" i="3"/>
  <c r="L139" i="3"/>
  <c r="K139" i="3"/>
  <c r="J139" i="3"/>
  <c r="I139" i="3"/>
  <c r="N59" i="3"/>
  <c r="P59" i="3"/>
  <c r="O59" i="3"/>
  <c r="L59" i="3"/>
  <c r="K59" i="3"/>
  <c r="J59" i="3"/>
  <c r="I59" i="3"/>
  <c r="O131" i="3"/>
  <c r="T131" i="3"/>
  <c r="U131" i="3"/>
  <c r="V131" i="3"/>
  <c r="X131" i="3"/>
  <c r="Y131" i="3"/>
  <c r="Z131" i="3"/>
  <c r="AA131" i="3"/>
  <c r="N131" i="3"/>
  <c r="L131" i="3"/>
  <c r="K131" i="3"/>
  <c r="J131" i="3"/>
  <c r="I131" i="3"/>
  <c r="P125" i="3"/>
  <c r="O125" i="3"/>
  <c r="N125" i="3"/>
  <c r="L125" i="3"/>
  <c r="K125" i="3"/>
  <c r="J125" i="3"/>
  <c r="I125" i="3"/>
  <c r="P119" i="3"/>
  <c r="O119" i="3"/>
  <c r="N119" i="3"/>
  <c r="L119" i="3"/>
  <c r="K119" i="3"/>
  <c r="J119" i="3"/>
  <c r="I119" i="3"/>
  <c r="P113" i="3"/>
  <c r="O113" i="3"/>
  <c r="N113" i="3"/>
  <c r="L113" i="3"/>
  <c r="K113" i="3"/>
  <c r="J113" i="3"/>
  <c r="I113" i="3"/>
  <c r="P107" i="3"/>
  <c r="O107" i="3"/>
  <c r="N107" i="3"/>
  <c r="L107" i="3"/>
  <c r="K107" i="3"/>
  <c r="J107" i="3"/>
  <c r="I107" i="3"/>
  <c r="P101" i="3"/>
  <c r="O101" i="3"/>
  <c r="N101" i="3"/>
  <c r="L101" i="3"/>
  <c r="K101" i="3"/>
  <c r="J101" i="3"/>
  <c r="I101" i="3"/>
  <c r="P95" i="3"/>
  <c r="O95" i="3"/>
  <c r="N95" i="3"/>
  <c r="L95" i="3"/>
  <c r="K95" i="3"/>
  <c r="J95" i="3"/>
  <c r="I95" i="3"/>
  <c r="P89" i="3"/>
  <c r="O89" i="3"/>
  <c r="N89" i="3"/>
  <c r="L89" i="3"/>
  <c r="K89" i="3"/>
  <c r="J89" i="3"/>
  <c r="I89" i="3"/>
  <c r="P133" i="3"/>
  <c r="O133" i="3"/>
  <c r="N133" i="3"/>
  <c r="L133" i="3"/>
  <c r="K133" i="3"/>
  <c r="J133" i="3"/>
  <c r="I133" i="3"/>
  <c r="P127" i="3"/>
  <c r="O127" i="3"/>
  <c r="N127" i="3"/>
  <c r="L127" i="3"/>
  <c r="K127" i="3"/>
  <c r="J127" i="3"/>
  <c r="I127" i="3"/>
  <c r="P121" i="3"/>
  <c r="O121" i="3"/>
  <c r="N121" i="3"/>
  <c r="L121" i="3"/>
  <c r="K121" i="3"/>
  <c r="J121" i="3"/>
  <c r="I121" i="3"/>
  <c r="P115" i="3"/>
  <c r="T115" i="3"/>
  <c r="O115" i="3"/>
  <c r="N115" i="3"/>
  <c r="L115" i="3"/>
  <c r="K115" i="3"/>
  <c r="J115" i="3"/>
  <c r="I115" i="3"/>
  <c r="P109" i="3"/>
  <c r="O109" i="3"/>
  <c r="N109" i="3"/>
  <c r="L109" i="3"/>
  <c r="K109" i="3"/>
  <c r="J109" i="3"/>
  <c r="I109" i="3"/>
  <c r="P103" i="3"/>
  <c r="O103" i="3"/>
  <c r="N103" i="3"/>
  <c r="L103" i="3"/>
  <c r="K103" i="3"/>
  <c r="J103" i="3"/>
  <c r="I103" i="3"/>
  <c r="P97" i="3"/>
  <c r="O97" i="3"/>
  <c r="N97" i="3"/>
  <c r="L97" i="3"/>
  <c r="K97" i="3"/>
  <c r="J97" i="3"/>
  <c r="I97" i="3"/>
  <c r="P91" i="3"/>
  <c r="T91" i="3"/>
  <c r="O91" i="3"/>
  <c r="N91" i="3"/>
  <c r="L91" i="3"/>
  <c r="K91" i="3"/>
  <c r="J91" i="3"/>
  <c r="I91" i="3"/>
  <c r="P85" i="3"/>
  <c r="O85" i="3"/>
  <c r="N85" i="3"/>
  <c r="L85" i="3"/>
  <c r="K85" i="3"/>
  <c r="J85" i="3"/>
  <c r="I85" i="3"/>
  <c r="P83" i="3"/>
  <c r="O83" i="3"/>
  <c r="N83" i="3"/>
  <c r="L83" i="3"/>
  <c r="K83" i="3"/>
  <c r="J83" i="3"/>
  <c r="I83" i="3"/>
  <c r="P77" i="3"/>
  <c r="L77" i="3"/>
  <c r="O77" i="3"/>
  <c r="N77" i="3"/>
  <c r="K77" i="3"/>
  <c r="J77" i="3"/>
  <c r="I77" i="3"/>
  <c r="I79" i="3"/>
  <c r="L79" i="3"/>
  <c r="K79" i="3"/>
  <c r="J79" i="3"/>
  <c r="N79" i="3"/>
  <c r="O79" i="3"/>
  <c r="P79" i="3"/>
  <c r="P75" i="3"/>
  <c r="O75" i="3"/>
  <c r="N75" i="3"/>
  <c r="P55" i="3"/>
  <c r="P56" i="3"/>
  <c r="O55" i="3"/>
  <c r="O56" i="3"/>
  <c r="N55" i="3"/>
  <c r="P52" i="3"/>
  <c r="O52" i="3"/>
  <c r="N53" i="3"/>
  <c r="I57" i="3"/>
  <c r="K75" i="3"/>
  <c r="I75" i="3"/>
  <c r="L56" i="3"/>
  <c r="K55" i="3"/>
  <c r="K56" i="3"/>
  <c r="J56" i="3"/>
  <c r="I55" i="3"/>
  <c r="I56" i="3"/>
  <c r="L53" i="3"/>
  <c r="K53" i="3"/>
  <c r="J53" i="3"/>
  <c r="I52" i="3"/>
  <c r="I53" i="3"/>
  <c r="G57" i="3"/>
  <c r="G75" i="3"/>
  <c r="E75" i="3"/>
  <c r="G55" i="3"/>
  <c r="G56" i="3"/>
  <c r="F55" i="3"/>
  <c r="F56" i="3"/>
  <c r="E55" i="3"/>
  <c r="E56" i="3"/>
  <c r="D55" i="3"/>
  <c r="D56" i="3"/>
  <c r="G52" i="3"/>
  <c r="G53" i="3"/>
  <c r="F52" i="3"/>
  <c r="F53" i="3"/>
  <c r="E52" i="3"/>
  <c r="E53" i="3"/>
  <c r="D52" i="3"/>
  <c r="D53" i="3"/>
  <c r="T109" i="3"/>
  <c r="U109" i="3"/>
  <c r="V109" i="3"/>
  <c r="X109" i="3"/>
  <c r="Y109" i="3"/>
  <c r="Z109" i="3"/>
  <c r="AA109" i="3"/>
  <c r="T133" i="3"/>
  <c r="U133" i="3"/>
  <c r="V133" i="3"/>
  <c r="X133" i="3"/>
  <c r="Y133" i="3"/>
  <c r="Z133" i="3"/>
  <c r="AA133" i="3"/>
  <c r="T107" i="3"/>
  <c r="U107" i="3"/>
  <c r="V107" i="3"/>
  <c r="X107" i="3"/>
  <c r="Y107" i="3"/>
  <c r="Z107" i="3"/>
  <c r="AA107" i="3"/>
  <c r="T103" i="3"/>
  <c r="U103" i="3"/>
  <c r="V103" i="3"/>
  <c r="X103" i="3"/>
  <c r="Y103" i="3"/>
  <c r="Z103" i="3"/>
  <c r="AA103" i="3"/>
  <c r="T127" i="3"/>
  <c r="U127" i="3"/>
  <c r="V127" i="3"/>
  <c r="X127" i="3"/>
  <c r="Y127" i="3"/>
  <c r="Z127" i="3"/>
  <c r="AA127" i="3"/>
  <c r="T101" i="3"/>
  <c r="U101" i="3"/>
  <c r="V101" i="3"/>
  <c r="X101" i="3"/>
  <c r="Y101" i="3"/>
  <c r="Z101" i="3"/>
  <c r="AA101" i="3"/>
  <c r="T125" i="3"/>
  <c r="U125" i="3"/>
  <c r="V125" i="3"/>
  <c r="X125" i="3"/>
  <c r="Y125" i="3"/>
  <c r="Z125" i="3"/>
  <c r="AA125" i="3"/>
  <c r="U150" i="3"/>
  <c r="T121" i="3"/>
  <c r="U121" i="3"/>
  <c r="V121" i="3"/>
  <c r="X121" i="3"/>
  <c r="Y121" i="3"/>
  <c r="Z121" i="3"/>
  <c r="AA121" i="3"/>
  <c r="T119" i="3"/>
  <c r="U119" i="3"/>
  <c r="V119" i="3"/>
  <c r="X119" i="3"/>
  <c r="Y119" i="3"/>
  <c r="Z119" i="3"/>
  <c r="AA119" i="3"/>
  <c r="AJ284" i="3"/>
  <c r="AI286" i="3"/>
  <c r="O53" i="3"/>
  <c r="T59" i="3"/>
  <c r="U59" i="3"/>
  <c r="V59" i="3"/>
  <c r="X59" i="3"/>
  <c r="Y59" i="3"/>
  <c r="Z59" i="3"/>
  <c r="T139" i="3"/>
  <c r="U139" i="3"/>
  <c r="V139" i="3"/>
  <c r="X139" i="3"/>
  <c r="Y139" i="3"/>
  <c r="Z139" i="3"/>
  <c r="AA139" i="3"/>
  <c r="P53" i="3"/>
  <c r="N56" i="3"/>
  <c r="T85" i="3"/>
  <c r="T79" i="3"/>
  <c r="U79" i="3"/>
  <c r="AM283" i="3"/>
  <c r="AO329" i="3"/>
  <c r="AO315" i="3"/>
  <c r="Q313" i="3"/>
  <c r="Q356" i="3"/>
  <c r="P356" i="3"/>
  <c r="L313" i="3"/>
  <c r="L356" i="3"/>
  <c r="K356" i="3"/>
  <c r="G313" i="3"/>
  <c r="G356" i="3"/>
  <c r="F356" i="3"/>
  <c r="R335" i="3"/>
  <c r="R314" i="3"/>
  <c r="R320" i="3"/>
  <c r="R322" i="3"/>
  <c r="R321" i="3"/>
  <c r="R336" i="3"/>
  <c r="R318" i="3"/>
  <c r="R333" i="3"/>
  <c r="P359" i="3"/>
  <c r="Q327" i="3"/>
  <c r="P152" i="3"/>
  <c r="R324" i="3"/>
  <c r="Q312" i="3"/>
  <c r="P340" i="3"/>
  <c r="Q334" i="3"/>
  <c r="R334" i="3"/>
  <c r="R315" i="3"/>
  <c r="AP142" i="3"/>
  <c r="AO142" i="3"/>
  <c r="K168" i="3"/>
  <c r="K163" i="3"/>
  <c r="K154" i="3"/>
  <c r="O151" i="3"/>
  <c r="O146" i="3"/>
  <c r="O150" i="3"/>
  <c r="O137" i="3"/>
  <c r="N150" i="3"/>
  <c r="N151" i="3"/>
  <c r="N146" i="3"/>
  <c r="N137" i="3"/>
  <c r="L151" i="3"/>
  <c r="L146" i="3"/>
  <c r="L137" i="3"/>
  <c r="L150" i="3"/>
  <c r="K151" i="3"/>
  <c r="K146" i="3"/>
  <c r="K137" i="3"/>
  <c r="K150" i="3"/>
  <c r="J150" i="3"/>
  <c r="J137" i="3"/>
  <c r="J151" i="3"/>
  <c r="J146" i="3"/>
  <c r="I150" i="3"/>
  <c r="I137" i="3"/>
  <c r="I151" i="3"/>
  <c r="I146" i="3"/>
  <c r="G150" i="3"/>
  <c r="G137" i="3"/>
  <c r="G151" i="3"/>
  <c r="F151" i="3"/>
  <c r="F137" i="3"/>
  <c r="F150" i="3"/>
  <c r="E151" i="3"/>
  <c r="E137" i="3"/>
  <c r="E150" i="3"/>
  <c r="O57" i="3"/>
  <c r="D75" i="3"/>
  <c r="D54" i="3"/>
  <c r="L312" i="3"/>
  <c r="L302" i="3"/>
  <c r="G312" i="3"/>
  <c r="G302" i="3"/>
  <c r="G327" i="3"/>
  <c r="G359" i="3"/>
  <c r="F359" i="3"/>
  <c r="L327" i="3"/>
  <c r="L359" i="3"/>
  <c r="K359" i="3"/>
  <c r="T174" i="3"/>
  <c r="T175" i="3"/>
  <c r="P167" i="3"/>
  <c r="U167" i="3"/>
  <c r="Z167" i="3"/>
  <c r="AE167" i="3"/>
  <c r="P168" i="3"/>
  <c r="P163" i="3"/>
  <c r="K167" i="3"/>
  <c r="T160" i="3"/>
  <c r="T159" i="3"/>
  <c r="L54" i="3"/>
  <c r="L75" i="3"/>
  <c r="J57" i="3"/>
  <c r="E57" i="3"/>
  <c r="J54" i="3"/>
  <c r="J75" i="3"/>
  <c r="H289" i="3"/>
  <c r="L332" i="3"/>
  <c r="L340" i="3"/>
  <c r="K340" i="3"/>
  <c r="H338" i="3"/>
  <c r="H323" i="3"/>
  <c r="M329" i="3"/>
  <c r="M339" i="3"/>
  <c r="H337" i="3"/>
  <c r="M333" i="3"/>
  <c r="H335" i="3"/>
  <c r="M341" i="3"/>
  <c r="H341" i="3"/>
  <c r="M336" i="3"/>
  <c r="M334" i="3"/>
  <c r="M337" i="3"/>
  <c r="M335" i="3"/>
  <c r="H334" i="3"/>
  <c r="H333" i="3"/>
  <c r="H339" i="3"/>
  <c r="H336" i="3"/>
  <c r="H329" i="3"/>
  <c r="H328" i="3"/>
  <c r="M320" i="3"/>
  <c r="M314" i="3"/>
  <c r="M316" i="3"/>
  <c r="M315" i="3"/>
  <c r="M321" i="3"/>
  <c r="M322" i="3"/>
  <c r="M317" i="3"/>
  <c r="M324" i="3"/>
  <c r="M323" i="3"/>
  <c r="M318" i="3"/>
  <c r="H314" i="3"/>
  <c r="H316" i="3"/>
  <c r="H315" i="3"/>
  <c r="H321" i="3"/>
  <c r="H322" i="3"/>
  <c r="H317" i="3"/>
  <c r="H324" i="3"/>
  <c r="H318" i="3"/>
  <c r="L57" i="3"/>
  <c r="N54" i="3"/>
  <c r="O54" i="3"/>
  <c r="N57" i="3"/>
  <c r="P54" i="3"/>
  <c r="P57" i="3"/>
  <c r="I54" i="3"/>
  <c r="I60" i="3"/>
  <c r="I64" i="3"/>
  <c r="G54" i="3"/>
  <c r="G60" i="3"/>
  <c r="G64" i="3"/>
  <c r="F57" i="3"/>
  <c r="D57" i="3"/>
  <c r="K57" i="3"/>
  <c r="E54" i="3"/>
  <c r="K54" i="3"/>
  <c r="F54" i="3"/>
  <c r="N47" i="3"/>
  <c r="O47" i="3"/>
  <c r="P47" i="3"/>
  <c r="K47" i="3"/>
  <c r="J47" i="3"/>
  <c r="I47" i="3"/>
  <c r="M46" i="3"/>
  <c r="H46" i="3"/>
  <c r="H47" i="3"/>
  <c r="M37" i="3"/>
  <c r="H37" i="3"/>
  <c r="W33" i="3"/>
  <c r="M33" i="3"/>
  <c r="M34" i="3"/>
  <c r="H33" i="3"/>
  <c r="H34" i="3"/>
  <c r="W22" i="3"/>
  <c r="R22" i="3"/>
  <c r="M23" i="3"/>
  <c r="M22" i="3"/>
  <c r="M21" i="3"/>
  <c r="M20" i="3"/>
  <c r="M19" i="3"/>
  <c r="M18" i="3"/>
  <c r="M17" i="3"/>
  <c r="M16" i="3"/>
  <c r="M15" i="3"/>
  <c r="M13" i="3"/>
  <c r="H23" i="3"/>
  <c r="H22" i="3"/>
  <c r="H21" i="3"/>
  <c r="H20" i="3"/>
  <c r="H19" i="3"/>
  <c r="H18" i="3"/>
  <c r="H17" i="3"/>
  <c r="H16" i="3"/>
  <c r="H15" i="3"/>
  <c r="D24" i="3"/>
  <c r="D180" i="3"/>
  <c r="D185" i="3"/>
  <c r="E24" i="3"/>
  <c r="E180" i="3"/>
  <c r="E185" i="3"/>
  <c r="F24" i="3"/>
  <c r="G24" i="3"/>
  <c r="I24" i="3"/>
  <c r="I25" i="3"/>
  <c r="J24" i="3"/>
  <c r="K24" i="3"/>
  <c r="L24" i="3"/>
  <c r="N24" i="3"/>
  <c r="O24" i="3"/>
  <c r="U97" i="3"/>
  <c r="V97" i="3"/>
  <c r="X97" i="3"/>
  <c r="Y97" i="3"/>
  <c r="Z97" i="3"/>
  <c r="AA97" i="3"/>
  <c r="U95" i="3"/>
  <c r="V95" i="3"/>
  <c r="X95" i="3"/>
  <c r="Y95" i="3"/>
  <c r="Z95" i="3"/>
  <c r="AA95" i="3"/>
  <c r="F60" i="3"/>
  <c r="F64" i="3"/>
  <c r="L60" i="3"/>
  <c r="L64" i="3"/>
  <c r="J60" i="3"/>
  <c r="J64" i="3"/>
  <c r="O60" i="3"/>
  <c r="O64" i="3"/>
  <c r="D60" i="3"/>
  <c r="D64" i="3"/>
  <c r="N60" i="3"/>
  <c r="N64" i="3"/>
  <c r="K60" i="3"/>
  <c r="K64" i="3"/>
  <c r="Z150" i="3"/>
  <c r="AE150" i="3"/>
  <c r="AJ150" i="3"/>
  <c r="AO150" i="3"/>
  <c r="P60" i="3"/>
  <c r="P64" i="3"/>
  <c r="E60" i="3"/>
  <c r="E64" i="3"/>
  <c r="T150" i="3"/>
  <c r="AK284" i="3"/>
  <c r="AJ286" i="3"/>
  <c r="AJ167" i="3"/>
  <c r="AO167" i="3"/>
  <c r="H327" i="3"/>
  <c r="R313" i="3"/>
  <c r="AQ258" i="3"/>
  <c r="AP329" i="3"/>
  <c r="AQ329" i="3"/>
  <c r="H313" i="3"/>
  <c r="AN283" i="3"/>
  <c r="M313" i="3"/>
  <c r="R312" i="3"/>
  <c r="Q302" i="3"/>
  <c r="M312" i="3"/>
  <c r="O182" i="3"/>
  <c r="J182" i="3"/>
  <c r="F182" i="3"/>
  <c r="K182" i="3"/>
  <c r="M327" i="3"/>
  <c r="M359" i="3"/>
  <c r="P182" i="3"/>
  <c r="G152" i="3"/>
  <c r="G146" i="3"/>
  <c r="N152" i="3"/>
  <c r="O152" i="3"/>
  <c r="E182" i="3"/>
  <c r="G182" i="3"/>
  <c r="N182" i="3"/>
  <c r="J152" i="3"/>
  <c r="L152" i="3"/>
  <c r="E152" i="3"/>
  <c r="E146" i="3"/>
  <c r="I182" i="3"/>
  <c r="L182" i="3"/>
  <c r="D182" i="3"/>
  <c r="F152" i="3"/>
  <c r="F146" i="3"/>
  <c r="I152" i="3"/>
  <c r="K152" i="3"/>
  <c r="K169" i="3"/>
  <c r="O168" i="3"/>
  <c r="O163" i="3"/>
  <c r="O154" i="3"/>
  <c r="N168" i="3"/>
  <c r="N163" i="3"/>
  <c r="N154" i="3"/>
  <c r="I168" i="3"/>
  <c r="I163" i="3"/>
  <c r="I154" i="3"/>
  <c r="E168" i="3"/>
  <c r="E163" i="3"/>
  <c r="H312" i="3"/>
  <c r="M223" i="3"/>
  <c r="M225" i="3"/>
  <c r="M224" i="3"/>
  <c r="L25" i="3"/>
  <c r="L180" i="3"/>
  <c r="L185" i="3"/>
  <c r="Q184" i="3"/>
  <c r="O25" i="3"/>
  <c r="O180" i="3"/>
  <c r="O185" i="3"/>
  <c r="J25" i="3"/>
  <c r="J180" i="3"/>
  <c r="J185" i="3"/>
  <c r="N25" i="3"/>
  <c r="N180" i="3"/>
  <c r="N185" i="3"/>
  <c r="I180" i="3"/>
  <c r="I185" i="3"/>
  <c r="G25" i="3"/>
  <c r="G220" i="3"/>
  <c r="G180" i="3"/>
  <c r="G185" i="3"/>
  <c r="K25" i="3"/>
  <c r="K180" i="3"/>
  <c r="K185" i="3"/>
  <c r="F25" i="3"/>
  <c r="F180" i="3"/>
  <c r="F185" i="3"/>
  <c r="D25" i="3"/>
  <c r="R19" i="3"/>
  <c r="U174" i="3"/>
  <c r="U175" i="3"/>
  <c r="P71" i="3"/>
  <c r="U71" i="3"/>
  <c r="Z71" i="3"/>
  <c r="AE71" i="3"/>
  <c r="T158" i="3"/>
  <c r="P169" i="3"/>
  <c r="I167" i="3"/>
  <c r="U160" i="3"/>
  <c r="V160" i="3"/>
  <c r="X160" i="3"/>
  <c r="Y160" i="3"/>
  <c r="Z160" i="3"/>
  <c r="AA160" i="3"/>
  <c r="O167" i="3"/>
  <c r="T167" i="3"/>
  <c r="Y167" i="3"/>
  <c r="AD167" i="3"/>
  <c r="E167" i="3"/>
  <c r="T172" i="3"/>
  <c r="K72" i="3"/>
  <c r="K71" i="3"/>
  <c r="E71" i="3"/>
  <c r="E72" i="3"/>
  <c r="P72" i="3"/>
  <c r="P186" i="3"/>
  <c r="T156" i="3"/>
  <c r="D71" i="3"/>
  <c r="D72" i="3"/>
  <c r="G72" i="3"/>
  <c r="G71" i="3"/>
  <c r="O71" i="3"/>
  <c r="T71" i="3"/>
  <c r="Y71" i="3"/>
  <c r="AD71" i="3"/>
  <c r="O72" i="3"/>
  <c r="N71" i="3"/>
  <c r="N72" i="3"/>
  <c r="F72" i="3"/>
  <c r="F71" i="3"/>
  <c r="I71" i="3"/>
  <c r="I72" i="3"/>
  <c r="J72" i="3"/>
  <c r="J71" i="3"/>
  <c r="L72" i="3"/>
  <c r="L71" i="3"/>
  <c r="M332" i="3"/>
  <c r="M340" i="3"/>
  <c r="T58" i="3"/>
  <c r="X58" i="3"/>
  <c r="Q137" i="3"/>
  <c r="T141" i="3"/>
  <c r="U58" i="3"/>
  <c r="M47" i="3"/>
  <c r="P35" i="3"/>
  <c r="P226" i="3"/>
  <c r="M24" i="3"/>
  <c r="M25" i="3"/>
  <c r="M27" i="3"/>
  <c r="H24" i="3"/>
  <c r="H428" i="3"/>
  <c r="I428" i="3"/>
  <c r="J428" i="3"/>
  <c r="F428" i="3"/>
  <c r="E428" i="3"/>
  <c r="D428" i="3"/>
  <c r="Y58" i="3"/>
  <c r="Y150" i="3"/>
  <c r="AD150" i="3"/>
  <c r="AI150" i="3"/>
  <c r="AN150" i="3"/>
  <c r="AL284" i="3"/>
  <c r="AK286" i="3"/>
  <c r="M40" i="3"/>
  <c r="M45" i="3"/>
  <c r="M221" i="3"/>
  <c r="S162" i="3"/>
  <c r="S167" i="3"/>
  <c r="AI167" i="3"/>
  <c r="AN167" i="3"/>
  <c r="AJ71" i="3"/>
  <c r="AO71" i="3"/>
  <c r="D27" i="3"/>
  <c r="D220" i="3"/>
  <c r="K27" i="3"/>
  <c r="K220" i="3"/>
  <c r="I27" i="3"/>
  <c r="I220" i="3"/>
  <c r="J27" i="3"/>
  <c r="J220" i="3"/>
  <c r="L27" i="3"/>
  <c r="L220" i="3"/>
  <c r="M220" i="3"/>
  <c r="F27" i="3"/>
  <c r="F221" i="3"/>
  <c r="F220" i="3"/>
  <c r="N27" i="3"/>
  <c r="N220" i="3"/>
  <c r="O27" i="3"/>
  <c r="O220" i="3"/>
  <c r="M72" i="3"/>
  <c r="AI71" i="3"/>
  <c r="AN71" i="3"/>
  <c r="AQ269" i="3"/>
  <c r="AP315" i="3"/>
  <c r="AQ315" i="3"/>
  <c r="AO283" i="3"/>
  <c r="T356" i="3"/>
  <c r="E169" i="3"/>
  <c r="G35" i="3"/>
  <c r="G27" i="3"/>
  <c r="I186" i="3"/>
  <c r="S80" i="3"/>
  <c r="O169" i="3"/>
  <c r="N169" i="3"/>
  <c r="I169" i="3"/>
  <c r="U115" i="3"/>
  <c r="V115" i="3"/>
  <c r="X115" i="3"/>
  <c r="Y115" i="3"/>
  <c r="Z115" i="3"/>
  <c r="AA115" i="3"/>
  <c r="T114" i="3"/>
  <c r="L168" i="3"/>
  <c r="L163" i="3"/>
  <c r="L154" i="3"/>
  <c r="J168" i="3"/>
  <c r="J163" i="3"/>
  <c r="J154" i="3"/>
  <c r="G168" i="3"/>
  <c r="G169" i="3"/>
  <c r="G154" i="3"/>
  <c r="F168" i="3"/>
  <c r="F186" i="3"/>
  <c r="F154" i="3"/>
  <c r="D168" i="3"/>
  <c r="D169" i="3"/>
  <c r="D154" i="3"/>
  <c r="V58" i="3"/>
  <c r="O35" i="3"/>
  <c r="O226" i="3"/>
  <c r="O186" i="3"/>
  <c r="K35" i="3"/>
  <c r="K38" i="3"/>
  <c r="K186" i="3"/>
  <c r="N186" i="3"/>
  <c r="J35" i="3"/>
  <c r="J226" i="3"/>
  <c r="I35" i="3"/>
  <c r="I38" i="3"/>
  <c r="L35" i="3"/>
  <c r="L38" i="3"/>
  <c r="P38" i="3"/>
  <c r="D35" i="3"/>
  <c r="N35" i="3"/>
  <c r="F35" i="3"/>
  <c r="U159" i="3"/>
  <c r="V174" i="3"/>
  <c r="V175" i="3"/>
  <c r="F73" i="3"/>
  <c r="O73" i="3"/>
  <c r="L73" i="3"/>
  <c r="D73" i="3"/>
  <c r="P73" i="3"/>
  <c r="K73" i="3"/>
  <c r="I73" i="3"/>
  <c r="G73" i="3"/>
  <c r="J73" i="3"/>
  <c r="N73" i="3"/>
  <c r="E73" i="3"/>
  <c r="J167" i="3"/>
  <c r="L167" i="3"/>
  <c r="D167" i="3"/>
  <c r="U158" i="3"/>
  <c r="T157" i="3"/>
  <c r="F167" i="3"/>
  <c r="G167" i="3"/>
  <c r="T171" i="3"/>
  <c r="U172" i="3"/>
  <c r="T155" i="3"/>
  <c r="T162" i="3"/>
  <c r="U156" i="3"/>
  <c r="V159" i="3"/>
  <c r="T77" i="3"/>
  <c r="U77" i="3"/>
  <c r="S135" i="3"/>
  <c r="U91" i="3"/>
  <c r="T90" i="3"/>
  <c r="Q53" i="3"/>
  <c r="T89" i="3"/>
  <c r="U89" i="3"/>
  <c r="V89" i="3"/>
  <c r="X89" i="3"/>
  <c r="Y89" i="3"/>
  <c r="Z89" i="3"/>
  <c r="AA89" i="3"/>
  <c r="S92" i="3"/>
  <c r="U141" i="3"/>
  <c r="T140" i="3"/>
  <c r="T132" i="3"/>
  <c r="Q55" i="3"/>
  <c r="T130" i="3"/>
  <c r="T83" i="3"/>
  <c r="S86" i="3"/>
  <c r="T106" i="3"/>
  <c r="T138" i="3"/>
  <c r="T113" i="3"/>
  <c r="S116" i="3"/>
  <c r="AA59" i="3"/>
  <c r="Z58" i="3"/>
  <c r="M35" i="3"/>
  <c r="C377" i="3"/>
  <c r="C384" i="3"/>
  <c r="O40" i="3"/>
  <c r="O45" i="3"/>
  <c r="O221" i="3"/>
  <c r="L40" i="3"/>
  <c r="L45" i="3"/>
  <c r="L221" i="3"/>
  <c r="G40" i="3"/>
  <c r="G45" i="3"/>
  <c r="G221" i="3"/>
  <c r="I40" i="3"/>
  <c r="I45" i="3"/>
  <c r="I221" i="3"/>
  <c r="D40" i="3"/>
  <c r="D45" i="3"/>
  <c r="D221" i="3"/>
  <c r="N40" i="3"/>
  <c r="N45" i="3"/>
  <c r="N221" i="3"/>
  <c r="J40" i="3"/>
  <c r="J45" i="3"/>
  <c r="J221" i="3"/>
  <c r="K40" i="3"/>
  <c r="K45" i="3"/>
  <c r="K221" i="3"/>
  <c r="X167" i="3"/>
  <c r="AC167" i="3"/>
  <c r="AH167" i="3"/>
  <c r="AM167" i="3"/>
  <c r="AM284" i="3"/>
  <c r="AL286" i="3"/>
  <c r="F40" i="3"/>
  <c r="F45" i="3"/>
  <c r="S145" i="3"/>
  <c r="S150" i="3"/>
  <c r="X150" i="3"/>
  <c r="T147" i="3"/>
  <c r="T164" i="3"/>
  <c r="Q56" i="3"/>
  <c r="AP283" i="3"/>
  <c r="U356" i="3"/>
  <c r="S128" i="3"/>
  <c r="T145" i="3"/>
  <c r="S104" i="3"/>
  <c r="S98" i="3"/>
  <c r="L169" i="3"/>
  <c r="J186" i="3"/>
  <c r="G186" i="3"/>
  <c r="G163" i="3"/>
  <c r="F169" i="3"/>
  <c r="F163" i="3"/>
  <c r="D186" i="3"/>
  <c r="D163" i="3"/>
  <c r="T135" i="3"/>
  <c r="J38" i="3"/>
  <c r="S110" i="3"/>
  <c r="I226" i="3"/>
  <c r="L186" i="3"/>
  <c r="U114" i="3"/>
  <c r="S122" i="3"/>
  <c r="J169" i="3"/>
  <c r="O38" i="3"/>
  <c r="K226" i="3"/>
  <c r="L226" i="3"/>
  <c r="D38" i="3"/>
  <c r="D226" i="3"/>
  <c r="N38" i="3"/>
  <c r="N226" i="3"/>
  <c r="G38" i="3"/>
  <c r="G226" i="3"/>
  <c r="F38" i="3"/>
  <c r="F226" i="3"/>
  <c r="M38" i="3"/>
  <c r="M226" i="3"/>
  <c r="X174" i="3"/>
  <c r="X175" i="3"/>
  <c r="U157" i="3"/>
  <c r="V158" i="3"/>
  <c r="X158" i="3"/>
  <c r="Y158" i="3"/>
  <c r="Z158" i="3"/>
  <c r="AA158" i="3"/>
  <c r="T76" i="3"/>
  <c r="V172" i="3"/>
  <c r="U171" i="3"/>
  <c r="X159" i="3"/>
  <c r="U155" i="3"/>
  <c r="U162" i="3"/>
  <c r="V156" i="3"/>
  <c r="X156" i="3"/>
  <c r="Y156" i="3"/>
  <c r="Z156" i="3"/>
  <c r="AA156" i="3"/>
  <c r="T78" i="3"/>
  <c r="T88" i="3"/>
  <c r="T92" i="3"/>
  <c r="T102" i="3"/>
  <c r="T100" i="3"/>
  <c r="U138" i="3"/>
  <c r="T120" i="3"/>
  <c r="U85" i="3"/>
  <c r="T84" i="3"/>
  <c r="T126" i="3"/>
  <c r="U130" i="3"/>
  <c r="S52" i="3"/>
  <c r="U140" i="3"/>
  <c r="V141" i="3"/>
  <c r="X141" i="3"/>
  <c r="Y141" i="3"/>
  <c r="Z141" i="3"/>
  <c r="AA141" i="3"/>
  <c r="T118" i="3"/>
  <c r="S55" i="3"/>
  <c r="S56" i="3"/>
  <c r="U83" i="3"/>
  <c r="T82" i="3"/>
  <c r="T96" i="3"/>
  <c r="U132" i="3"/>
  <c r="U113" i="3"/>
  <c r="V113" i="3"/>
  <c r="X113" i="3"/>
  <c r="Y113" i="3"/>
  <c r="Z113" i="3"/>
  <c r="AA113" i="3"/>
  <c r="T112" i="3"/>
  <c r="T116" i="3"/>
  <c r="U76" i="3"/>
  <c r="V77" i="3"/>
  <c r="X77" i="3"/>
  <c r="Y77" i="3"/>
  <c r="Z77" i="3"/>
  <c r="AA77" i="3"/>
  <c r="U106" i="3"/>
  <c r="Q57" i="3"/>
  <c r="T108" i="3"/>
  <c r="T110" i="3"/>
  <c r="T94" i="3"/>
  <c r="V91" i="3"/>
  <c r="X91" i="3"/>
  <c r="Y91" i="3"/>
  <c r="Z91" i="3"/>
  <c r="AA91" i="3"/>
  <c r="U90" i="3"/>
  <c r="T124" i="3"/>
  <c r="V79" i="3"/>
  <c r="X79" i="3"/>
  <c r="Y79" i="3"/>
  <c r="Z79" i="3"/>
  <c r="AA79" i="3"/>
  <c r="U78" i="3"/>
  <c r="Q54" i="3"/>
  <c r="AA58" i="3"/>
  <c r="AC59" i="3"/>
  <c r="P298" i="3"/>
  <c r="Q60" i="3"/>
  <c r="Q64" i="3"/>
  <c r="AC150" i="3"/>
  <c r="AH150" i="3"/>
  <c r="AM150" i="3"/>
  <c r="AN284" i="3"/>
  <c r="AM286" i="3"/>
  <c r="T86" i="3"/>
  <c r="U298" i="3"/>
  <c r="Z298" i="3"/>
  <c r="U164" i="3"/>
  <c r="U147" i="3"/>
  <c r="S53" i="3"/>
  <c r="AQ283" i="3"/>
  <c r="V356" i="3"/>
  <c r="X356" i="3"/>
  <c r="T128" i="3"/>
  <c r="T98" i="3"/>
  <c r="T122" i="3"/>
  <c r="U145" i="3"/>
  <c r="U80" i="3"/>
  <c r="T80" i="3"/>
  <c r="V114" i="3"/>
  <c r="T104" i="3"/>
  <c r="U135" i="3"/>
  <c r="Q154" i="3"/>
  <c r="Q13" i="3"/>
  <c r="Q294" i="3"/>
  <c r="V294" i="3"/>
  <c r="AA294" i="3"/>
  <c r="Q71" i="3"/>
  <c r="V71" i="3"/>
  <c r="AA71" i="3"/>
  <c r="AF71" i="3"/>
  <c r="Y174" i="3"/>
  <c r="Y175" i="3"/>
  <c r="V171" i="3"/>
  <c r="X172" i="3"/>
  <c r="V157" i="3"/>
  <c r="Q168" i="3"/>
  <c r="Q163" i="3"/>
  <c r="V155" i="3"/>
  <c r="V162" i="3"/>
  <c r="Y159" i="3"/>
  <c r="S54" i="3"/>
  <c r="U96" i="3"/>
  <c r="U126" i="3"/>
  <c r="U124" i="3"/>
  <c r="U108" i="3"/>
  <c r="U110" i="3"/>
  <c r="T55" i="3"/>
  <c r="T56" i="3"/>
  <c r="V132" i="3"/>
  <c r="T52" i="3"/>
  <c r="U118" i="3"/>
  <c r="U120" i="3"/>
  <c r="U100" i="3"/>
  <c r="U88" i="3"/>
  <c r="U92" i="3"/>
  <c r="V106" i="3"/>
  <c r="U112" i="3"/>
  <c r="U116" i="3"/>
  <c r="V83" i="3"/>
  <c r="X83" i="3"/>
  <c r="Y83" i="3"/>
  <c r="Z83" i="3"/>
  <c r="AA83" i="3"/>
  <c r="U82" i="3"/>
  <c r="V140" i="3"/>
  <c r="V130" i="3"/>
  <c r="V85" i="3"/>
  <c r="X85" i="3"/>
  <c r="Y85" i="3"/>
  <c r="Z85" i="3"/>
  <c r="AA85" i="3"/>
  <c r="U84" i="3"/>
  <c r="V78" i="3"/>
  <c r="V90" i="3"/>
  <c r="U94" i="3"/>
  <c r="V76" i="3"/>
  <c r="S57" i="3"/>
  <c r="S60" i="3"/>
  <c r="S64" i="3"/>
  <c r="V138" i="3"/>
  <c r="U102" i="3"/>
  <c r="AC58" i="3"/>
  <c r="AD59" i="3"/>
  <c r="C381" i="3"/>
  <c r="C383" i="3"/>
  <c r="O298" i="3"/>
  <c r="T298" i="3"/>
  <c r="O295" i="3"/>
  <c r="P357" i="3"/>
  <c r="O219" i="3"/>
  <c r="N219" i="3"/>
  <c r="L219" i="3"/>
  <c r="K219" i="3"/>
  <c r="I219" i="3"/>
  <c r="R274" i="3"/>
  <c r="N357" i="3"/>
  <c r="I357" i="3"/>
  <c r="N298" i="3"/>
  <c r="N295" i="3"/>
  <c r="L298" i="3"/>
  <c r="L294" i="3"/>
  <c r="K298" i="3"/>
  <c r="K299" i="3"/>
  <c r="K294" i="3"/>
  <c r="K295" i="3"/>
  <c r="K234" i="3"/>
  <c r="I234" i="3"/>
  <c r="I230" i="3"/>
  <c r="J298" i="3"/>
  <c r="J299" i="3"/>
  <c r="J294" i="3"/>
  <c r="J295" i="3"/>
  <c r="I299" i="3"/>
  <c r="P299" i="3"/>
  <c r="G294" i="3"/>
  <c r="G295" i="3"/>
  <c r="N230" i="3"/>
  <c r="F294" i="3"/>
  <c r="F295" i="3"/>
  <c r="F234" i="3"/>
  <c r="W346" i="3"/>
  <c r="AB346" i="3"/>
  <c r="AG346" i="3"/>
  <c r="AL346" i="3"/>
  <c r="AQ346" i="3"/>
  <c r="D295" i="3"/>
  <c r="E277" i="3"/>
  <c r="F277" i="3"/>
  <c r="G277" i="3"/>
  <c r="J234" i="3"/>
  <c r="J231" i="3"/>
  <c r="D234" i="3"/>
  <c r="E234" i="3"/>
  <c r="E230" i="3"/>
  <c r="J252" i="3"/>
  <c r="K252" i="3"/>
  <c r="L252" i="3"/>
  <c r="M252" i="3"/>
  <c r="N252" i="3"/>
  <c r="R252" i="3"/>
  <c r="M259" i="3"/>
  <c r="M279" i="3"/>
  <c r="M266" i="3"/>
  <c r="M258" i="3"/>
  <c r="M268" i="3"/>
  <c r="M350" i="3"/>
  <c r="M253" i="3"/>
  <c r="D330" i="3"/>
  <c r="D275" i="3"/>
  <c r="M255" i="3"/>
  <c r="I330" i="3"/>
  <c r="M250" i="3"/>
  <c r="M265" i="3"/>
  <c r="N330" i="3"/>
  <c r="M281" i="3"/>
  <c r="P219" i="3"/>
  <c r="T63" i="3"/>
  <c r="AO284" i="3"/>
  <c r="AN286" i="3"/>
  <c r="S71" i="3"/>
  <c r="AE298" i="3"/>
  <c r="AE299" i="3"/>
  <c r="Z299" i="3"/>
  <c r="V147" i="3"/>
  <c r="AK71" i="3"/>
  <c r="AP71" i="3"/>
  <c r="V164" i="3"/>
  <c r="O299" i="3"/>
  <c r="Y298" i="3"/>
  <c r="T53" i="3"/>
  <c r="N299" i="3"/>
  <c r="X298" i="3"/>
  <c r="S66" i="3"/>
  <c r="AA295" i="3"/>
  <c r="AF294" i="3"/>
  <c r="U98" i="3"/>
  <c r="Y356" i="3"/>
  <c r="Q182" i="3"/>
  <c r="Q301" i="3"/>
  <c r="V301" i="3"/>
  <c r="AA301" i="3"/>
  <c r="AF301" i="3"/>
  <c r="AK301" i="3"/>
  <c r="AP301" i="3"/>
  <c r="Q300" i="3"/>
  <c r="V300" i="3"/>
  <c r="AA300" i="3"/>
  <c r="AF300" i="3"/>
  <c r="AK300" i="3"/>
  <c r="AP300" i="3"/>
  <c r="Q295" i="3"/>
  <c r="Q357" i="3"/>
  <c r="Q359" i="3"/>
  <c r="M257" i="3"/>
  <c r="N302" i="3"/>
  <c r="M228" i="3"/>
  <c r="F230" i="3"/>
  <c r="G234" i="3"/>
  <c r="G232" i="3"/>
  <c r="D231" i="3"/>
  <c r="D230" i="3"/>
  <c r="V80" i="3"/>
  <c r="M288" i="3"/>
  <c r="Q169" i="3"/>
  <c r="V145" i="3"/>
  <c r="V135" i="3"/>
  <c r="U86" i="3"/>
  <c r="U104" i="3"/>
  <c r="U122" i="3"/>
  <c r="U128" i="3"/>
  <c r="X114" i="3"/>
  <c r="R271" i="3"/>
  <c r="R266" i="3"/>
  <c r="Q225" i="3"/>
  <c r="Z174" i="3"/>
  <c r="Z175" i="3"/>
  <c r="Y172" i="3"/>
  <c r="X171" i="3"/>
  <c r="Q72" i="3"/>
  <c r="R72" i="3"/>
  <c r="T166" i="3"/>
  <c r="X157" i="3"/>
  <c r="Z159" i="3"/>
  <c r="X155" i="3"/>
  <c r="X162" i="3"/>
  <c r="H277" i="3"/>
  <c r="I277" i="3"/>
  <c r="J277" i="3"/>
  <c r="K277" i="3"/>
  <c r="L277" i="3"/>
  <c r="M277" i="3"/>
  <c r="N277" i="3"/>
  <c r="O277" i="3"/>
  <c r="P277" i="3"/>
  <c r="Q277" i="3"/>
  <c r="R259" i="3"/>
  <c r="R253" i="3"/>
  <c r="E332" i="3"/>
  <c r="U52" i="3"/>
  <c r="O275" i="3"/>
  <c r="O289" i="3"/>
  <c r="T54" i="3"/>
  <c r="V94" i="3"/>
  <c r="X130" i="3"/>
  <c r="X106" i="3"/>
  <c r="V120" i="3"/>
  <c r="O357" i="3"/>
  <c r="V102" i="3"/>
  <c r="V118" i="3"/>
  <c r="T57" i="3"/>
  <c r="V108" i="3"/>
  <c r="V110" i="3"/>
  <c r="X78" i="3"/>
  <c r="V82" i="3"/>
  <c r="V88" i="3"/>
  <c r="V92" i="3"/>
  <c r="X76" i="3"/>
  <c r="X90" i="3"/>
  <c r="V84" i="3"/>
  <c r="X140" i="3"/>
  <c r="V112" i="3"/>
  <c r="V116" i="3"/>
  <c r="V100" i="3"/>
  <c r="X132" i="3"/>
  <c r="U55" i="3"/>
  <c r="U56" i="3"/>
  <c r="V126" i="3"/>
  <c r="V96" i="3"/>
  <c r="X138" i="3"/>
  <c r="V124" i="3"/>
  <c r="AE59" i="3"/>
  <c r="AD58" i="3"/>
  <c r="N275" i="3"/>
  <c r="N289" i="3"/>
  <c r="L289" i="3"/>
  <c r="J275" i="3"/>
  <c r="J289" i="3"/>
  <c r="R328" i="3"/>
  <c r="G275" i="3"/>
  <c r="G289" i="3"/>
  <c r="J330" i="3"/>
  <c r="F231" i="3"/>
  <c r="F275" i="3"/>
  <c r="F289" i="3"/>
  <c r="K275" i="3"/>
  <c r="K289" i="3"/>
  <c r="E330" i="3"/>
  <c r="R329" i="3"/>
  <c r="I231" i="3"/>
  <c r="H13" i="3"/>
  <c r="H359" i="3"/>
  <c r="E25" i="3"/>
  <c r="E220" i="3"/>
  <c r="O330" i="3"/>
  <c r="I275" i="3"/>
  <c r="I289" i="3"/>
  <c r="L43" i="3"/>
  <c r="D289" i="3"/>
  <c r="E231" i="3"/>
  <c r="T274" i="3"/>
  <c r="N36" i="3"/>
  <c r="L357" i="3"/>
  <c r="L295" i="3"/>
  <c r="J357" i="3"/>
  <c r="J230" i="3"/>
  <c r="O36" i="3"/>
  <c r="K231" i="3"/>
  <c r="K230" i="3"/>
  <c r="L299" i="3"/>
  <c r="N231" i="3"/>
  <c r="P231" i="3"/>
  <c r="P230" i="3"/>
  <c r="E295" i="3"/>
  <c r="E357" i="3"/>
  <c r="J219" i="3"/>
  <c r="T60" i="3"/>
  <c r="T64" i="3"/>
  <c r="X71" i="3"/>
  <c r="AC71" i="3"/>
  <c r="AH71" i="3"/>
  <c r="AM71" i="3"/>
  <c r="U63" i="3"/>
  <c r="AP284" i="3"/>
  <c r="AO286" i="3"/>
  <c r="AJ298" i="3"/>
  <c r="AJ299" i="3"/>
  <c r="X164" i="3"/>
  <c r="X147" i="3"/>
  <c r="Y299" i="3"/>
  <c r="AD298" i="3"/>
  <c r="AF295" i="3"/>
  <c r="AK294" i="3"/>
  <c r="U274" i="3"/>
  <c r="T66" i="3"/>
  <c r="U53" i="3"/>
  <c r="X299" i="3"/>
  <c r="AC298" i="3"/>
  <c r="T357" i="3"/>
  <c r="U357" i="3"/>
  <c r="V357" i="3"/>
  <c r="X357" i="3"/>
  <c r="Y357" i="3"/>
  <c r="Z357" i="3"/>
  <c r="AA357" i="3"/>
  <c r="AC357" i="3"/>
  <c r="AD357" i="3"/>
  <c r="AE357" i="3"/>
  <c r="AF357" i="3"/>
  <c r="AH357" i="3"/>
  <c r="AI357" i="3"/>
  <c r="AJ357" i="3"/>
  <c r="AK357" i="3"/>
  <c r="AM357" i="3"/>
  <c r="AN357" i="3"/>
  <c r="AO357" i="3"/>
  <c r="AP357" i="3"/>
  <c r="W259" i="3"/>
  <c r="Z356" i="3"/>
  <c r="S182" i="3"/>
  <c r="E186" i="3"/>
  <c r="E27" i="3"/>
  <c r="G231" i="3"/>
  <c r="G230" i="3"/>
  <c r="V122" i="3"/>
  <c r="V128" i="3"/>
  <c r="V104" i="3"/>
  <c r="V98" i="3"/>
  <c r="V86" i="3"/>
  <c r="X145" i="3"/>
  <c r="X80" i="3"/>
  <c r="X135" i="3"/>
  <c r="Y114" i="3"/>
  <c r="T13" i="3"/>
  <c r="S225" i="3"/>
  <c r="H25" i="3"/>
  <c r="H220" i="3"/>
  <c r="H219" i="3"/>
  <c r="H223" i="3"/>
  <c r="H225" i="3"/>
  <c r="H224" i="3"/>
  <c r="AA174" i="3"/>
  <c r="AA175" i="3"/>
  <c r="Q73" i="3"/>
  <c r="Z172" i="3"/>
  <c r="Y171" i="3"/>
  <c r="E35" i="3"/>
  <c r="Y157" i="3"/>
  <c r="U166" i="3"/>
  <c r="T70" i="3"/>
  <c r="AA159" i="3"/>
  <c r="AC160" i="3"/>
  <c r="Y155" i="3"/>
  <c r="Y162" i="3"/>
  <c r="R277" i="3"/>
  <c r="S277" i="3"/>
  <c r="T277" i="3"/>
  <c r="U277" i="3"/>
  <c r="V277" i="3"/>
  <c r="W277" i="3"/>
  <c r="X277" i="3"/>
  <c r="Y277" i="3"/>
  <c r="Z277" i="3"/>
  <c r="AA277" i="3"/>
  <c r="AB277" i="3"/>
  <c r="AC277" i="3"/>
  <c r="AD277" i="3"/>
  <c r="AE277" i="3"/>
  <c r="AF277" i="3"/>
  <c r="AG277" i="3"/>
  <c r="AH277" i="3"/>
  <c r="AI277" i="3"/>
  <c r="AJ277" i="3"/>
  <c r="AK277" i="3"/>
  <c r="AL277" i="3"/>
  <c r="AM277" i="3"/>
  <c r="AN277" i="3"/>
  <c r="AO277" i="3"/>
  <c r="AP277" i="3"/>
  <c r="AQ277" i="3"/>
  <c r="M267" i="3"/>
  <c r="M275" i="3"/>
  <c r="M289" i="3"/>
  <c r="F332" i="3"/>
  <c r="E340" i="3"/>
  <c r="U54" i="3"/>
  <c r="Y90" i="3"/>
  <c r="Y78" i="3"/>
  <c r="Y138" i="3"/>
  <c r="X126" i="3"/>
  <c r="V55" i="3"/>
  <c r="V56" i="3"/>
  <c r="Y76" i="3"/>
  <c r="X88" i="3"/>
  <c r="X92" i="3"/>
  <c r="X118" i="3"/>
  <c r="V52" i="3"/>
  <c r="V63" i="3"/>
  <c r="X102" i="3"/>
  <c r="X120" i="3"/>
  <c r="Y130" i="3"/>
  <c r="X100" i="3"/>
  <c r="X124" i="3"/>
  <c r="Y132" i="3"/>
  <c r="X112" i="3"/>
  <c r="X116" i="3"/>
  <c r="X84" i="3"/>
  <c r="X108" i="3"/>
  <c r="X110" i="3"/>
  <c r="U57" i="3"/>
  <c r="Y140" i="3"/>
  <c r="X96" i="3"/>
  <c r="X82" i="3"/>
  <c r="Y106" i="3"/>
  <c r="X94" i="3"/>
  <c r="AF59" i="3"/>
  <c r="AE58" i="3"/>
  <c r="L44" i="3"/>
  <c r="L311" i="3"/>
  <c r="L325" i="3"/>
  <c r="P36" i="3"/>
  <c r="D36" i="3"/>
  <c r="F330" i="3"/>
  <c r="I36" i="3"/>
  <c r="G330" i="3"/>
  <c r="J36" i="3"/>
  <c r="K357" i="3"/>
  <c r="F44" i="3"/>
  <c r="F311" i="3"/>
  <c r="F43" i="3"/>
  <c r="P330" i="3"/>
  <c r="K36" i="3"/>
  <c r="L330" i="3"/>
  <c r="K330" i="3"/>
  <c r="F357" i="3"/>
  <c r="L36" i="3"/>
  <c r="F36" i="3"/>
  <c r="O44" i="3"/>
  <c r="O311" i="3"/>
  <c r="O325" i="3"/>
  <c r="O342" i="3"/>
  <c r="O43" i="3"/>
  <c r="N311" i="3"/>
  <c r="N325" i="3"/>
  <c r="N342" i="3"/>
  <c r="N44" i="3"/>
  <c r="N43" i="3"/>
  <c r="M219" i="3"/>
  <c r="T329" i="3"/>
  <c r="F8" i="31"/>
  <c r="E21" i="31"/>
  <c r="E8" i="31"/>
  <c r="AO298" i="3"/>
  <c r="AO299" i="3"/>
  <c r="U60" i="3"/>
  <c r="U64" i="3"/>
  <c r="AQ284" i="3"/>
  <c r="AQ286" i="3"/>
  <c r="AP286" i="3"/>
  <c r="E40" i="3"/>
  <c r="E45" i="3"/>
  <c r="E221" i="3"/>
  <c r="T271" i="3"/>
  <c r="T266" i="3"/>
  <c r="Y147" i="3"/>
  <c r="Y164" i="3"/>
  <c r="AH298" i="3"/>
  <c r="AC299" i="3"/>
  <c r="U66" i="3"/>
  <c r="AK295" i="3"/>
  <c r="AP294" i="3"/>
  <c r="AP295" i="3"/>
  <c r="V274" i="3"/>
  <c r="V53" i="3"/>
  <c r="AD299" i="3"/>
  <c r="AI298" i="3"/>
  <c r="AA356" i="3"/>
  <c r="T314" i="3"/>
  <c r="AB259" i="3"/>
  <c r="T182" i="3"/>
  <c r="N306" i="3"/>
  <c r="H35" i="3"/>
  <c r="H226" i="3"/>
  <c r="H27" i="3"/>
  <c r="X86" i="3"/>
  <c r="P306" i="3"/>
  <c r="O306" i="3"/>
  <c r="Y80" i="3"/>
  <c r="X128" i="3"/>
  <c r="X98" i="3"/>
  <c r="Y135" i="3"/>
  <c r="X122" i="3"/>
  <c r="X104" i="3"/>
  <c r="Y145" i="3"/>
  <c r="Z114" i="3"/>
  <c r="U13" i="3"/>
  <c r="T295" i="3"/>
  <c r="T327" i="3"/>
  <c r="E38" i="3"/>
  <c r="E226" i="3"/>
  <c r="AC174" i="3"/>
  <c r="AC175" i="3"/>
  <c r="AA172" i="3"/>
  <c r="Z171" i="3"/>
  <c r="U70" i="3"/>
  <c r="Z157" i="3"/>
  <c r="V166" i="3"/>
  <c r="AD160" i="3"/>
  <c r="AC159" i="3"/>
  <c r="Z155" i="3"/>
  <c r="Z162" i="3"/>
  <c r="G332" i="3"/>
  <c r="G340" i="3"/>
  <c r="F340" i="3"/>
  <c r="H320" i="3"/>
  <c r="L342" i="3"/>
  <c r="X52" i="3"/>
  <c r="V57" i="3"/>
  <c r="V54" i="3"/>
  <c r="Y124" i="3"/>
  <c r="Y120" i="3"/>
  <c r="Y82" i="3"/>
  <c r="Y102" i="3"/>
  <c r="Z78" i="3"/>
  <c r="Y112" i="3"/>
  <c r="Y116" i="3"/>
  <c r="Y118" i="3"/>
  <c r="Y126" i="3"/>
  <c r="Z106" i="3"/>
  <c r="Y96" i="3"/>
  <c r="Z140" i="3"/>
  <c r="Y84" i="3"/>
  <c r="Z132" i="3"/>
  <c r="Y100" i="3"/>
  <c r="Z130" i="3"/>
  <c r="Z76" i="3"/>
  <c r="Z138" i="3"/>
  <c r="Y94" i="3"/>
  <c r="Y108" i="3"/>
  <c r="Y110" i="3"/>
  <c r="X55" i="3"/>
  <c r="X56" i="3"/>
  <c r="Y88" i="3"/>
  <c r="Y92" i="3"/>
  <c r="Z90" i="3"/>
  <c r="AF58" i="3"/>
  <c r="AH59" i="3"/>
  <c r="H330" i="3"/>
  <c r="D44" i="3"/>
  <c r="D311" i="3"/>
  <c r="D325" i="3"/>
  <c r="D43" i="3"/>
  <c r="Q330" i="3"/>
  <c r="F325" i="3"/>
  <c r="M330" i="3"/>
  <c r="G311" i="3"/>
  <c r="G325" i="3"/>
  <c r="G43" i="3"/>
  <c r="G44" i="3"/>
  <c r="G36" i="3"/>
  <c r="M36" i="3"/>
  <c r="G357" i="3"/>
  <c r="R327" i="3"/>
  <c r="E36" i="3"/>
  <c r="U329" i="3"/>
  <c r="P43" i="3"/>
  <c r="P44" i="3"/>
  <c r="P311" i="3"/>
  <c r="E34" i="31"/>
  <c r="F16" i="31"/>
  <c r="E29" i="31"/>
  <c r="E16" i="31"/>
  <c r="J21" i="31"/>
  <c r="J8" i="31"/>
  <c r="D34" i="31"/>
  <c r="G8" i="31"/>
  <c r="V60" i="3"/>
  <c r="V64" i="3"/>
  <c r="H40" i="3"/>
  <c r="H45" i="3"/>
  <c r="M222" i="3"/>
  <c r="H221" i="3"/>
  <c r="X63" i="3"/>
  <c r="U271" i="3"/>
  <c r="Z147" i="3"/>
  <c r="U266" i="3"/>
  <c r="Z164" i="3"/>
  <c r="Z145" i="3"/>
  <c r="AH299" i="3"/>
  <c r="AM298" i="3"/>
  <c r="AM299" i="3"/>
  <c r="AI299" i="3"/>
  <c r="AN298" i="3"/>
  <c r="AN299" i="3"/>
  <c r="X53" i="3"/>
  <c r="W274" i="3"/>
  <c r="X274" i="3"/>
  <c r="Y274" i="3"/>
  <c r="Z274" i="3"/>
  <c r="AA274" i="3"/>
  <c r="R330" i="3"/>
  <c r="V66" i="3"/>
  <c r="T255" i="3"/>
  <c r="T312" i="3"/>
  <c r="T18" i="3"/>
  <c r="Y104" i="3"/>
  <c r="Y98" i="3"/>
  <c r="Z135" i="3"/>
  <c r="T250" i="3"/>
  <c r="AG259" i="3"/>
  <c r="AC356" i="3"/>
  <c r="U182" i="3"/>
  <c r="H38" i="3"/>
  <c r="Y122" i="3"/>
  <c r="Y86" i="3"/>
  <c r="Y128" i="3"/>
  <c r="Z80" i="3"/>
  <c r="U295" i="3"/>
  <c r="AC115" i="3"/>
  <c r="AA114" i="3"/>
  <c r="V13" i="3"/>
  <c r="U327" i="3"/>
  <c r="AD174" i="3"/>
  <c r="AD175" i="3"/>
  <c r="AA171" i="3"/>
  <c r="AC172" i="3"/>
  <c r="X166" i="3"/>
  <c r="AC158" i="3"/>
  <c r="AA157" i="3"/>
  <c r="F342" i="3"/>
  <c r="AA155" i="3"/>
  <c r="AA162" i="3"/>
  <c r="AC156" i="3"/>
  <c r="AE160" i="3"/>
  <c r="AD159" i="3"/>
  <c r="V70" i="3"/>
  <c r="X54" i="3"/>
  <c r="H332" i="3"/>
  <c r="H340" i="3"/>
  <c r="G342" i="3"/>
  <c r="D342" i="3"/>
  <c r="X57" i="3"/>
  <c r="AA76" i="3"/>
  <c r="AC77" i="3"/>
  <c r="Y55" i="3"/>
  <c r="Y56" i="3"/>
  <c r="Z88" i="3"/>
  <c r="Z92" i="3"/>
  <c r="Z94" i="3"/>
  <c r="Z100" i="3"/>
  <c r="Z84" i="3"/>
  <c r="Z96" i="3"/>
  <c r="Z126" i="3"/>
  <c r="Z112" i="3"/>
  <c r="Z116" i="3"/>
  <c r="AA78" i="3"/>
  <c r="AC79" i="3"/>
  <c r="Y52" i="3"/>
  <c r="Z82" i="3"/>
  <c r="Z120" i="3"/>
  <c r="AA90" i="3"/>
  <c r="AC91" i="3"/>
  <c r="Z108" i="3"/>
  <c r="Z110" i="3"/>
  <c r="AC139" i="3"/>
  <c r="AA138" i="3"/>
  <c r="Z102" i="3"/>
  <c r="Z124" i="3"/>
  <c r="S330" i="3"/>
  <c r="AA130" i="3"/>
  <c r="AC131" i="3"/>
  <c r="AA132" i="3"/>
  <c r="AC133" i="3"/>
  <c r="AC141" i="3"/>
  <c r="AA140" i="3"/>
  <c r="AA106" i="3"/>
  <c r="AC107" i="3"/>
  <c r="Z118" i="3"/>
  <c r="AH58" i="3"/>
  <c r="AI59" i="3"/>
  <c r="T330" i="3"/>
  <c r="I311" i="3"/>
  <c r="I325" i="3"/>
  <c r="I43" i="3"/>
  <c r="I44" i="3"/>
  <c r="J44" i="3"/>
  <c r="J311" i="3"/>
  <c r="J325" i="3"/>
  <c r="J342" i="3"/>
  <c r="J43" i="3"/>
  <c r="L358" i="3"/>
  <c r="T299" i="3"/>
  <c r="K44" i="3"/>
  <c r="K43" i="3"/>
  <c r="K311" i="3"/>
  <c r="K325" i="3"/>
  <c r="K342" i="3"/>
  <c r="H36" i="3"/>
  <c r="V329" i="3"/>
  <c r="W329" i="3"/>
  <c r="P325" i="3"/>
  <c r="E42" i="31"/>
  <c r="J29" i="31"/>
  <c r="J16" i="31"/>
  <c r="M21" i="31"/>
  <c r="M8" i="31"/>
  <c r="D42" i="31"/>
  <c r="G16" i="31"/>
  <c r="J34" i="31"/>
  <c r="X60" i="3"/>
  <c r="X64" i="3"/>
  <c r="Y63" i="3"/>
  <c r="AA164" i="3"/>
  <c r="V271" i="3"/>
  <c r="V266" i="3"/>
  <c r="AA147" i="3"/>
  <c r="Y53" i="3"/>
  <c r="X66" i="3"/>
  <c r="AB274" i="3"/>
  <c r="AC274" i="3"/>
  <c r="AD274" i="3"/>
  <c r="AE274" i="3"/>
  <c r="AF274" i="3"/>
  <c r="AD356" i="3"/>
  <c r="AE356" i="3"/>
  <c r="X13" i="3"/>
  <c r="AL259" i="3"/>
  <c r="AQ259" i="3"/>
  <c r="I342" i="3"/>
  <c r="I358" i="3"/>
  <c r="V182" i="3"/>
  <c r="U250" i="3"/>
  <c r="Z128" i="3"/>
  <c r="Z86" i="3"/>
  <c r="Z122" i="3"/>
  <c r="Z104" i="3"/>
  <c r="AA80" i="3"/>
  <c r="AA135" i="3"/>
  <c r="Z98" i="3"/>
  <c r="AA145" i="3"/>
  <c r="AD115" i="3"/>
  <c r="AC114" i="3"/>
  <c r="V327" i="3"/>
  <c r="AE174" i="3"/>
  <c r="AE175" i="3"/>
  <c r="AD172" i="3"/>
  <c r="AC171" i="3"/>
  <c r="AD158" i="3"/>
  <c r="AC157" i="3"/>
  <c r="Y166" i="3"/>
  <c r="X70" i="3"/>
  <c r="AF160" i="3"/>
  <c r="AH160" i="3"/>
  <c r="AI160" i="3"/>
  <c r="AJ160" i="3"/>
  <c r="AK160" i="3"/>
  <c r="AM160" i="3"/>
  <c r="AN160" i="3"/>
  <c r="AO160" i="3"/>
  <c r="AP160" i="3"/>
  <c r="AE159" i="3"/>
  <c r="AC155" i="3"/>
  <c r="AC162" i="3"/>
  <c r="AD156" i="3"/>
  <c r="Y54" i="3"/>
  <c r="AA88" i="3"/>
  <c r="AA92" i="3"/>
  <c r="AC89" i="3"/>
  <c r="AD131" i="3"/>
  <c r="AC130" i="3"/>
  <c r="AA102" i="3"/>
  <c r="AC103" i="3"/>
  <c r="AA108" i="3"/>
  <c r="AA110" i="3"/>
  <c r="AC109" i="3"/>
  <c r="AA120" i="3"/>
  <c r="AC121" i="3"/>
  <c r="AA112" i="3"/>
  <c r="AA116" i="3"/>
  <c r="AC113" i="3"/>
  <c r="AA96" i="3"/>
  <c r="AC97" i="3"/>
  <c r="AA100" i="3"/>
  <c r="AC101" i="3"/>
  <c r="AA94" i="3"/>
  <c r="AC95" i="3"/>
  <c r="Y57" i="3"/>
  <c r="Z55" i="3"/>
  <c r="Z56" i="3"/>
  <c r="AD77" i="3"/>
  <c r="AC76" i="3"/>
  <c r="AA118" i="3"/>
  <c r="AC119" i="3"/>
  <c r="AD141" i="3"/>
  <c r="AC140" i="3"/>
  <c r="AA124" i="3"/>
  <c r="AC125" i="3"/>
  <c r="AD91" i="3"/>
  <c r="AC90" i="3"/>
  <c r="AA82" i="3"/>
  <c r="AC83" i="3"/>
  <c r="AD79" i="3"/>
  <c r="AC78" i="3"/>
  <c r="AD107" i="3"/>
  <c r="AC106" i="3"/>
  <c r="AD133" i="3"/>
  <c r="AC132" i="3"/>
  <c r="Z52" i="3"/>
  <c r="AD139" i="3"/>
  <c r="AC138" i="3"/>
  <c r="AA126" i="3"/>
  <c r="AC127" i="3"/>
  <c r="AA84" i="3"/>
  <c r="AC85" i="3"/>
  <c r="AJ59" i="3"/>
  <c r="AI58" i="3"/>
  <c r="N358" i="3"/>
  <c r="O358" i="3"/>
  <c r="K358" i="3"/>
  <c r="U299" i="3"/>
  <c r="M311" i="3"/>
  <c r="M325" i="3"/>
  <c r="M345" i="3"/>
  <c r="M44" i="3"/>
  <c r="M43" i="3"/>
  <c r="P358" i="3"/>
  <c r="E43" i="3"/>
  <c r="E44" i="3"/>
  <c r="E311" i="3"/>
  <c r="E325" i="3"/>
  <c r="E342" i="3"/>
  <c r="J42" i="31"/>
  <c r="P8" i="31"/>
  <c r="P21" i="31"/>
  <c r="M34" i="31"/>
  <c r="M16" i="31"/>
  <c r="M29" i="31"/>
  <c r="Y60" i="3"/>
  <c r="Y64" i="3"/>
  <c r="Z63" i="3"/>
  <c r="AC147" i="3"/>
  <c r="AC164" i="3"/>
  <c r="X271" i="3"/>
  <c r="X266" i="3"/>
  <c r="Z53" i="3"/>
  <c r="Y66" i="3"/>
  <c r="AG274" i="3"/>
  <c r="AH274" i="3"/>
  <c r="AI274" i="3"/>
  <c r="AJ274" i="3"/>
  <c r="AK274" i="3"/>
  <c r="W327" i="3"/>
  <c r="W330" i="3"/>
  <c r="X327" i="3"/>
  <c r="AA98" i="3"/>
  <c r="X314" i="3"/>
  <c r="T148" i="3"/>
  <c r="S183" i="3"/>
  <c r="V295" i="3"/>
  <c r="Y13" i="3"/>
  <c r="AF356" i="3"/>
  <c r="T165" i="3"/>
  <c r="S168" i="3"/>
  <c r="S169" i="3"/>
  <c r="V250" i="3"/>
  <c r="X250" i="3"/>
  <c r="T69" i="3"/>
  <c r="T179" i="3"/>
  <c r="X182" i="3"/>
  <c r="W271" i="3"/>
  <c r="M342" i="3"/>
  <c r="AA122" i="3"/>
  <c r="AA104" i="3"/>
  <c r="AA86" i="3"/>
  <c r="AA128" i="3"/>
  <c r="AC80" i="3"/>
  <c r="AE115" i="3"/>
  <c r="AD114" i="3"/>
  <c r="AC145" i="3"/>
  <c r="AC135" i="3"/>
  <c r="R251" i="3"/>
  <c r="R256" i="3"/>
  <c r="AF174" i="3"/>
  <c r="AF175" i="3"/>
  <c r="AE172" i="3"/>
  <c r="AD171" i="3"/>
  <c r="AE158" i="3"/>
  <c r="AD157" i="3"/>
  <c r="Z166" i="3"/>
  <c r="Y70" i="3"/>
  <c r="AE156" i="3"/>
  <c r="AD155" i="3"/>
  <c r="AD162" i="3"/>
  <c r="AF159" i="3"/>
  <c r="R255" i="3"/>
  <c r="S302" i="3"/>
  <c r="Z57" i="3"/>
  <c r="Z54" i="3"/>
  <c r="AD127" i="3"/>
  <c r="AC126" i="3"/>
  <c r="AE141" i="3"/>
  <c r="AD140" i="3"/>
  <c r="AA55" i="3"/>
  <c r="AA56" i="3"/>
  <c r="AD89" i="3"/>
  <c r="AC88" i="3"/>
  <c r="AC92" i="3"/>
  <c r="AE79" i="3"/>
  <c r="AD78" i="3"/>
  <c r="AE91" i="3"/>
  <c r="AD90" i="3"/>
  <c r="AD119" i="3"/>
  <c r="AC118" i="3"/>
  <c r="AD95" i="3"/>
  <c r="AC94" i="3"/>
  <c r="AD97" i="3"/>
  <c r="AC96" i="3"/>
  <c r="AD109" i="3"/>
  <c r="AC108" i="3"/>
  <c r="AC110" i="3"/>
  <c r="AE77" i="3"/>
  <c r="AD76" i="3"/>
  <c r="AE131" i="3"/>
  <c r="AD130" i="3"/>
  <c r="AD85" i="3"/>
  <c r="AC84" i="3"/>
  <c r="AE133" i="3"/>
  <c r="AD132" i="3"/>
  <c r="AD83" i="3"/>
  <c r="AC82" i="3"/>
  <c r="AE107" i="3"/>
  <c r="AD106" i="3"/>
  <c r="AD125" i="3"/>
  <c r="AC124" i="3"/>
  <c r="AE139" i="3"/>
  <c r="AD138" i="3"/>
  <c r="AA52" i="3"/>
  <c r="AD101" i="3"/>
  <c r="AC100" i="3"/>
  <c r="AD113" i="3"/>
  <c r="AC112" i="3"/>
  <c r="AC116" i="3"/>
  <c r="AD121" i="3"/>
  <c r="AC120" i="3"/>
  <c r="AD103" i="3"/>
  <c r="AC102" i="3"/>
  <c r="AK59" i="3"/>
  <c r="AJ58" i="3"/>
  <c r="U330" i="3"/>
  <c r="V299" i="3"/>
  <c r="H311" i="3"/>
  <c r="H325" i="3"/>
  <c r="H345" i="3"/>
  <c r="H44" i="3"/>
  <c r="H43" i="3"/>
  <c r="J358" i="3"/>
  <c r="S8" i="31"/>
  <c r="S21" i="31"/>
  <c r="P29" i="31"/>
  <c r="P16" i="31"/>
  <c r="M42" i="31"/>
  <c r="P34" i="31"/>
  <c r="Z60" i="3"/>
  <c r="Z64" i="3"/>
  <c r="AA63" i="3"/>
  <c r="AD164" i="3"/>
  <c r="AD147" i="3"/>
  <c r="AC86" i="3"/>
  <c r="AD80" i="3"/>
  <c r="Y266" i="3"/>
  <c r="Y271" i="3"/>
  <c r="AA53" i="3"/>
  <c r="Z66" i="3"/>
  <c r="AL274" i="3"/>
  <c r="AM274" i="3"/>
  <c r="AN274" i="3"/>
  <c r="AO274" i="3"/>
  <c r="AP274" i="3"/>
  <c r="AQ274" i="3"/>
  <c r="X330" i="3"/>
  <c r="AH356" i="3"/>
  <c r="T168" i="3"/>
  <c r="T169" i="3"/>
  <c r="T183" i="3"/>
  <c r="Y327" i="3"/>
  <c r="Y314" i="3"/>
  <c r="Y250" i="3"/>
  <c r="Z13" i="3"/>
  <c r="Y182" i="3"/>
  <c r="U255" i="3"/>
  <c r="T256" i="3"/>
  <c r="H342" i="3"/>
  <c r="AC128" i="3"/>
  <c r="AC98" i="3"/>
  <c r="AD145" i="3"/>
  <c r="AD135" i="3"/>
  <c r="AF115" i="3"/>
  <c r="AH115" i="3"/>
  <c r="AI115" i="3"/>
  <c r="AJ115" i="3"/>
  <c r="AK115" i="3"/>
  <c r="AM115" i="3"/>
  <c r="AN115" i="3"/>
  <c r="AO115" i="3"/>
  <c r="AP115" i="3"/>
  <c r="AE114" i="3"/>
  <c r="AC104" i="3"/>
  <c r="AC122" i="3"/>
  <c r="Q257" i="3"/>
  <c r="R257" i="3"/>
  <c r="AH174" i="3"/>
  <c r="AH175" i="3"/>
  <c r="AF172" i="3"/>
  <c r="AH172" i="3"/>
  <c r="AI172" i="3"/>
  <c r="AJ172" i="3"/>
  <c r="AK172" i="3"/>
  <c r="AM172" i="3"/>
  <c r="AN172" i="3"/>
  <c r="AO172" i="3"/>
  <c r="AP172" i="3"/>
  <c r="AE171" i="3"/>
  <c r="AF158" i="3"/>
  <c r="AH158" i="3"/>
  <c r="AI158" i="3"/>
  <c r="AJ158" i="3"/>
  <c r="AK158" i="3"/>
  <c r="AM158" i="3"/>
  <c r="AN158" i="3"/>
  <c r="AO158" i="3"/>
  <c r="AP158" i="3"/>
  <c r="AE157" i="3"/>
  <c r="AA166" i="3"/>
  <c r="Z70" i="3"/>
  <c r="AH159" i="3"/>
  <c r="AF156" i="3"/>
  <c r="AH156" i="3"/>
  <c r="AI156" i="3"/>
  <c r="AJ156" i="3"/>
  <c r="AK156" i="3"/>
  <c r="AM156" i="3"/>
  <c r="AN156" i="3"/>
  <c r="AO156" i="3"/>
  <c r="AP156" i="3"/>
  <c r="AE155" i="3"/>
  <c r="AE162" i="3"/>
  <c r="AA54" i="3"/>
  <c r="AE121" i="3"/>
  <c r="AD120" i="3"/>
  <c r="AF77" i="3"/>
  <c r="AH77" i="3"/>
  <c r="AI77" i="3"/>
  <c r="AJ77" i="3"/>
  <c r="AK77" i="3"/>
  <c r="AM77" i="3"/>
  <c r="AN77" i="3"/>
  <c r="AO77" i="3"/>
  <c r="AP77" i="3"/>
  <c r="AE76" i="3"/>
  <c r="AC55" i="3"/>
  <c r="AC56" i="3"/>
  <c r="AE97" i="3"/>
  <c r="AD96" i="3"/>
  <c r="AE119" i="3"/>
  <c r="AD118" i="3"/>
  <c r="AE89" i="3"/>
  <c r="AD88" i="3"/>
  <c r="AD92" i="3"/>
  <c r="AF141" i="3"/>
  <c r="AH141" i="3"/>
  <c r="AI141" i="3"/>
  <c r="AJ141" i="3"/>
  <c r="AK141" i="3"/>
  <c r="AM141" i="3"/>
  <c r="AN141" i="3"/>
  <c r="AO141" i="3"/>
  <c r="AP141" i="3"/>
  <c r="AE140" i="3"/>
  <c r="AE125" i="3"/>
  <c r="AD124" i="3"/>
  <c r="AE85" i="3"/>
  <c r="AD84" i="3"/>
  <c r="AF91" i="3"/>
  <c r="AH91" i="3"/>
  <c r="AI91" i="3"/>
  <c r="AJ91" i="3"/>
  <c r="AK91" i="3"/>
  <c r="AM91" i="3"/>
  <c r="AN91" i="3"/>
  <c r="AO91" i="3"/>
  <c r="AP91" i="3"/>
  <c r="AE90" i="3"/>
  <c r="AE103" i="3"/>
  <c r="AD102" i="3"/>
  <c r="AE113" i="3"/>
  <c r="AD112" i="3"/>
  <c r="AD116" i="3"/>
  <c r="AF139" i="3"/>
  <c r="AH139" i="3"/>
  <c r="AI139" i="3"/>
  <c r="AJ139" i="3"/>
  <c r="AK139" i="3"/>
  <c r="AM139" i="3"/>
  <c r="AN139" i="3"/>
  <c r="AO139" i="3"/>
  <c r="AP139" i="3"/>
  <c r="AE138" i="3"/>
  <c r="AE145" i="3"/>
  <c r="AF107" i="3"/>
  <c r="AH107" i="3"/>
  <c r="AI107" i="3"/>
  <c r="AJ107" i="3"/>
  <c r="AK107" i="3"/>
  <c r="AM107" i="3"/>
  <c r="AN107" i="3"/>
  <c r="AO107" i="3"/>
  <c r="AP107" i="3"/>
  <c r="AE106" i="3"/>
  <c r="AE83" i="3"/>
  <c r="AD82" i="3"/>
  <c r="AF131" i="3"/>
  <c r="AH131" i="3"/>
  <c r="AI131" i="3"/>
  <c r="AJ131" i="3"/>
  <c r="AK131" i="3"/>
  <c r="AM131" i="3"/>
  <c r="AN131" i="3"/>
  <c r="AO131" i="3"/>
  <c r="AP131" i="3"/>
  <c r="AE130" i="3"/>
  <c r="AF79" i="3"/>
  <c r="AH79" i="3"/>
  <c r="AI79" i="3"/>
  <c r="AJ79" i="3"/>
  <c r="AK79" i="3"/>
  <c r="AM79" i="3"/>
  <c r="AN79" i="3"/>
  <c r="AO79" i="3"/>
  <c r="AP79" i="3"/>
  <c r="AE78" i="3"/>
  <c r="AE101" i="3"/>
  <c r="AD100" i="3"/>
  <c r="AF133" i="3"/>
  <c r="AH133" i="3"/>
  <c r="AI133" i="3"/>
  <c r="AJ133" i="3"/>
  <c r="AK133" i="3"/>
  <c r="AM133" i="3"/>
  <c r="AN133" i="3"/>
  <c r="AO133" i="3"/>
  <c r="AP133" i="3"/>
  <c r="AE132" i="3"/>
  <c r="AC52" i="3"/>
  <c r="AE109" i="3"/>
  <c r="AD108" i="3"/>
  <c r="AD110" i="3"/>
  <c r="AE95" i="3"/>
  <c r="AD94" i="3"/>
  <c r="AA57" i="3"/>
  <c r="AE127" i="3"/>
  <c r="AD126" i="3"/>
  <c r="AK58" i="3"/>
  <c r="AM59" i="3"/>
  <c r="M358" i="3"/>
  <c r="P42" i="31"/>
  <c r="S16" i="31"/>
  <c r="S29" i="31"/>
  <c r="S34" i="31"/>
  <c r="AA60" i="3"/>
  <c r="AA64" i="3"/>
  <c r="AC63" i="3"/>
  <c r="AD86" i="3"/>
  <c r="AE147" i="3"/>
  <c r="AE164" i="3"/>
  <c r="Z271" i="3"/>
  <c r="Z266" i="3"/>
  <c r="AC53" i="3"/>
  <c r="AA66" i="3"/>
  <c r="AI356" i="3"/>
  <c r="AJ356" i="3"/>
  <c r="AA13" i="3"/>
  <c r="Z327" i="3"/>
  <c r="Z330" i="3"/>
  <c r="Z314" i="3"/>
  <c r="Z250" i="3"/>
  <c r="Y330" i="3"/>
  <c r="V255" i="3"/>
  <c r="U312" i="3"/>
  <c r="AD98" i="3"/>
  <c r="AD122" i="3"/>
  <c r="AD104" i="3"/>
  <c r="AE135" i="3"/>
  <c r="AD128" i="3"/>
  <c r="Z182" i="3"/>
  <c r="AF114" i="3"/>
  <c r="AE80" i="3"/>
  <c r="S257" i="3"/>
  <c r="T257" i="3"/>
  <c r="T251" i="3"/>
  <c r="T321" i="3"/>
  <c r="AI174" i="3"/>
  <c r="AI175" i="3"/>
  <c r="AF171" i="3"/>
  <c r="AC166" i="3"/>
  <c r="AF157" i="3"/>
  <c r="D344" i="3"/>
  <c r="D249" i="3"/>
  <c r="D349" i="3"/>
  <c r="D351" i="3"/>
  <c r="AA70" i="3"/>
  <c r="AF155" i="3"/>
  <c r="AF162" i="3"/>
  <c r="AI159" i="3"/>
  <c r="AC54" i="3"/>
  <c r="AF109" i="3"/>
  <c r="AH109" i="3"/>
  <c r="AI109" i="3"/>
  <c r="AJ109" i="3"/>
  <c r="AK109" i="3"/>
  <c r="AM109" i="3"/>
  <c r="AN109" i="3"/>
  <c r="AO109" i="3"/>
  <c r="AP109" i="3"/>
  <c r="AE108" i="3"/>
  <c r="AE110" i="3"/>
  <c r="AF138" i="3"/>
  <c r="AD52" i="3"/>
  <c r="AF132" i="3"/>
  <c r="AD55" i="3"/>
  <c r="AD56" i="3"/>
  <c r="AF85" i="3"/>
  <c r="AH85" i="3"/>
  <c r="AI85" i="3"/>
  <c r="AJ85" i="3"/>
  <c r="AK85" i="3"/>
  <c r="AM85" i="3"/>
  <c r="AN85" i="3"/>
  <c r="AO85" i="3"/>
  <c r="AP85" i="3"/>
  <c r="AE84" i="3"/>
  <c r="AF97" i="3"/>
  <c r="AH97" i="3"/>
  <c r="AI97" i="3"/>
  <c r="AJ97" i="3"/>
  <c r="AK97" i="3"/>
  <c r="AM97" i="3"/>
  <c r="AN97" i="3"/>
  <c r="AO97" i="3"/>
  <c r="AP97" i="3"/>
  <c r="AE96" i="3"/>
  <c r="AF76" i="3"/>
  <c r="AF83" i="3"/>
  <c r="AH83" i="3"/>
  <c r="AI83" i="3"/>
  <c r="AJ83" i="3"/>
  <c r="AK83" i="3"/>
  <c r="AM83" i="3"/>
  <c r="AN83" i="3"/>
  <c r="AO83" i="3"/>
  <c r="AP83" i="3"/>
  <c r="AE82" i="3"/>
  <c r="AF103" i="3"/>
  <c r="AH103" i="3"/>
  <c r="AI103" i="3"/>
  <c r="AJ103" i="3"/>
  <c r="AK103" i="3"/>
  <c r="AM103" i="3"/>
  <c r="AN103" i="3"/>
  <c r="AO103" i="3"/>
  <c r="AP103" i="3"/>
  <c r="AE102" i="3"/>
  <c r="AF89" i="3"/>
  <c r="AH89" i="3"/>
  <c r="AI89" i="3"/>
  <c r="AJ89" i="3"/>
  <c r="AK89" i="3"/>
  <c r="AM89" i="3"/>
  <c r="AN89" i="3"/>
  <c r="AO89" i="3"/>
  <c r="AP89" i="3"/>
  <c r="AE88" i="3"/>
  <c r="AE92" i="3"/>
  <c r="AF127" i="3"/>
  <c r="AH127" i="3"/>
  <c r="AI127" i="3"/>
  <c r="AJ127" i="3"/>
  <c r="AK127" i="3"/>
  <c r="AM127" i="3"/>
  <c r="AN127" i="3"/>
  <c r="AO127" i="3"/>
  <c r="AP127" i="3"/>
  <c r="AE126" i="3"/>
  <c r="AF95" i="3"/>
  <c r="AH95" i="3"/>
  <c r="AI95" i="3"/>
  <c r="AJ95" i="3"/>
  <c r="AK95" i="3"/>
  <c r="AM95" i="3"/>
  <c r="AN95" i="3"/>
  <c r="AO95" i="3"/>
  <c r="AP95" i="3"/>
  <c r="AE94" i="3"/>
  <c r="AF78" i="3"/>
  <c r="AF130" i="3"/>
  <c r="AF106" i="3"/>
  <c r="AF113" i="3"/>
  <c r="AH113" i="3"/>
  <c r="AI113" i="3"/>
  <c r="AJ113" i="3"/>
  <c r="AK113" i="3"/>
  <c r="AM113" i="3"/>
  <c r="AN113" i="3"/>
  <c r="AO113" i="3"/>
  <c r="AP113" i="3"/>
  <c r="AE112" i="3"/>
  <c r="AE116" i="3"/>
  <c r="AF140" i="3"/>
  <c r="AC57" i="3"/>
  <c r="AC60" i="3"/>
  <c r="AC64" i="3"/>
  <c r="AF101" i="3"/>
  <c r="AH101" i="3"/>
  <c r="AI101" i="3"/>
  <c r="AJ101" i="3"/>
  <c r="AK101" i="3"/>
  <c r="AM101" i="3"/>
  <c r="AN101" i="3"/>
  <c r="AO101" i="3"/>
  <c r="AP101" i="3"/>
  <c r="AE100" i="3"/>
  <c r="AF90" i="3"/>
  <c r="AF125" i="3"/>
  <c r="AH125" i="3"/>
  <c r="AI125" i="3"/>
  <c r="AJ125" i="3"/>
  <c r="AK125" i="3"/>
  <c r="AM125" i="3"/>
  <c r="AN125" i="3"/>
  <c r="AO125" i="3"/>
  <c r="AP125" i="3"/>
  <c r="AE124" i="3"/>
  <c r="AF119" i="3"/>
  <c r="AH119" i="3"/>
  <c r="AI119" i="3"/>
  <c r="AJ119" i="3"/>
  <c r="AK119" i="3"/>
  <c r="AM119" i="3"/>
  <c r="AN119" i="3"/>
  <c r="AO119" i="3"/>
  <c r="AP119" i="3"/>
  <c r="AE118" i="3"/>
  <c r="AF121" i="3"/>
  <c r="AH121" i="3"/>
  <c r="AI121" i="3"/>
  <c r="AJ121" i="3"/>
  <c r="AK121" i="3"/>
  <c r="AM121" i="3"/>
  <c r="AN121" i="3"/>
  <c r="AO121" i="3"/>
  <c r="AP121" i="3"/>
  <c r="AE120" i="3"/>
  <c r="AM58" i="3"/>
  <c r="AN59" i="3"/>
  <c r="V330" i="3"/>
  <c r="S42" i="31"/>
  <c r="AD63" i="3"/>
  <c r="AF164" i="3"/>
  <c r="AF147" i="3"/>
  <c r="AA266" i="3"/>
  <c r="AA271" i="3"/>
  <c r="AA327" i="3"/>
  <c r="AA330" i="3"/>
  <c r="AC66" i="3"/>
  <c r="AD53" i="3"/>
  <c r="AE98" i="3"/>
  <c r="AB13" i="3"/>
  <c r="AA250" i="3"/>
  <c r="AB250" i="3"/>
  <c r="AA314" i="3"/>
  <c r="AB314" i="3"/>
  <c r="X255" i="3"/>
  <c r="X312" i="3"/>
  <c r="AK356" i="3"/>
  <c r="AC13" i="3"/>
  <c r="U256" i="3"/>
  <c r="U18" i="3"/>
  <c r="W255" i="3"/>
  <c r="V312" i="3"/>
  <c r="AA182" i="3"/>
  <c r="AE128" i="3"/>
  <c r="AE104" i="3"/>
  <c r="AF80" i="3"/>
  <c r="AE86" i="3"/>
  <c r="AF145" i="3"/>
  <c r="AE122" i="3"/>
  <c r="AF135" i="3"/>
  <c r="AH114" i="3"/>
  <c r="AJ174" i="3"/>
  <c r="AJ175" i="3"/>
  <c r="AH171" i="3"/>
  <c r="AH157" i="3"/>
  <c r="AD166" i="3"/>
  <c r="E343" i="3"/>
  <c r="E344" i="3"/>
  <c r="F343" i="3"/>
  <c r="F344" i="3"/>
  <c r="AC70" i="3"/>
  <c r="AJ159" i="3"/>
  <c r="AH155" i="3"/>
  <c r="AH162" i="3"/>
  <c r="D254" i="3"/>
  <c r="D260" i="3"/>
  <c r="D290" i="3"/>
  <c r="AD54" i="3"/>
  <c r="AF118" i="3"/>
  <c r="AH130" i="3"/>
  <c r="AF82" i="3"/>
  <c r="AH90" i="3"/>
  <c r="AF100" i="3"/>
  <c r="AF112" i="3"/>
  <c r="AF116" i="3"/>
  <c r="AF96" i="3"/>
  <c r="AD57" i="3"/>
  <c r="AH132" i="3"/>
  <c r="AH138" i="3"/>
  <c r="AE55" i="3"/>
  <c r="AE56" i="3"/>
  <c r="AF94" i="3"/>
  <c r="AF88" i="3"/>
  <c r="AF92" i="3"/>
  <c r="AF84" i="3"/>
  <c r="AF120" i="3"/>
  <c r="AH106" i="3"/>
  <c r="AH78" i="3"/>
  <c r="AF126" i="3"/>
  <c r="AF102" i="3"/>
  <c r="AH76" i="3"/>
  <c r="AF124" i="3"/>
  <c r="AH140" i="3"/>
  <c r="AE52" i="3"/>
  <c r="AF108" i="3"/>
  <c r="AF110" i="3"/>
  <c r="AO59" i="3"/>
  <c r="AN58" i="3"/>
  <c r="AD60" i="3"/>
  <c r="AD64" i="3"/>
  <c r="AB327" i="3"/>
  <c r="AB330" i="3"/>
  <c r="AE63" i="3"/>
  <c r="AH147" i="3"/>
  <c r="AH164" i="3"/>
  <c r="AC271" i="3"/>
  <c r="AC266" i="3"/>
  <c r="AE53" i="3"/>
  <c r="AD66" i="3"/>
  <c r="AB271" i="3"/>
  <c r="AF98" i="3"/>
  <c r="AD13" i="3"/>
  <c r="U179" i="3"/>
  <c r="U148" i="3"/>
  <c r="U69" i="3"/>
  <c r="U165" i="3"/>
  <c r="AM356" i="3"/>
  <c r="X18" i="3"/>
  <c r="V18" i="3"/>
  <c r="W18" i="3"/>
  <c r="AC327" i="3"/>
  <c r="AC314" i="3"/>
  <c r="AC250" i="3"/>
  <c r="Y255" i="3"/>
  <c r="X251" i="3"/>
  <c r="AC182" i="3"/>
  <c r="V256" i="3"/>
  <c r="W256" i="3"/>
  <c r="W257" i="3"/>
  <c r="AF104" i="3"/>
  <c r="AF122" i="3"/>
  <c r="AH80" i="3"/>
  <c r="AH135" i="3"/>
  <c r="AF86" i="3"/>
  <c r="AF128" i="3"/>
  <c r="AH145" i="3"/>
  <c r="AI114" i="3"/>
  <c r="U257" i="3"/>
  <c r="U251" i="3"/>
  <c r="U321" i="3"/>
  <c r="AK174" i="3"/>
  <c r="AK175" i="3"/>
  <c r="AI171" i="3"/>
  <c r="AE166" i="3"/>
  <c r="AI157" i="3"/>
  <c r="E249" i="3"/>
  <c r="E349" i="3"/>
  <c r="E351" i="3"/>
  <c r="AD70" i="3"/>
  <c r="AK159" i="3"/>
  <c r="AI155" i="3"/>
  <c r="AI162" i="3"/>
  <c r="G343" i="3"/>
  <c r="G344" i="3"/>
  <c r="H344" i="3"/>
  <c r="F249" i="3"/>
  <c r="F349" i="3"/>
  <c r="F351" i="3"/>
  <c r="AE57" i="3"/>
  <c r="AF52" i="3"/>
  <c r="AE54" i="3"/>
  <c r="AH124" i="3"/>
  <c r="AI106" i="3"/>
  <c r="AF55" i="3"/>
  <c r="AF56" i="3"/>
  <c r="AH102" i="3"/>
  <c r="AI78" i="3"/>
  <c r="AH120" i="3"/>
  <c r="AH84" i="3"/>
  <c r="AH94" i="3"/>
  <c r="AI132" i="3"/>
  <c r="AH100" i="3"/>
  <c r="AH108" i="3"/>
  <c r="AH110" i="3"/>
  <c r="AI76" i="3"/>
  <c r="AI90" i="3"/>
  <c r="AH118" i="3"/>
  <c r="AI140" i="3"/>
  <c r="AH126" i="3"/>
  <c r="AH88" i="3"/>
  <c r="AH92" i="3"/>
  <c r="AI138" i="3"/>
  <c r="AH96" i="3"/>
  <c r="AH112" i="3"/>
  <c r="AH116" i="3"/>
  <c r="AH82" i="3"/>
  <c r="AI130" i="3"/>
  <c r="AP59" i="3"/>
  <c r="AP58" i="3"/>
  <c r="AO58" i="3"/>
  <c r="AE60" i="3"/>
  <c r="AE64" i="3"/>
  <c r="AF63" i="3"/>
  <c r="AI164" i="3"/>
  <c r="AI147" i="3"/>
  <c r="AD266" i="3"/>
  <c r="AD271" i="3"/>
  <c r="AD327" i="3"/>
  <c r="AD330" i="3"/>
  <c r="AF53" i="3"/>
  <c r="AE66" i="3"/>
  <c r="AN356" i="3"/>
  <c r="AO356" i="3"/>
  <c r="AD314" i="3"/>
  <c r="AD250" i="3"/>
  <c r="X256" i="3"/>
  <c r="X257" i="3"/>
  <c r="V165" i="3"/>
  <c r="V168" i="3"/>
  <c r="V169" i="3"/>
  <c r="U168" i="3"/>
  <c r="U169" i="3"/>
  <c r="Z255" i="3"/>
  <c r="Y251" i="3"/>
  <c r="Y321" i="3"/>
  <c r="V179" i="3"/>
  <c r="V69" i="3"/>
  <c r="U183" i="3"/>
  <c r="AE13" i="3"/>
  <c r="Y312" i="3"/>
  <c r="AC330" i="3"/>
  <c r="V148" i="3"/>
  <c r="AD182" i="3"/>
  <c r="AH86" i="3"/>
  <c r="AI135" i="3"/>
  <c r="AH122" i="3"/>
  <c r="AH104" i="3"/>
  <c r="AH128" i="3"/>
  <c r="AJ114" i="3"/>
  <c r="AI145" i="3"/>
  <c r="AI80" i="3"/>
  <c r="AH98" i="3"/>
  <c r="AM174" i="3"/>
  <c r="AM175" i="3"/>
  <c r="AJ171" i="3"/>
  <c r="E254" i="3"/>
  <c r="E260" i="3"/>
  <c r="E290" i="3"/>
  <c r="AJ157" i="3"/>
  <c r="AF166" i="3"/>
  <c r="AE70" i="3"/>
  <c r="AM159" i="3"/>
  <c r="AJ155" i="3"/>
  <c r="AJ162" i="3"/>
  <c r="G249" i="3"/>
  <c r="G349" i="3"/>
  <c r="G351" i="3"/>
  <c r="F254" i="3"/>
  <c r="F260" i="3"/>
  <c r="F290" i="3"/>
  <c r="AF54" i="3"/>
  <c r="AI126" i="3"/>
  <c r="AJ76" i="3"/>
  <c r="AI94" i="3"/>
  <c r="AI102" i="3"/>
  <c r="AJ130" i="3"/>
  <c r="AH55" i="3"/>
  <c r="AH56" i="3"/>
  <c r="AI108" i="3"/>
  <c r="AI110" i="3"/>
  <c r="AJ106" i="3"/>
  <c r="AI82" i="3"/>
  <c r="AI112" i="3"/>
  <c r="AI116" i="3"/>
  <c r="AJ138" i="3"/>
  <c r="AH52" i="3"/>
  <c r="AI118" i="3"/>
  <c r="AJ132" i="3"/>
  <c r="AI84" i="3"/>
  <c r="AJ78" i="3"/>
  <c r="AJ140" i="3"/>
  <c r="AJ90" i="3"/>
  <c r="AI120" i="3"/>
  <c r="AI96" i="3"/>
  <c r="AI88" i="3"/>
  <c r="AI92" i="3"/>
  <c r="AI100" i="3"/>
  <c r="AF57" i="3"/>
  <c r="AI124" i="3"/>
  <c r="V251" i="3"/>
  <c r="X321" i="3"/>
  <c r="AH63" i="3"/>
  <c r="AF60" i="3"/>
  <c r="AF64" i="3"/>
  <c r="AJ147" i="3"/>
  <c r="AJ164" i="3"/>
  <c r="AE271" i="3"/>
  <c r="AE266" i="3"/>
  <c r="AH53" i="3"/>
  <c r="AF66" i="3"/>
  <c r="AF13" i="3"/>
  <c r="Y256" i="3"/>
  <c r="Y257" i="3"/>
  <c r="X69" i="3"/>
  <c r="X165" i="3"/>
  <c r="X168" i="3"/>
  <c r="X169" i="3"/>
  <c r="X148" i="3"/>
  <c r="X179" i="3"/>
  <c r="Z312" i="3"/>
  <c r="Z18" i="3"/>
  <c r="Z251" i="3"/>
  <c r="Z321" i="3"/>
  <c r="AA255" i="3"/>
  <c r="AE314" i="3"/>
  <c r="AE327" i="3"/>
  <c r="AE250" i="3"/>
  <c r="Y18" i="3"/>
  <c r="V183" i="3"/>
  <c r="AP356" i="3"/>
  <c r="W251" i="3"/>
  <c r="V321" i="3"/>
  <c r="W321" i="3"/>
  <c r="AI128" i="3"/>
  <c r="AJ80" i="3"/>
  <c r="AE182" i="3"/>
  <c r="AI104" i="3"/>
  <c r="AJ135" i="3"/>
  <c r="AI98" i="3"/>
  <c r="AI122" i="3"/>
  <c r="AJ145" i="3"/>
  <c r="AI86" i="3"/>
  <c r="AK114" i="3"/>
  <c r="AN174" i="3"/>
  <c r="AN175" i="3"/>
  <c r="AK171" i="3"/>
  <c r="AK157" i="3"/>
  <c r="AH166" i="3"/>
  <c r="AF70" i="3"/>
  <c r="AK155" i="3"/>
  <c r="AK162" i="3"/>
  <c r="AN159" i="3"/>
  <c r="AI52" i="3"/>
  <c r="V257" i="3"/>
  <c r="H249" i="3"/>
  <c r="H349" i="3"/>
  <c r="H351" i="3"/>
  <c r="G254" i="3"/>
  <c r="G260" i="3"/>
  <c r="G290" i="3"/>
  <c r="M343" i="3"/>
  <c r="M344" i="3"/>
  <c r="I343" i="3"/>
  <c r="I344" i="3"/>
  <c r="AH54" i="3"/>
  <c r="AH57" i="3"/>
  <c r="AK132" i="3"/>
  <c r="AJ112" i="3"/>
  <c r="AJ116" i="3"/>
  <c r="AK130" i="3"/>
  <c r="AJ124" i="3"/>
  <c r="AJ100" i="3"/>
  <c r="AJ96" i="3"/>
  <c r="AK90" i="3"/>
  <c r="AJ94" i="3"/>
  <c r="AJ126" i="3"/>
  <c r="AJ108" i="3"/>
  <c r="AJ110" i="3"/>
  <c r="AJ84" i="3"/>
  <c r="AK138" i="3"/>
  <c r="AJ82" i="3"/>
  <c r="AK78" i="3"/>
  <c r="AJ88" i="3"/>
  <c r="AJ92" i="3"/>
  <c r="AJ120" i="3"/>
  <c r="AK140" i="3"/>
  <c r="AJ118" i="3"/>
  <c r="AI55" i="3"/>
  <c r="AI56" i="3"/>
  <c r="AK106" i="3"/>
  <c r="AJ102" i="3"/>
  <c r="AK76" i="3"/>
  <c r="R13" i="3"/>
  <c r="R359" i="3"/>
  <c r="S219" i="3"/>
  <c r="Q219" i="3"/>
  <c r="R250" i="3"/>
  <c r="AH60" i="3"/>
  <c r="AH64" i="3"/>
  <c r="AI63" i="3"/>
  <c r="AK164" i="3"/>
  <c r="AK147" i="3"/>
  <c r="AF271" i="3"/>
  <c r="AG271" i="3"/>
  <c r="AF266" i="3"/>
  <c r="AF314" i="3"/>
  <c r="AG314" i="3"/>
  <c r="AI53" i="3"/>
  <c r="AK135" i="3"/>
  <c r="AJ86" i="3"/>
  <c r="AH66" i="3"/>
  <c r="AJ122" i="3"/>
  <c r="AG13" i="3"/>
  <c r="AF327" i="3"/>
  <c r="AF330" i="3"/>
  <c r="AJ98" i="3"/>
  <c r="X183" i="3"/>
  <c r="Y148" i="3"/>
  <c r="AF250" i="3"/>
  <c r="AH13" i="3"/>
  <c r="AE330" i="3"/>
  <c r="Y165" i="3"/>
  <c r="Y168" i="3"/>
  <c r="Y169" i="3"/>
  <c r="Y179" i="3"/>
  <c r="Y69" i="3"/>
  <c r="AB255" i="3"/>
  <c r="AC255" i="3"/>
  <c r="AC312" i="3"/>
  <c r="AA251" i="3"/>
  <c r="AA312" i="3"/>
  <c r="AA18" i="3"/>
  <c r="AB18" i="3"/>
  <c r="Z256" i="3"/>
  <c r="AF182" i="3"/>
  <c r="AK80" i="3"/>
  <c r="AJ104" i="3"/>
  <c r="AK145" i="3"/>
  <c r="AJ128" i="3"/>
  <c r="AM114" i="3"/>
  <c r="R225" i="3"/>
  <c r="AO174" i="3"/>
  <c r="AO175" i="3"/>
  <c r="AM171" i="3"/>
  <c r="AI166" i="3"/>
  <c r="AM157" i="3"/>
  <c r="AH70" i="3"/>
  <c r="AM155" i="3"/>
  <c r="AM162" i="3"/>
  <c r="AP159" i="3"/>
  <c r="AO159" i="3"/>
  <c r="I249" i="3"/>
  <c r="I349" i="3"/>
  <c r="I351" i="3"/>
  <c r="J343" i="3"/>
  <c r="J344" i="3"/>
  <c r="R343" i="3"/>
  <c r="N343" i="3"/>
  <c r="N344" i="3"/>
  <c r="H254" i="3"/>
  <c r="H260" i="3"/>
  <c r="H290" i="3"/>
  <c r="AI54" i="3"/>
  <c r="AK118" i="3"/>
  <c r="AM90" i="3"/>
  <c r="AK102" i="3"/>
  <c r="AI57" i="3"/>
  <c r="AM78" i="3"/>
  <c r="AJ52" i="3"/>
  <c r="AK100" i="3"/>
  <c r="AM130" i="3"/>
  <c r="AM132" i="3"/>
  <c r="AM140" i="3"/>
  <c r="AK82" i="3"/>
  <c r="AK126" i="3"/>
  <c r="AM76" i="3"/>
  <c r="AM106" i="3"/>
  <c r="AK120" i="3"/>
  <c r="AM138" i="3"/>
  <c r="AK84" i="3"/>
  <c r="AK108" i="3"/>
  <c r="AK110" i="3"/>
  <c r="AK94" i="3"/>
  <c r="AK88" i="3"/>
  <c r="AK92" i="3"/>
  <c r="AK112" i="3"/>
  <c r="AK116" i="3"/>
  <c r="AK96" i="3"/>
  <c r="AK124" i="3"/>
  <c r="AJ55" i="3"/>
  <c r="AJ56" i="3"/>
  <c r="W339" i="3"/>
  <c r="T280" i="3"/>
  <c r="T219" i="3"/>
  <c r="R219" i="3"/>
  <c r="AI60" i="3"/>
  <c r="AI64" i="3"/>
  <c r="AJ63" i="3"/>
  <c r="AM147" i="3"/>
  <c r="AM164" i="3"/>
  <c r="AH271" i="3"/>
  <c r="AH266" i="3"/>
  <c r="AM145" i="3"/>
  <c r="AJ53" i="3"/>
  <c r="AI66" i="3"/>
  <c r="AG327" i="3"/>
  <c r="AG330" i="3"/>
  <c r="Y183" i="3"/>
  <c r="Z179" i="3"/>
  <c r="Z148" i="3"/>
  <c r="Z165" i="3"/>
  <c r="Z168" i="3"/>
  <c r="Z169" i="3"/>
  <c r="AI13" i="3"/>
  <c r="Z69" i="3"/>
  <c r="AC18" i="3"/>
  <c r="T313" i="3"/>
  <c r="AH327" i="3"/>
  <c r="AH314" i="3"/>
  <c r="AH250" i="3"/>
  <c r="AB251" i="3"/>
  <c r="AA321" i="3"/>
  <c r="AB321" i="3"/>
  <c r="AC251" i="3"/>
  <c r="AC321" i="3"/>
  <c r="AD255" i="3"/>
  <c r="AB312" i="3"/>
  <c r="AG250" i="3"/>
  <c r="AA256" i="3"/>
  <c r="Z257" i="3"/>
  <c r="AH182" i="3"/>
  <c r="AK128" i="3"/>
  <c r="AM80" i="3"/>
  <c r="AK104" i="3"/>
  <c r="AM135" i="3"/>
  <c r="AK98" i="3"/>
  <c r="AK86" i="3"/>
  <c r="AK122" i="3"/>
  <c r="AN114" i="3"/>
  <c r="AP174" i="3"/>
  <c r="AP175" i="3"/>
  <c r="AN171" i="3"/>
  <c r="AN157" i="3"/>
  <c r="AJ166" i="3"/>
  <c r="AI70" i="3"/>
  <c r="AN155" i="3"/>
  <c r="AN162" i="3"/>
  <c r="K343" i="3"/>
  <c r="K344" i="3"/>
  <c r="J249" i="3"/>
  <c r="J349" i="3"/>
  <c r="J351" i="3"/>
  <c r="N249" i="3"/>
  <c r="N349" i="3"/>
  <c r="N351" i="3"/>
  <c r="O343" i="3"/>
  <c r="O344" i="3"/>
  <c r="AK52" i="3"/>
  <c r="I254" i="3"/>
  <c r="I260" i="3"/>
  <c r="I290" i="3"/>
  <c r="AJ54" i="3"/>
  <c r="AJ57" i="3"/>
  <c r="AM96" i="3"/>
  <c r="AM112" i="3"/>
  <c r="AM116" i="3"/>
  <c r="AN106" i="3"/>
  <c r="AN140" i="3"/>
  <c r="AN78" i="3"/>
  <c r="AN90" i="3"/>
  <c r="AM94" i="3"/>
  <c r="AN132" i="3"/>
  <c r="AM102" i="3"/>
  <c r="AK55" i="3"/>
  <c r="AK56" i="3"/>
  <c r="AM108" i="3"/>
  <c r="AM110" i="3"/>
  <c r="AM120" i="3"/>
  <c r="AN76" i="3"/>
  <c r="AM82" i="3"/>
  <c r="AN130" i="3"/>
  <c r="AM118" i="3"/>
  <c r="AM84" i="3"/>
  <c r="AM126" i="3"/>
  <c r="AM124" i="3"/>
  <c r="AM88" i="3"/>
  <c r="AM92" i="3"/>
  <c r="AN138" i="3"/>
  <c r="AM100" i="3"/>
  <c r="R279" i="3"/>
  <c r="U314" i="3"/>
  <c r="U280" i="3"/>
  <c r="U219" i="3"/>
  <c r="AJ60" i="3"/>
  <c r="AJ64" i="3"/>
  <c r="AK63" i="3"/>
  <c r="AN164" i="3"/>
  <c r="AN147" i="3"/>
  <c r="AI266" i="3"/>
  <c r="AI271" i="3"/>
  <c r="AK53" i="3"/>
  <c r="AI327" i="3"/>
  <c r="AI330" i="3"/>
  <c r="AJ66" i="3"/>
  <c r="AM122" i="3"/>
  <c r="AM98" i="3"/>
  <c r="Z183" i="3"/>
  <c r="AA179" i="3"/>
  <c r="AI250" i="3"/>
  <c r="AI314" i="3"/>
  <c r="AJ13" i="3"/>
  <c r="T320" i="3"/>
  <c r="U313" i="3"/>
  <c r="AD312" i="3"/>
  <c r="AE255" i="3"/>
  <c r="AD251" i="3"/>
  <c r="AD321" i="3"/>
  <c r="AH330" i="3"/>
  <c r="AC256" i="3"/>
  <c r="AB256" i="3"/>
  <c r="AB257" i="3"/>
  <c r="AA257" i="3"/>
  <c r="AA69" i="3"/>
  <c r="AA165" i="3"/>
  <c r="AA148" i="3"/>
  <c r="AI182" i="3"/>
  <c r="AM128" i="3"/>
  <c r="AN80" i="3"/>
  <c r="AM104" i="3"/>
  <c r="AM86" i="3"/>
  <c r="AN145" i="3"/>
  <c r="AN135" i="3"/>
  <c r="AP114" i="3"/>
  <c r="AO114" i="3"/>
  <c r="AP171" i="3"/>
  <c r="AO171" i="3"/>
  <c r="AP157" i="3"/>
  <c r="AO157" i="3"/>
  <c r="AK166" i="3"/>
  <c r="AJ70" i="3"/>
  <c r="AP155" i="3"/>
  <c r="AP162" i="3"/>
  <c r="AO155" i="3"/>
  <c r="AO162" i="3"/>
  <c r="N254" i="3"/>
  <c r="N260" i="3"/>
  <c r="N290" i="3"/>
  <c r="J254" i="3"/>
  <c r="J260" i="3"/>
  <c r="J290" i="3"/>
  <c r="O249" i="3"/>
  <c r="O349" i="3"/>
  <c r="O351" i="3"/>
  <c r="P343" i="3"/>
  <c r="L343" i="3"/>
  <c r="L344" i="3"/>
  <c r="L249" i="3"/>
  <c r="L349" i="3"/>
  <c r="L351" i="3"/>
  <c r="K249" i="3"/>
  <c r="K349" i="3"/>
  <c r="K351" i="3"/>
  <c r="AK54" i="3"/>
  <c r="AM52" i="3"/>
  <c r="AN88" i="3"/>
  <c r="AN92" i="3"/>
  <c r="AN120" i="3"/>
  <c r="AN94" i="3"/>
  <c r="AP106" i="3"/>
  <c r="AO106" i="3"/>
  <c r="AN84" i="3"/>
  <c r="AK57" i="3"/>
  <c r="AN96" i="3"/>
  <c r="AN126" i="3"/>
  <c r="AP78" i="3"/>
  <c r="AO78" i="3"/>
  <c r="AN100" i="3"/>
  <c r="AP138" i="3"/>
  <c r="AO138" i="3"/>
  <c r="AN124" i="3"/>
  <c r="AP130" i="3"/>
  <c r="AO130" i="3"/>
  <c r="AP76" i="3"/>
  <c r="AO76" i="3"/>
  <c r="AP132" i="3"/>
  <c r="AO132" i="3"/>
  <c r="AP90" i="3"/>
  <c r="AO90" i="3"/>
  <c r="AP140" i="3"/>
  <c r="AO140" i="3"/>
  <c r="AM55" i="3"/>
  <c r="AM56" i="3"/>
  <c r="AN118" i="3"/>
  <c r="AN102" i="3"/>
  <c r="AN82" i="3"/>
  <c r="AN108" i="3"/>
  <c r="AN110" i="3"/>
  <c r="AN112" i="3"/>
  <c r="AN116" i="3"/>
  <c r="AM63" i="3"/>
  <c r="AK60" i="3"/>
  <c r="AK64" i="3"/>
  <c r="AO147" i="3"/>
  <c r="AP147" i="3"/>
  <c r="AO164" i="3"/>
  <c r="AP164" i="3"/>
  <c r="AJ271" i="3"/>
  <c r="AJ266" i="3"/>
  <c r="AM53" i="3"/>
  <c r="AN122" i="3"/>
  <c r="AN128" i="3"/>
  <c r="AK66" i="3"/>
  <c r="AK13" i="3"/>
  <c r="AD18" i="3"/>
  <c r="AE312" i="3"/>
  <c r="AE18" i="3"/>
  <c r="AE251" i="3"/>
  <c r="AE321" i="3"/>
  <c r="AF255" i="3"/>
  <c r="U320" i="3"/>
  <c r="V313" i="3"/>
  <c r="AJ327" i="3"/>
  <c r="AJ314" i="3"/>
  <c r="AJ250" i="3"/>
  <c r="AC257" i="3"/>
  <c r="AC69" i="3"/>
  <c r="AC179" i="3"/>
  <c r="AC148" i="3"/>
  <c r="AA183" i="3"/>
  <c r="AC165" i="3"/>
  <c r="AA168" i="3"/>
  <c r="AA169" i="3"/>
  <c r="AJ182" i="3"/>
  <c r="AN86" i="3"/>
  <c r="AO80" i="3"/>
  <c r="AN104" i="3"/>
  <c r="AP145" i="3"/>
  <c r="AP80" i="3"/>
  <c r="AN98" i="3"/>
  <c r="AP135" i="3"/>
  <c r="AO135" i="3"/>
  <c r="AO145" i="3"/>
  <c r="AM166" i="3"/>
  <c r="AK70" i="3"/>
  <c r="AM54" i="3"/>
  <c r="O254" i="3"/>
  <c r="O260" i="3"/>
  <c r="O290" i="3"/>
  <c r="K254" i="3"/>
  <c r="K260" i="3"/>
  <c r="K290" i="3"/>
  <c r="L254" i="3"/>
  <c r="L260" i="3"/>
  <c r="L290" i="3"/>
  <c r="M249" i="3"/>
  <c r="M349" i="3"/>
  <c r="M351" i="3"/>
  <c r="AM57" i="3"/>
  <c r="AN52" i="3"/>
  <c r="AP82" i="3"/>
  <c r="AO82" i="3"/>
  <c r="AP118" i="3"/>
  <c r="AO118" i="3"/>
  <c r="AP96" i="3"/>
  <c r="AO96" i="3"/>
  <c r="AP120" i="3"/>
  <c r="AO120" i="3"/>
  <c r="AP84" i="3"/>
  <c r="AO84" i="3"/>
  <c r="AP112" i="3"/>
  <c r="AP116" i="3"/>
  <c r="AO112" i="3"/>
  <c r="AO116" i="3"/>
  <c r="AN55" i="3"/>
  <c r="AN56" i="3"/>
  <c r="AP108" i="3"/>
  <c r="AP110" i="3"/>
  <c r="AO108" i="3"/>
  <c r="AO110" i="3"/>
  <c r="AP102" i="3"/>
  <c r="AO102" i="3"/>
  <c r="AP124" i="3"/>
  <c r="AO124" i="3"/>
  <c r="AP100" i="3"/>
  <c r="AO100" i="3"/>
  <c r="AP126" i="3"/>
  <c r="AO126" i="3"/>
  <c r="AP94" i="3"/>
  <c r="AO94" i="3"/>
  <c r="AP88" i="3"/>
  <c r="AP92" i="3"/>
  <c r="AO88" i="3"/>
  <c r="AO92" i="3"/>
  <c r="W13" i="3"/>
  <c r="V314" i="3"/>
  <c r="V219" i="3"/>
  <c r="W250" i="3"/>
  <c r="X219" i="3"/>
  <c r="AM60" i="3"/>
  <c r="AM64" i="3"/>
  <c r="AN63" i="3"/>
  <c r="AK266" i="3"/>
  <c r="AK271" i="3"/>
  <c r="AL271" i="3"/>
  <c r="AN53" i="3"/>
  <c r="AL13" i="3"/>
  <c r="AM66" i="3"/>
  <c r="AO104" i="3"/>
  <c r="V320" i="3"/>
  <c r="W320" i="3"/>
  <c r="X313" i="3"/>
  <c r="Y313" i="3"/>
  <c r="Z313" i="3"/>
  <c r="AA313" i="3"/>
  <c r="W313" i="3"/>
  <c r="AF312" i="3"/>
  <c r="AF251" i="3"/>
  <c r="AG255" i="3"/>
  <c r="AH255" i="3"/>
  <c r="AH312" i="3"/>
  <c r="AM13" i="3"/>
  <c r="AK327" i="3"/>
  <c r="AK330" i="3"/>
  <c r="AK314" i="3"/>
  <c r="AL314" i="3"/>
  <c r="AK250" i="3"/>
  <c r="AJ330" i="3"/>
  <c r="AC168" i="3"/>
  <c r="AC169" i="3"/>
  <c r="AC183" i="3"/>
  <c r="W314" i="3"/>
  <c r="V280" i="3"/>
  <c r="AK182" i="3"/>
  <c r="M227" i="3"/>
  <c r="AP104" i="3"/>
  <c r="AP98" i="3"/>
  <c r="AP128" i="3"/>
  <c r="AO86" i="3"/>
  <c r="AO98" i="3"/>
  <c r="AP86" i="3"/>
  <c r="AO122" i="3"/>
  <c r="AO128" i="3"/>
  <c r="AP122" i="3"/>
  <c r="AD256" i="3"/>
  <c r="AN166" i="3"/>
  <c r="AM70" i="3"/>
  <c r="AN57" i="3"/>
  <c r="M254" i="3"/>
  <c r="M260" i="3"/>
  <c r="M290" i="3"/>
  <c r="AN54" i="3"/>
  <c r="AP52" i="3"/>
  <c r="AO55" i="3"/>
  <c r="AO56" i="3"/>
  <c r="AO52" i="3"/>
  <c r="AP55" i="3"/>
  <c r="AP56" i="3"/>
  <c r="W359" i="3"/>
  <c r="W219" i="3"/>
  <c r="Y219" i="3"/>
  <c r="AN60" i="3"/>
  <c r="AN64" i="3"/>
  <c r="AP63" i="3"/>
  <c r="AO63" i="3"/>
  <c r="AM271" i="3"/>
  <c r="AM266" i="3"/>
  <c r="AO53" i="3"/>
  <c r="AP53" i="3"/>
  <c r="AN66" i="3"/>
  <c r="AC313" i="3"/>
  <c r="AD313" i="3"/>
  <c r="AE313" i="3"/>
  <c r="AF313" i="3"/>
  <c r="AL327" i="3"/>
  <c r="AL330" i="3"/>
  <c r="AN13" i="3"/>
  <c r="X320" i="3"/>
  <c r="AF18" i="3"/>
  <c r="AG18" i="3"/>
  <c r="AG312" i="3"/>
  <c r="AH251" i="3"/>
  <c r="AH321" i="3"/>
  <c r="AI255" i="3"/>
  <c r="AH18" i="3"/>
  <c r="AM327" i="3"/>
  <c r="AM314" i="3"/>
  <c r="AM250" i="3"/>
  <c r="W280" i="3"/>
  <c r="X280" i="3"/>
  <c r="Y280" i="3"/>
  <c r="Z280" i="3"/>
  <c r="AA280" i="3"/>
  <c r="AL250" i="3"/>
  <c r="AG251" i="3"/>
  <c r="AF321" i="3"/>
  <c r="AG321" i="3"/>
  <c r="AE256" i="3"/>
  <c r="AD257" i="3"/>
  <c r="AM182" i="3"/>
  <c r="AP166" i="3"/>
  <c r="AO166" i="3"/>
  <c r="AN70" i="3"/>
  <c r="AO54" i="3"/>
  <c r="AP54" i="3"/>
  <c r="AP57" i="3"/>
  <c r="AO57" i="3"/>
  <c r="W279" i="3"/>
  <c r="Z219" i="3"/>
  <c r="P342" i="3"/>
  <c r="AO60" i="3"/>
  <c r="AO64" i="3"/>
  <c r="AP60" i="3"/>
  <c r="AP64" i="3"/>
  <c r="AN266" i="3"/>
  <c r="AN271" i="3"/>
  <c r="AN327" i="3"/>
  <c r="AN330" i="3"/>
  <c r="AP66" i="3"/>
  <c r="AO66" i="3"/>
  <c r="AN314" i="3"/>
  <c r="AH313" i="3"/>
  <c r="AI313" i="3"/>
  <c r="AJ313" i="3"/>
  <c r="AK313" i="3"/>
  <c r="AM313" i="3"/>
  <c r="AN313" i="3"/>
  <c r="Y320" i="3"/>
  <c r="AI312" i="3"/>
  <c r="AJ255" i="3"/>
  <c r="AI251" i="3"/>
  <c r="AI321" i="3"/>
  <c r="Z320" i="3"/>
  <c r="AM330" i="3"/>
  <c r="AB280" i="3"/>
  <c r="AC280" i="3"/>
  <c r="AD280" i="3"/>
  <c r="AE280" i="3"/>
  <c r="AF280" i="3"/>
  <c r="AP13" i="3"/>
  <c r="AO13" i="3"/>
  <c r="AN250" i="3"/>
  <c r="AF256" i="3"/>
  <c r="AH256" i="3"/>
  <c r="AH257" i="3"/>
  <c r="AE257" i="3"/>
  <c r="AD148" i="3"/>
  <c r="AD179" i="3"/>
  <c r="AD69" i="3"/>
  <c r="AD165" i="3"/>
  <c r="AN182" i="3"/>
  <c r="AP70" i="3"/>
  <c r="AO70" i="3"/>
  <c r="P344" i="3"/>
  <c r="AO271" i="3"/>
  <c r="AP271" i="3"/>
  <c r="AQ271" i="3"/>
  <c r="AO266" i="3"/>
  <c r="AP266" i="3"/>
  <c r="AO313" i="3"/>
  <c r="AP327" i="3"/>
  <c r="AP330" i="3"/>
  <c r="AP314" i="3"/>
  <c r="AA320" i="3"/>
  <c r="AB320" i="3"/>
  <c r="AB313" i="3"/>
  <c r="AG280" i="3"/>
  <c r="AH280" i="3"/>
  <c r="AI280" i="3"/>
  <c r="AJ280" i="3"/>
  <c r="AK280" i="3"/>
  <c r="AI18" i="3"/>
  <c r="AO314" i="3"/>
  <c r="AO327" i="3"/>
  <c r="AO250" i="3"/>
  <c r="AP250" i="3"/>
  <c r="AQ13" i="3"/>
  <c r="AJ312" i="3"/>
  <c r="AJ18" i="3"/>
  <c r="AK255" i="3"/>
  <c r="AJ251" i="3"/>
  <c r="AJ321" i="3"/>
  <c r="AE148" i="3"/>
  <c r="AG256" i="3"/>
  <c r="AG257" i="3"/>
  <c r="AF257" i="3"/>
  <c r="AE165" i="3"/>
  <c r="AD168" i="3"/>
  <c r="AD169" i="3"/>
  <c r="AE69" i="3"/>
  <c r="AD183" i="3"/>
  <c r="AE179" i="3"/>
  <c r="AP182" i="3"/>
  <c r="AO182" i="3"/>
  <c r="AC219" i="3"/>
  <c r="P249" i="3"/>
  <c r="P349" i="3"/>
  <c r="P351" i="3"/>
  <c r="Q343" i="3"/>
  <c r="AP313" i="3"/>
  <c r="AQ314" i="3"/>
  <c r="AC320" i="3"/>
  <c r="AQ250" i="3"/>
  <c r="AK312" i="3"/>
  <c r="AM255" i="3"/>
  <c r="AL255" i="3"/>
  <c r="AK251" i="3"/>
  <c r="AO330" i="3"/>
  <c r="AQ327" i="3"/>
  <c r="AL280" i="3"/>
  <c r="AM280" i="3"/>
  <c r="AN280" i="3"/>
  <c r="AO280" i="3"/>
  <c r="AP280" i="3"/>
  <c r="AQ280" i="3"/>
  <c r="AF69" i="3"/>
  <c r="AE183" i="3"/>
  <c r="AF179" i="3"/>
  <c r="AF165" i="3"/>
  <c r="AE168" i="3"/>
  <c r="AE169" i="3"/>
  <c r="AF148" i="3"/>
  <c r="AB359" i="3"/>
  <c r="AA219" i="3"/>
  <c r="AD219" i="3"/>
  <c r="P254" i="3"/>
  <c r="AQ330" i="3"/>
  <c r="AQ359" i="3"/>
  <c r="AM251" i="3"/>
  <c r="AM321" i="3"/>
  <c r="AN255" i="3"/>
  <c r="AN312" i="3"/>
  <c r="AN18" i="3"/>
  <c r="AK18" i="3"/>
  <c r="AL18" i="3"/>
  <c r="AL312" i="3"/>
  <c r="AL251" i="3"/>
  <c r="AK321" i="3"/>
  <c r="AL321" i="3"/>
  <c r="AD320" i="3"/>
  <c r="AM312" i="3"/>
  <c r="AH148" i="3"/>
  <c r="AH179" i="3"/>
  <c r="AH165" i="3"/>
  <c r="AF168" i="3"/>
  <c r="AF169" i="3"/>
  <c r="AH69" i="3"/>
  <c r="AF183" i="3"/>
  <c r="AI256" i="3"/>
  <c r="P260" i="3"/>
  <c r="AB219" i="3"/>
  <c r="AE219" i="3"/>
  <c r="AN251" i="3"/>
  <c r="AN321" i="3"/>
  <c r="AO255" i="3"/>
  <c r="AF320" i="3"/>
  <c r="AE320" i="3"/>
  <c r="AM18" i="3"/>
  <c r="AJ256" i="3"/>
  <c r="AI257" i="3"/>
  <c r="AH168" i="3"/>
  <c r="AH169" i="3"/>
  <c r="AH183" i="3"/>
  <c r="AI179" i="3"/>
  <c r="AG320" i="3"/>
  <c r="AO312" i="3"/>
  <c r="AP255" i="3"/>
  <c r="AO251" i="3"/>
  <c r="AO321" i="3"/>
  <c r="AG313" i="3"/>
  <c r="AK256" i="3"/>
  <c r="AM256" i="3"/>
  <c r="AM257" i="3"/>
  <c r="AJ257" i="3"/>
  <c r="AI165" i="3"/>
  <c r="AI168" i="3"/>
  <c r="AI169" i="3"/>
  <c r="AI69" i="3"/>
  <c r="AI148" i="3"/>
  <c r="AG359" i="3"/>
  <c r="AF219" i="3"/>
  <c r="AH219" i="3"/>
  <c r="AP312" i="3"/>
  <c r="AP18" i="3"/>
  <c r="AP251" i="3"/>
  <c r="AQ255" i="3"/>
  <c r="AH320" i="3"/>
  <c r="AO18" i="3"/>
  <c r="AI183" i="3"/>
  <c r="AL256" i="3"/>
  <c r="AL257" i="3"/>
  <c r="AK257" i="3"/>
  <c r="AJ148" i="3"/>
  <c r="AJ179" i="3"/>
  <c r="AJ69" i="3"/>
  <c r="AJ165" i="3"/>
  <c r="AG219" i="3"/>
  <c r="AI219" i="3"/>
  <c r="AQ312" i="3"/>
  <c r="AQ18" i="3"/>
  <c r="AQ251" i="3"/>
  <c r="AP321" i="3"/>
  <c r="AQ321" i="3"/>
  <c r="AI320" i="3"/>
  <c r="AK69" i="3"/>
  <c r="AJ183" i="3"/>
  <c r="AK179" i="3"/>
  <c r="AK165" i="3"/>
  <c r="AJ168" i="3"/>
  <c r="AJ169" i="3"/>
  <c r="AK148" i="3"/>
  <c r="AJ219" i="3"/>
  <c r="AJ320" i="3"/>
  <c r="AM179" i="3"/>
  <c r="AM148" i="3"/>
  <c r="AM165" i="3"/>
  <c r="AK168" i="3"/>
  <c r="AK169" i="3"/>
  <c r="AM69" i="3"/>
  <c r="AK183" i="3"/>
  <c r="AN256" i="3"/>
  <c r="AL313" i="3"/>
  <c r="AK320" i="3"/>
  <c r="AL320" i="3"/>
  <c r="AN257" i="3"/>
  <c r="AO256" i="3"/>
  <c r="AM168" i="3"/>
  <c r="AM169" i="3"/>
  <c r="AM183" i="3"/>
  <c r="AL359" i="3"/>
  <c r="AM219" i="3"/>
  <c r="AK219" i="3"/>
  <c r="AM320" i="3"/>
  <c r="AP256" i="3"/>
  <c r="AO257" i="3"/>
  <c r="AN69" i="3"/>
  <c r="AN179" i="3"/>
  <c r="AN148" i="3"/>
  <c r="AN165" i="3"/>
  <c r="AN219" i="3"/>
  <c r="AO219" i="3"/>
  <c r="AL219" i="3"/>
  <c r="AN320" i="3"/>
  <c r="AQ256" i="3"/>
  <c r="AQ257" i="3"/>
  <c r="AP257" i="3"/>
  <c r="AO179" i="3"/>
  <c r="AO69" i="3"/>
  <c r="AO165" i="3"/>
  <c r="AN168" i="3"/>
  <c r="AN169" i="3"/>
  <c r="AO148" i="3"/>
  <c r="AN183" i="3"/>
  <c r="AO320" i="3"/>
  <c r="AP148" i="3"/>
  <c r="AP165" i="3"/>
  <c r="AP168" i="3"/>
  <c r="AP169" i="3"/>
  <c r="AO168" i="3"/>
  <c r="AO169" i="3"/>
  <c r="AP179" i="3"/>
  <c r="AP69" i="3"/>
  <c r="AO183" i="3"/>
  <c r="AP320" i="3"/>
  <c r="AQ320" i="3"/>
  <c r="AQ313" i="3"/>
  <c r="AP183" i="3"/>
  <c r="AP219" i="3"/>
  <c r="AQ219" i="3"/>
  <c r="R46" i="3"/>
  <c r="R47" i="3"/>
  <c r="W46" i="3"/>
  <c r="W47" i="3"/>
  <c r="AB47" i="3"/>
  <c r="R18" i="3"/>
  <c r="P267" i="3"/>
  <c r="P275" i="3"/>
  <c r="P289" i="3"/>
  <c r="P290" i="3"/>
  <c r="R264" i="3"/>
  <c r="Q151" i="3"/>
  <c r="Q146" i="3"/>
  <c r="R17" i="3"/>
  <c r="Q224" i="3"/>
  <c r="R20" i="3"/>
  <c r="R21" i="3"/>
  <c r="Q150" i="3"/>
  <c r="R15" i="3"/>
  <c r="V150" i="3"/>
  <c r="T149" i="3"/>
  <c r="Q152" i="3"/>
  <c r="Q24" i="3"/>
  <c r="R16" i="3"/>
  <c r="R224" i="3"/>
  <c r="R223" i="3"/>
  <c r="Q223" i="3"/>
  <c r="R23" i="3"/>
  <c r="AA150" i="3"/>
  <c r="AF150" i="3"/>
  <c r="AK150" i="3"/>
  <c r="AP150" i="3"/>
  <c r="T151" i="3"/>
  <c r="T152" i="3"/>
  <c r="T17" i="3"/>
  <c r="T15" i="3"/>
  <c r="T264" i="3"/>
  <c r="T16" i="3"/>
  <c r="T224" i="3"/>
  <c r="T20" i="3"/>
  <c r="T23" i="3"/>
  <c r="R24" i="3"/>
  <c r="R25" i="3"/>
  <c r="R220" i="3"/>
  <c r="U149" i="3"/>
  <c r="S151" i="3"/>
  <c r="S152" i="3"/>
  <c r="Q25" i="3"/>
  <c r="Q220" i="3"/>
  <c r="Q180" i="3"/>
  <c r="Q185" i="3"/>
  <c r="R37" i="3"/>
  <c r="R265" i="3"/>
  <c r="S27" i="3"/>
  <c r="V149" i="3"/>
  <c r="U151" i="3"/>
  <c r="U152" i="3"/>
  <c r="U16" i="3"/>
  <c r="U224" i="3"/>
  <c r="U17" i="3"/>
  <c r="U23" i="3"/>
  <c r="U15" i="3"/>
  <c r="U264" i="3"/>
  <c r="U20" i="3"/>
  <c r="Q35" i="3"/>
  <c r="Q36" i="3"/>
  <c r="Q306" i="3"/>
  <c r="Q27" i="3"/>
  <c r="R35" i="3"/>
  <c r="R36" i="3"/>
  <c r="R306" i="3"/>
  <c r="R27" i="3"/>
  <c r="Q226" i="3"/>
  <c r="Q186" i="3"/>
  <c r="S223" i="3"/>
  <c r="S224" i="3"/>
  <c r="T223" i="3"/>
  <c r="T185" i="3"/>
  <c r="Q40" i="3"/>
  <c r="Q45" i="3"/>
  <c r="Q221" i="3"/>
  <c r="S221" i="3"/>
  <c r="R40" i="3"/>
  <c r="R45" i="3"/>
  <c r="R222" i="3"/>
  <c r="R221" i="3"/>
  <c r="S220" i="3"/>
  <c r="V151" i="3"/>
  <c r="V152" i="3"/>
  <c r="V23" i="3"/>
  <c r="W23" i="3"/>
  <c r="V17" i="3"/>
  <c r="W17" i="3"/>
  <c r="V15" i="3"/>
  <c r="V264" i="3"/>
  <c r="W264" i="3"/>
  <c r="V16" i="3"/>
  <c r="V20" i="3"/>
  <c r="W20" i="3"/>
  <c r="Q38" i="3"/>
  <c r="Q43" i="3"/>
  <c r="R226" i="3"/>
  <c r="R38" i="3"/>
  <c r="R44" i="3"/>
  <c r="X149" i="3"/>
  <c r="U223" i="3"/>
  <c r="U185" i="3"/>
  <c r="W21" i="3"/>
  <c r="T265" i="3"/>
  <c r="T323" i="3"/>
  <c r="Q311" i="3"/>
  <c r="Q325" i="3"/>
  <c r="Q358" i="3"/>
  <c r="R311" i="3"/>
  <c r="R325" i="3"/>
  <c r="R345" i="3"/>
  <c r="X17" i="3"/>
  <c r="X20" i="3"/>
  <c r="X16" i="3"/>
  <c r="X23" i="3"/>
  <c r="X15" i="3"/>
  <c r="X264" i="3"/>
  <c r="X151" i="3"/>
  <c r="X152" i="3"/>
  <c r="R43" i="3"/>
  <c r="Q44" i="3"/>
  <c r="W15" i="3"/>
  <c r="W223" i="3"/>
  <c r="V185" i="3"/>
  <c r="Y149" i="3"/>
  <c r="V224" i="3"/>
  <c r="W16" i="3"/>
  <c r="W224" i="3"/>
  <c r="V223" i="3"/>
  <c r="U265" i="3"/>
  <c r="U323" i="3"/>
  <c r="R358" i="3"/>
  <c r="Y16" i="3"/>
  <c r="Y224" i="3"/>
  <c r="Y23" i="3"/>
  <c r="Y15" i="3"/>
  <c r="Y264" i="3"/>
  <c r="Y20" i="3"/>
  <c r="Y17" i="3"/>
  <c r="Y151" i="3"/>
  <c r="Y152" i="3"/>
  <c r="Z149" i="3"/>
  <c r="V265" i="3"/>
  <c r="R281" i="3"/>
  <c r="R288" i="3"/>
  <c r="X185" i="3"/>
  <c r="X223" i="3"/>
  <c r="X224" i="3"/>
  <c r="Z17" i="3"/>
  <c r="Z23" i="3"/>
  <c r="Z20" i="3"/>
  <c r="Z16" i="3"/>
  <c r="Z224" i="3"/>
  <c r="Z15" i="3"/>
  <c r="Z264" i="3"/>
  <c r="W265" i="3"/>
  <c r="X265" i="3"/>
  <c r="Z151" i="3"/>
  <c r="Z152" i="3"/>
  <c r="AA149" i="3"/>
  <c r="V323" i="3"/>
  <c r="W323" i="3"/>
  <c r="Y223" i="3"/>
  <c r="Y185" i="3"/>
  <c r="AA15" i="3"/>
  <c r="AA264" i="3"/>
  <c r="AB264" i="3"/>
  <c r="AA20" i="3"/>
  <c r="AB20" i="3"/>
  <c r="AA23" i="3"/>
  <c r="AB23" i="3"/>
  <c r="AA17" i="3"/>
  <c r="AB17" i="3"/>
  <c r="AA16" i="3"/>
  <c r="AB16" i="3"/>
  <c r="Y265" i="3"/>
  <c r="X323" i="3"/>
  <c r="AA151" i="3"/>
  <c r="AA152" i="3"/>
  <c r="AC149" i="3"/>
  <c r="Z223" i="3"/>
  <c r="Z185" i="3"/>
  <c r="R268" i="3"/>
  <c r="Q267" i="3"/>
  <c r="Q275" i="3"/>
  <c r="R262" i="3"/>
  <c r="R263" i="3"/>
  <c r="R228" i="3"/>
  <c r="S228" i="3"/>
  <c r="C393" i="3"/>
  <c r="AA224" i="3"/>
  <c r="AB15" i="3"/>
  <c r="AC16" i="3"/>
  <c r="AC23" i="3"/>
  <c r="AC15" i="3"/>
  <c r="AC264" i="3"/>
  <c r="AC17" i="3"/>
  <c r="AC20" i="3"/>
  <c r="Z265" i="3"/>
  <c r="Y323" i="3"/>
  <c r="AC151" i="3"/>
  <c r="AC152" i="3"/>
  <c r="R350" i="3"/>
  <c r="AB224" i="3"/>
  <c r="AD149" i="3"/>
  <c r="R267" i="3"/>
  <c r="Q340" i="3"/>
  <c r="Q342" i="3"/>
  <c r="Q344" i="3"/>
  <c r="Q249" i="3"/>
  <c r="R340" i="3"/>
  <c r="R342" i="3"/>
  <c r="R344" i="3"/>
  <c r="AA185" i="3"/>
  <c r="AA223" i="3"/>
  <c r="C385" i="3"/>
  <c r="C387" i="3"/>
  <c r="C388" i="3"/>
  <c r="AD17" i="3"/>
  <c r="AD20" i="3"/>
  <c r="AD16" i="3"/>
  <c r="AD224" i="3"/>
  <c r="AD23" i="3"/>
  <c r="AD15" i="3"/>
  <c r="AD264" i="3"/>
  <c r="AB223" i="3"/>
  <c r="U228" i="3"/>
  <c r="V228" i="3"/>
  <c r="Q349" i="3"/>
  <c r="Q351" i="3"/>
  <c r="AA265" i="3"/>
  <c r="Z323" i="3"/>
  <c r="W343" i="3"/>
  <c r="S343" i="3"/>
  <c r="AD151" i="3"/>
  <c r="AD152" i="3"/>
  <c r="AE149" i="3"/>
  <c r="R249" i="3"/>
  <c r="R227" i="3"/>
  <c r="S227" i="3"/>
  <c r="Q254" i="3"/>
  <c r="Q260" i="3"/>
  <c r="AC223" i="3"/>
  <c r="AC185" i="3"/>
  <c r="AC224" i="3"/>
  <c r="M347" i="3"/>
  <c r="H347" i="3"/>
  <c r="R347" i="3"/>
  <c r="R349" i="3"/>
  <c r="R351" i="3"/>
  <c r="AE16" i="3"/>
  <c r="AE224" i="3"/>
  <c r="AE17" i="3"/>
  <c r="AE15" i="3"/>
  <c r="AE264" i="3"/>
  <c r="AE20" i="3"/>
  <c r="AE23" i="3"/>
  <c r="AB265" i="3"/>
  <c r="AC265" i="3"/>
  <c r="AA323" i="3"/>
  <c r="AB323" i="3"/>
  <c r="AE151" i="3"/>
  <c r="AE152" i="3"/>
  <c r="AF149" i="3"/>
  <c r="AD185" i="3"/>
  <c r="AD223" i="3"/>
  <c r="R254" i="3"/>
  <c r="R260" i="3"/>
  <c r="U227" i="3"/>
  <c r="V227" i="3"/>
  <c r="AF20" i="3"/>
  <c r="AG20" i="3"/>
  <c r="AF15" i="3"/>
  <c r="AF16" i="3"/>
  <c r="AG16" i="3"/>
  <c r="AF23" i="3"/>
  <c r="AG23" i="3"/>
  <c r="AF17" i="3"/>
  <c r="AG17" i="3"/>
  <c r="AD265" i="3"/>
  <c r="AC323" i="3"/>
  <c r="AF151" i="3"/>
  <c r="AF152" i="3"/>
  <c r="AH149" i="3"/>
  <c r="AE185" i="3"/>
  <c r="AE223" i="3"/>
  <c r="AG15" i="3"/>
  <c r="AG223" i="3"/>
  <c r="AF264" i="3"/>
  <c r="AG264" i="3"/>
  <c r="AH17" i="3"/>
  <c r="AH23" i="3"/>
  <c r="AH20" i="3"/>
  <c r="AH16" i="3"/>
  <c r="AH15" i="3"/>
  <c r="AE265" i="3"/>
  <c r="AD323" i="3"/>
  <c r="AH151" i="3"/>
  <c r="AH152" i="3"/>
  <c r="AI149" i="3"/>
  <c r="AF224" i="3"/>
  <c r="AG224" i="3"/>
  <c r="AF223" i="3"/>
  <c r="AF185" i="3"/>
  <c r="AH264" i="3"/>
  <c r="AI23" i="3"/>
  <c r="AI15" i="3"/>
  <c r="AI264" i="3"/>
  <c r="AI16" i="3"/>
  <c r="AI224" i="3"/>
  <c r="AI20" i="3"/>
  <c r="AI17" i="3"/>
  <c r="AF265" i="3"/>
  <c r="AE323" i="3"/>
  <c r="AI151" i="3"/>
  <c r="AI152" i="3"/>
  <c r="AJ149" i="3"/>
  <c r="AH224" i="3"/>
  <c r="AH223" i="3"/>
  <c r="AH185" i="3"/>
  <c r="AJ17" i="3"/>
  <c r="AJ15" i="3"/>
  <c r="AJ264" i="3"/>
  <c r="AJ16" i="3"/>
  <c r="AJ224" i="3"/>
  <c r="AJ20" i="3"/>
  <c r="AJ23" i="3"/>
  <c r="AG265" i="3"/>
  <c r="AF323" i="3"/>
  <c r="AG323" i="3"/>
  <c r="AH265" i="3"/>
  <c r="AJ151" i="3"/>
  <c r="AJ152" i="3"/>
  <c r="AK149" i="3"/>
  <c r="AI223" i="3"/>
  <c r="AI185" i="3"/>
  <c r="AK23" i="3"/>
  <c r="AL23" i="3"/>
  <c r="AK16" i="3"/>
  <c r="AL16" i="3"/>
  <c r="AK17" i="3"/>
  <c r="AL17" i="3"/>
  <c r="AK20" i="3"/>
  <c r="AL20" i="3"/>
  <c r="AK15" i="3"/>
  <c r="AK264" i="3"/>
  <c r="AL264" i="3"/>
  <c r="AI265" i="3"/>
  <c r="AH323" i="3"/>
  <c r="AK151" i="3"/>
  <c r="AK152" i="3"/>
  <c r="AM149" i="3"/>
  <c r="AJ185" i="3"/>
  <c r="AJ223" i="3"/>
  <c r="AM16" i="3"/>
  <c r="AM17" i="3"/>
  <c r="AM15" i="3"/>
  <c r="AM264" i="3"/>
  <c r="AM20" i="3"/>
  <c r="AM23" i="3"/>
  <c r="AK224" i="3"/>
  <c r="AL15" i="3"/>
  <c r="AJ265" i="3"/>
  <c r="AI323" i="3"/>
  <c r="AM151" i="3"/>
  <c r="AM152" i="3"/>
  <c r="AN149" i="3"/>
  <c r="AL224" i="3"/>
  <c r="AK185" i="3"/>
  <c r="AK223" i="3"/>
  <c r="AL223" i="3"/>
  <c r="AN23" i="3"/>
  <c r="AN15" i="3"/>
  <c r="AN264" i="3"/>
  <c r="AN16" i="3"/>
  <c r="AN224" i="3"/>
  <c r="AN17" i="3"/>
  <c r="AN20" i="3"/>
  <c r="AK265" i="3"/>
  <c r="AJ323" i="3"/>
  <c r="AN151" i="3"/>
  <c r="AN152" i="3"/>
  <c r="AP149" i="3"/>
  <c r="AO149" i="3"/>
  <c r="AM185" i="3"/>
  <c r="AM223" i="3"/>
  <c r="AM224" i="3"/>
  <c r="AO17" i="3"/>
  <c r="AO15" i="3"/>
  <c r="AO264" i="3"/>
  <c r="AO16" i="3"/>
  <c r="AO224" i="3"/>
  <c r="AO23" i="3"/>
  <c r="AO20" i="3"/>
  <c r="AP17" i="3"/>
  <c r="AP16" i="3"/>
  <c r="AP224" i="3"/>
  <c r="AP23" i="3"/>
  <c r="AP20" i="3"/>
  <c r="AP15" i="3"/>
  <c r="AP264" i="3"/>
  <c r="AQ264" i="3"/>
  <c r="AL265" i="3"/>
  <c r="AM265" i="3"/>
  <c r="AM323" i="3"/>
  <c r="AK323" i="3"/>
  <c r="AL323" i="3"/>
  <c r="AO151" i="3"/>
  <c r="AO152" i="3"/>
  <c r="AP151" i="3"/>
  <c r="AP152" i="3"/>
  <c r="AN223" i="3"/>
  <c r="AN185" i="3"/>
  <c r="AQ20" i="3"/>
  <c r="AQ17" i="3"/>
  <c r="AQ23" i="3"/>
  <c r="AQ15" i="3"/>
  <c r="AQ16" i="3"/>
  <c r="AQ224" i="3"/>
  <c r="AN265" i="3"/>
  <c r="AO223" i="3"/>
  <c r="AO185" i="3"/>
  <c r="AP185" i="3"/>
  <c r="AP223" i="3"/>
  <c r="AQ223" i="3"/>
  <c r="AN323" i="3"/>
  <c r="AO265" i="3"/>
  <c r="AP265" i="3"/>
  <c r="AO323" i="3"/>
  <c r="AQ265" i="3"/>
  <c r="AP323" i="3"/>
  <c r="AQ323" i="3"/>
  <c r="L234" i="3"/>
  <c r="L230" i="3"/>
  <c r="L233" i="3"/>
  <c r="R233" i="3"/>
  <c r="O231" i="3"/>
  <c r="O230" i="3"/>
  <c r="O233" i="3"/>
  <c r="Q234" i="3"/>
  <c r="Q230" i="3"/>
  <c r="T230" i="3"/>
  <c r="U230" i="3"/>
  <c r="V230" i="3"/>
  <c r="X230" i="3"/>
  <c r="Y230" i="3"/>
  <c r="Z230" i="3"/>
  <c r="AA230" i="3"/>
  <c r="AC230" i="3"/>
  <c r="AD230" i="3"/>
  <c r="AE230" i="3"/>
  <c r="AF230" i="3"/>
  <c r="AH230" i="3"/>
  <c r="AI230" i="3"/>
  <c r="AJ230" i="3"/>
  <c r="AK230" i="3"/>
  <c r="AM230" i="3"/>
  <c r="AN230" i="3"/>
  <c r="AO230" i="3"/>
  <c r="AP230" i="3"/>
  <c r="Q233" i="3"/>
  <c r="Q231" i="3"/>
  <c r="L231" i="3"/>
  <c r="L232" i="3"/>
  <c r="Q232" i="3"/>
  <c r="T231" i="3"/>
  <c r="U231" i="3"/>
  <c r="V231" i="3"/>
  <c r="X231" i="3"/>
  <c r="Y231" i="3"/>
  <c r="Z231" i="3"/>
  <c r="AA231" i="3"/>
  <c r="AC231" i="3"/>
  <c r="AD231" i="3"/>
  <c r="AE231" i="3"/>
  <c r="AF231" i="3"/>
  <c r="AH231" i="3"/>
  <c r="AI231" i="3"/>
  <c r="AJ231" i="3"/>
  <c r="AK231" i="3"/>
  <c r="AM231" i="3"/>
  <c r="AN231" i="3"/>
  <c r="AO231" i="3"/>
  <c r="AP231" i="3"/>
  <c r="T287" i="3"/>
  <c r="U287" i="3"/>
  <c r="T337" i="3"/>
  <c r="T234" i="3"/>
  <c r="T42" i="3"/>
  <c r="T41" i="3"/>
  <c r="U234" i="3"/>
  <c r="U337" i="3"/>
  <c r="V287" i="3"/>
  <c r="V234" i="3"/>
  <c r="W234" i="3"/>
  <c r="V337" i="3"/>
  <c r="W337" i="3"/>
  <c r="X233" i="3"/>
  <c r="T336" i="3"/>
  <c r="U41" i="3"/>
  <c r="U42" i="3"/>
  <c r="X337" i="3"/>
  <c r="X287" i="3"/>
  <c r="W287" i="3"/>
  <c r="V41" i="3"/>
  <c r="U336" i="3"/>
  <c r="X234" i="3"/>
  <c r="Y233" i="3"/>
  <c r="Y337" i="3"/>
  <c r="V42" i="3"/>
  <c r="X42" i="3"/>
  <c r="X41" i="3"/>
  <c r="X336" i="3"/>
  <c r="Y287" i="3"/>
  <c r="Z233" i="3"/>
  <c r="Z337" i="3"/>
  <c r="Y234" i="3"/>
  <c r="V336" i="3"/>
  <c r="Y41" i="3"/>
  <c r="Y336" i="3"/>
  <c r="Y42" i="3"/>
  <c r="Z287" i="3"/>
  <c r="W336" i="3"/>
  <c r="AA233" i="3"/>
  <c r="AA337" i="3"/>
  <c r="AB337" i="3"/>
  <c r="Z234" i="3"/>
  <c r="AB233" i="3"/>
  <c r="Z41" i="3"/>
  <c r="Z336" i="3"/>
  <c r="Z42" i="3"/>
  <c r="AA287" i="3"/>
  <c r="AC233" i="3"/>
  <c r="AA234" i="3"/>
  <c r="AA41" i="3"/>
  <c r="AA336" i="3"/>
  <c r="AB336" i="3"/>
  <c r="AC337" i="3"/>
  <c r="AB234" i="3"/>
  <c r="AA42" i="3"/>
  <c r="AC287" i="3"/>
  <c r="AB287" i="3"/>
  <c r="AD233" i="3"/>
  <c r="AD337" i="3"/>
  <c r="AC234" i="3"/>
  <c r="AC42" i="3"/>
  <c r="AC41" i="3"/>
  <c r="AC336" i="3"/>
  <c r="AD287" i="3"/>
  <c r="AD234" i="3"/>
  <c r="AE233" i="3"/>
  <c r="AE337" i="3"/>
  <c r="AD42" i="3"/>
  <c r="AE287" i="3"/>
  <c r="AD41" i="3"/>
  <c r="AD336" i="3"/>
  <c r="AE234" i="3"/>
  <c r="AF233" i="3"/>
  <c r="AF337" i="3"/>
  <c r="AG337" i="3"/>
  <c r="AH233" i="3"/>
  <c r="AI233" i="3"/>
  <c r="AJ233" i="3"/>
  <c r="AK233" i="3"/>
  <c r="AM233" i="3"/>
  <c r="AG233" i="3"/>
  <c r="AE42" i="3"/>
  <c r="AE41" i="3"/>
  <c r="AE336" i="3"/>
  <c r="AF287" i="3"/>
  <c r="AF234" i="3"/>
  <c r="AG234" i="3"/>
  <c r="AH337" i="3"/>
  <c r="AN233" i="3"/>
  <c r="AO233" i="3"/>
  <c r="AP233" i="3"/>
  <c r="AF41" i="3"/>
  <c r="AF336" i="3"/>
  <c r="AG336" i="3"/>
  <c r="AF42" i="3"/>
  <c r="AH287" i="3"/>
  <c r="AG287" i="3"/>
  <c r="AH234" i="3"/>
  <c r="AQ233" i="3"/>
  <c r="AI337" i="3"/>
  <c r="AH41" i="3"/>
  <c r="AH336" i="3"/>
  <c r="AI287" i="3"/>
  <c r="AH42" i="3"/>
  <c r="AI234" i="3"/>
  <c r="AJ337" i="3"/>
  <c r="AI41" i="3"/>
  <c r="AI336" i="3"/>
  <c r="AJ287" i="3"/>
  <c r="AI42" i="3"/>
  <c r="AK337" i="3"/>
  <c r="AL337" i="3"/>
  <c r="AJ234" i="3"/>
  <c r="AL233" i="3"/>
  <c r="AJ42" i="3"/>
  <c r="AK287" i="3"/>
  <c r="AL287" i="3"/>
  <c r="AJ41" i="3"/>
  <c r="AJ336" i="3"/>
  <c r="AK234" i="3"/>
  <c r="AL234" i="3"/>
  <c r="AM337" i="3"/>
  <c r="AK41" i="3"/>
  <c r="AK336" i="3"/>
  <c r="AL336" i="3"/>
  <c r="AM287" i="3"/>
  <c r="AK42" i="3"/>
  <c r="AM234" i="3"/>
  <c r="AN337" i="3"/>
  <c r="AM41" i="3"/>
  <c r="AM336" i="3"/>
  <c r="AM42" i="3"/>
  <c r="AN287" i="3"/>
  <c r="AN234" i="3"/>
  <c r="AO337" i="3"/>
  <c r="AN41" i="3"/>
  <c r="AN336" i="3"/>
  <c r="AN42" i="3"/>
  <c r="AO287" i="3"/>
  <c r="AP337" i="3"/>
  <c r="AQ337" i="3"/>
  <c r="AO234" i="3"/>
  <c r="AO41" i="3"/>
  <c r="AO336" i="3"/>
  <c r="AP287" i="3"/>
  <c r="AQ287" i="3"/>
  <c r="AO42" i="3"/>
  <c r="AP234" i="3"/>
  <c r="AP41" i="3"/>
  <c r="AP336" i="3"/>
  <c r="AQ336" i="3"/>
  <c r="AQ234" i="3"/>
  <c r="AP42" i="3"/>
  <c r="R275" i="3"/>
  <c r="R289" i="3"/>
  <c r="R290" i="3"/>
  <c r="R197" i="3"/>
  <c r="R198" i="3"/>
  <c r="W197" i="3"/>
  <c r="W270" i="3"/>
  <c r="T270" i="3"/>
  <c r="U270" i="3"/>
  <c r="V270" i="3"/>
  <c r="AB197" i="3"/>
  <c r="AB270" i="3"/>
  <c r="W198" i="3"/>
  <c r="AG197" i="3"/>
  <c r="AG270" i="3"/>
  <c r="AB198" i="3"/>
  <c r="T324" i="3"/>
  <c r="AL197" i="3"/>
  <c r="AL270" i="3"/>
  <c r="U324" i="3"/>
  <c r="AG198" i="3"/>
  <c r="AQ197" i="3"/>
  <c r="AQ270" i="3"/>
  <c r="V324" i="3"/>
  <c r="W324" i="3"/>
  <c r="AL198" i="3"/>
  <c r="AQ198" i="3"/>
  <c r="X270" i="3"/>
  <c r="W322" i="3"/>
  <c r="Y270" i="3"/>
  <c r="Z270" i="3"/>
  <c r="AA270" i="3"/>
  <c r="AA324" i="3"/>
  <c r="Q288" i="3"/>
  <c r="Q289" i="3"/>
  <c r="Q290" i="3"/>
  <c r="Q303" i="3"/>
  <c r="AC270" i="3"/>
  <c r="AD270" i="3"/>
  <c r="AE270" i="3"/>
  <c r="AF270" i="3"/>
  <c r="AF324" i="3"/>
  <c r="AH270" i="3"/>
  <c r="AI270" i="3"/>
  <c r="AJ270" i="3"/>
  <c r="AK270" i="3"/>
  <c r="AM270" i="3"/>
  <c r="AN270" i="3"/>
  <c r="AO270" i="3"/>
  <c r="AP270" i="3"/>
  <c r="S226" i="3"/>
  <c r="S38" i="3"/>
  <c r="S44" i="3"/>
  <c r="S40" i="3"/>
  <c r="S45" i="3"/>
  <c r="S43" i="3"/>
  <c r="S311" i="3"/>
  <c r="S288" i="3"/>
  <c r="S303" i="3"/>
  <c r="T303" i="3"/>
  <c r="U303" i="3"/>
  <c r="V303" i="3"/>
  <c r="X303" i="3"/>
  <c r="Y303" i="3"/>
  <c r="Z303" i="3"/>
  <c r="AA303" i="3"/>
  <c r="AC303" i="3"/>
  <c r="AD303" i="3"/>
  <c r="AE303" i="3"/>
  <c r="AF303" i="3"/>
  <c r="AH303" i="3"/>
  <c r="AI303" i="3"/>
  <c r="AJ303" i="3"/>
  <c r="AK303" i="3"/>
  <c r="AM303" i="3"/>
  <c r="AN303" i="3"/>
  <c r="AO303" i="3"/>
  <c r="AP303" i="3"/>
  <c r="S350" i="3"/>
  <c r="T29" i="3"/>
  <c r="S340" i="3"/>
  <c r="S267" i="3"/>
  <c r="S275" i="3"/>
  <c r="S289" i="3"/>
  <c r="W266" i="3"/>
  <c r="X324" i="3"/>
  <c r="Y324" i="3"/>
  <c r="Z324" i="3"/>
  <c r="AB266" i="3"/>
  <c r="AB324" i="3"/>
  <c r="AC324" i="3"/>
  <c r="AD324" i="3"/>
  <c r="AE324" i="3"/>
  <c r="AG324" i="3"/>
  <c r="AG266" i="3"/>
  <c r="AH324" i="3"/>
  <c r="AI324" i="3"/>
  <c r="AJ324" i="3"/>
  <c r="AL266" i="3"/>
  <c r="AK324" i="3"/>
  <c r="AL324" i="3"/>
  <c r="AM324" i="3"/>
  <c r="AN324" i="3"/>
  <c r="AO324" i="3"/>
  <c r="AP324" i="3"/>
  <c r="AQ324" i="3"/>
  <c r="AQ266" i="3"/>
  <c r="S325" i="3"/>
  <c r="S342" i="3"/>
  <c r="S344" i="3"/>
  <c r="T343" i="3"/>
  <c r="S249" i="3"/>
  <c r="W312" i="3"/>
  <c r="S36" i="3"/>
  <c r="S358" i="3"/>
  <c r="S306" i="3"/>
  <c r="S349" i="3"/>
  <c r="S351" i="3"/>
  <c r="C368" i="3"/>
  <c r="C397" i="3"/>
  <c r="S254" i="3"/>
  <c r="S260" i="3"/>
  <c r="S290" i="3"/>
  <c r="T30" i="3"/>
  <c r="T31" i="3"/>
  <c r="T34" i="3"/>
  <c r="S72" i="3"/>
  <c r="S186" i="3"/>
  <c r="S178" i="3"/>
  <c r="T178" i="3"/>
  <c r="U178" i="3"/>
  <c r="V178" i="3"/>
  <c r="X178" i="3"/>
  <c r="Y178" i="3"/>
  <c r="Z178" i="3"/>
  <c r="AA178" i="3"/>
  <c r="AC178" i="3"/>
  <c r="AD178" i="3"/>
  <c r="AE178" i="3"/>
  <c r="AF178" i="3"/>
  <c r="AH178" i="3"/>
  <c r="AI178" i="3"/>
  <c r="AJ178" i="3"/>
  <c r="AK178" i="3"/>
  <c r="AM178" i="3"/>
  <c r="AN178" i="3"/>
  <c r="AO178" i="3"/>
  <c r="AP178" i="3"/>
  <c r="S67" i="3"/>
  <c r="T67" i="3"/>
  <c r="S73" i="3"/>
  <c r="T68" i="3"/>
  <c r="U67" i="3"/>
  <c r="S184" i="3"/>
  <c r="S180" i="3"/>
  <c r="S185" i="3"/>
  <c r="U68" i="3"/>
  <c r="V67" i="3"/>
  <c r="T72" i="3"/>
  <c r="T19" i="3"/>
  <c r="T225" i="3"/>
  <c r="T184" i="3"/>
  <c r="T24" i="3"/>
  <c r="T25" i="3"/>
  <c r="T73" i="3"/>
  <c r="V68" i="3"/>
  <c r="X67" i="3"/>
  <c r="U19" i="3"/>
  <c r="U72" i="3"/>
  <c r="U73" i="3"/>
  <c r="Y67" i="3"/>
  <c r="X68" i="3"/>
  <c r="V72" i="3"/>
  <c r="V73" i="3"/>
  <c r="V19" i="3"/>
  <c r="T186" i="3"/>
  <c r="T220" i="3"/>
  <c r="T35" i="3"/>
  <c r="T27" i="3"/>
  <c r="U24" i="3"/>
  <c r="U25" i="3"/>
  <c r="U225" i="3"/>
  <c r="U184" i="3"/>
  <c r="T221" i="3"/>
  <c r="F9" i="31"/>
  <c r="E22" i="31"/>
  <c r="E9" i="31"/>
  <c r="E10" i="31"/>
  <c r="E25" i="31"/>
  <c r="E12" i="31"/>
  <c r="F12" i="31"/>
  <c r="T36" i="3"/>
  <c r="T37" i="3"/>
  <c r="T40" i="3"/>
  <c r="X72" i="3"/>
  <c r="X19" i="3"/>
  <c r="V184" i="3"/>
  <c r="V225" i="3"/>
  <c r="V24" i="3"/>
  <c r="V25" i="3"/>
  <c r="W19" i="3"/>
  <c r="U220" i="3"/>
  <c r="U186" i="3"/>
  <c r="U27" i="3"/>
  <c r="W72" i="3"/>
  <c r="W73" i="3"/>
  <c r="Y68" i="3"/>
  <c r="Z67" i="3"/>
  <c r="E38" i="31"/>
  <c r="F11" i="31"/>
  <c r="E24" i="31"/>
  <c r="E11" i="31"/>
  <c r="D38" i="31"/>
  <c r="G12" i="31"/>
  <c r="E23" i="31"/>
  <c r="E36" i="31"/>
  <c r="E35" i="31"/>
  <c r="U221" i="3"/>
  <c r="J22" i="31"/>
  <c r="J9" i="31"/>
  <c r="J10" i="31"/>
  <c r="G9" i="31"/>
  <c r="F10" i="31"/>
  <c r="D35" i="31"/>
  <c r="F13" i="31"/>
  <c r="E26" i="31"/>
  <c r="E13" i="31"/>
  <c r="T38" i="3"/>
  <c r="T311" i="3"/>
  <c r="Z68" i="3"/>
  <c r="AA67" i="3"/>
  <c r="Y19" i="3"/>
  <c r="Y72" i="3"/>
  <c r="Y73" i="3"/>
  <c r="W225" i="3"/>
  <c r="W24" i="3"/>
  <c r="W25" i="3"/>
  <c r="X225" i="3"/>
  <c r="X184" i="3"/>
  <c r="X24" i="3"/>
  <c r="X25" i="3"/>
  <c r="T45" i="3"/>
  <c r="C428" i="3"/>
  <c r="V220" i="3"/>
  <c r="V186" i="3"/>
  <c r="V27" i="3"/>
  <c r="X73" i="3"/>
  <c r="D36" i="31"/>
  <c r="G10" i="31"/>
  <c r="F14" i="31"/>
  <c r="E27" i="31"/>
  <c r="E14" i="31"/>
  <c r="E39" i="31"/>
  <c r="V221" i="3"/>
  <c r="M22" i="31"/>
  <c r="M9" i="31"/>
  <c r="M10" i="31"/>
  <c r="D39" i="31"/>
  <c r="G13" i="31"/>
  <c r="E37" i="31"/>
  <c r="J23" i="31"/>
  <c r="J36" i="31"/>
  <c r="J35" i="31"/>
  <c r="G11" i="31"/>
  <c r="D37" i="31"/>
  <c r="T44" i="3"/>
  <c r="T43" i="3"/>
  <c r="T325" i="3"/>
  <c r="T358" i="3"/>
  <c r="T281" i="3"/>
  <c r="W27" i="3"/>
  <c r="W221" i="3"/>
  <c r="W220" i="3"/>
  <c r="AA68" i="3"/>
  <c r="AC67" i="3"/>
  <c r="X220" i="3"/>
  <c r="X186" i="3"/>
  <c r="X27" i="3"/>
  <c r="Y225" i="3"/>
  <c r="Y184" i="3"/>
  <c r="Y24" i="3"/>
  <c r="Y25" i="3"/>
  <c r="Z72" i="3"/>
  <c r="Z19" i="3"/>
  <c r="E40" i="31"/>
  <c r="M35" i="31"/>
  <c r="M23" i="31"/>
  <c r="M36" i="31"/>
  <c r="D40" i="31"/>
  <c r="G14" i="31"/>
  <c r="X221" i="3"/>
  <c r="P9" i="31"/>
  <c r="P10" i="31"/>
  <c r="P22" i="31"/>
  <c r="Y220" i="3"/>
  <c r="Y186" i="3"/>
  <c r="Y27" i="3"/>
  <c r="AA72" i="3"/>
  <c r="AA73" i="3"/>
  <c r="AA19" i="3"/>
  <c r="AB19" i="3"/>
  <c r="T288" i="3"/>
  <c r="Z184" i="3"/>
  <c r="Z225" i="3"/>
  <c r="Z24" i="3"/>
  <c r="Z25" i="3"/>
  <c r="Z73" i="3"/>
  <c r="AC68" i="3"/>
  <c r="AD67" i="3"/>
  <c r="P23" i="31"/>
  <c r="P36" i="31"/>
  <c r="P35" i="31"/>
  <c r="Y221" i="3"/>
  <c r="S9" i="31"/>
  <c r="S10" i="31"/>
  <c r="S22" i="31"/>
  <c r="AB72" i="3"/>
  <c r="AB73" i="3"/>
  <c r="AB225" i="3"/>
  <c r="AB24" i="3"/>
  <c r="AB25" i="3"/>
  <c r="Z220" i="3"/>
  <c r="Z186" i="3"/>
  <c r="Z27" i="3"/>
  <c r="Z221" i="3"/>
  <c r="AD68" i="3"/>
  <c r="AE67" i="3"/>
  <c r="AA184" i="3"/>
  <c r="AA225" i="3"/>
  <c r="AA24" i="3"/>
  <c r="AA25" i="3"/>
  <c r="T268" i="3"/>
  <c r="T334" i="3"/>
  <c r="T263" i="3"/>
  <c r="T333" i="3"/>
  <c r="T262" i="3"/>
  <c r="AC72" i="3"/>
  <c r="AC73" i="3"/>
  <c r="AC19" i="3"/>
  <c r="S35" i="31"/>
  <c r="S23" i="31"/>
  <c r="S36" i="31"/>
  <c r="AA186" i="3"/>
  <c r="AA220" i="3"/>
  <c r="AA27" i="3"/>
  <c r="AA221" i="3"/>
  <c r="AD72" i="3"/>
  <c r="AD73" i="3"/>
  <c r="AD19" i="3"/>
  <c r="AB220" i="3"/>
  <c r="AB27" i="3"/>
  <c r="AB221" i="3"/>
  <c r="T350" i="3"/>
  <c r="T267" i="3"/>
  <c r="T275" i="3"/>
  <c r="T289" i="3"/>
  <c r="T306" i="3"/>
  <c r="U29" i="3"/>
  <c r="T332" i="3"/>
  <c r="AC184" i="3"/>
  <c r="AC225" i="3"/>
  <c r="AC24" i="3"/>
  <c r="AC25" i="3"/>
  <c r="AE68" i="3"/>
  <c r="AF67" i="3"/>
  <c r="AF68" i="3"/>
  <c r="AH67" i="3"/>
  <c r="AD184" i="3"/>
  <c r="AD24" i="3"/>
  <c r="AD25" i="3"/>
  <c r="AD225" i="3"/>
  <c r="T340" i="3"/>
  <c r="T342" i="3"/>
  <c r="T344" i="3"/>
  <c r="AE72" i="3"/>
  <c r="AE73" i="3"/>
  <c r="AE19" i="3"/>
  <c r="AC220" i="3"/>
  <c r="AC27" i="3"/>
  <c r="AC221" i="3"/>
  <c r="AC186" i="3"/>
  <c r="AH68" i="3"/>
  <c r="AI67" i="3"/>
  <c r="AD186" i="3"/>
  <c r="AD220" i="3"/>
  <c r="AD27" i="3"/>
  <c r="AD221" i="3"/>
  <c r="AF72" i="3"/>
  <c r="AF73" i="3"/>
  <c r="AF19" i="3"/>
  <c r="AG19" i="3"/>
  <c r="T249" i="3"/>
  <c r="U343" i="3"/>
  <c r="AE184" i="3"/>
  <c r="AE225" i="3"/>
  <c r="AE24" i="3"/>
  <c r="AE25" i="3"/>
  <c r="AG225" i="3"/>
  <c r="AG24" i="3"/>
  <c r="AG25" i="3"/>
  <c r="AE186" i="3"/>
  <c r="AE220" i="3"/>
  <c r="AE27" i="3"/>
  <c r="AE221" i="3"/>
  <c r="T349" i="3"/>
  <c r="T351" i="3"/>
  <c r="T254" i="3"/>
  <c r="T260" i="3"/>
  <c r="T290" i="3"/>
  <c r="U30" i="3"/>
  <c r="AH72" i="3"/>
  <c r="AH73" i="3"/>
  <c r="AH19" i="3"/>
  <c r="AJ67" i="3"/>
  <c r="AI68" i="3"/>
  <c r="AF225" i="3"/>
  <c r="AF184" i="3"/>
  <c r="AF24" i="3"/>
  <c r="AF25" i="3"/>
  <c r="AF220" i="3"/>
  <c r="AF186" i="3"/>
  <c r="AF27" i="3"/>
  <c r="AF221" i="3"/>
  <c r="AJ68" i="3"/>
  <c r="AK67" i="3"/>
  <c r="AG220" i="3"/>
  <c r="AG27" i="3"/>
  <c r="AG221" i="3"/>
  <c r="AH184" i="3"/>
  <c r="AH225" i="3"/>
  <c r="AH24" i="3"/>
  <c r="AH25" i="3"/>
  <c r="AI72" i="3"/>
  <c r="AI73" i="3"/>
  <c r="AI19" i="3"/>
  <c r="U31" i="3"/>
  <c r="U34" i="3"/>
  <c r="AK68" i="3"/>
  <c r="AM67" i="3"/>
  <c r="AI184" i="3"/>
  <c r="AI225" i="3"/>
  <c r="AI24" i="3"/>
  <c r="AI25" i="3"/>
  <c r="U35" i="3"/>
  <c r="AH186" i="3"/>
  <c r="AH220" i="3"/>
  <c r="AH27" i="3"/>
  <c r="AH221" i="3"/>
  <c r="AJ72" i="3"/>
  <c r="AJ73" i="3"/>
  <c r="AJ19" i="3"/>
  <c r="J25" i="31"/>
  <c r="J12" i="31"/>
  <c r="AJ225" i="3"/>
  <c r="AJ184" i="3"/>
  <c r="AJ24" i="3"/>
  <c r="AJ25" i="3"/>
  <c r="AI186" i="3"/>
  <c r="AI220" i="3"/>
  <c r="AI27" i="3"/>
  <c r="AI221" i="3"/>
  <c r="AK72" i="3"/>
  <c r="AK73" i="3"/>
  <c r="AK19" i="3"/>
  <c r="AL19" i="3"/>
  <c r="U36" i="3"/>
  <c r="U37" i="3"/>
  <c r="U38" i="3"/>
  <c r="AM68" i="3"/>
  <c r="AN67" i="3"/>
  <c r="J38" i="31"/>
  <c r="J24" i="31"/>
  <c r="J11" i="31"/>
  <c r="U311" i="3"/>
  <c r="U43" i="3"/>
  <c r="U44" i="3"/>
  <c r="AJ186" i="3"/>
  <c r="AJ220" i="3"/>
  <c r="AJ27" i="3"/>
  <c r="AJ221" i="3"/>
  <c r="AM72" i="3"/>
  <c r="AM73" i="3"/>
  <c r="AM19" i="3"/>
  <c r="AL225" i="3"/>
  <c r="AL24" i="3"/>
  <c r="AL25" i="3"/>
  <c r="AK225" i="3"/>
  <c r="AK24" i="3"/>
  <c r="AK25" i="3"/>
  <c r="AK184" i="3"/>
  <c r="AO67" i="3"/>
  <c r="AN68" i="3"/>
  <c r="U40" i="3"/>
  <c r="J37" i="31"/>
  <c r="J26" i="31"/>
  <c r="J13" i="31"/>
  <c r="AP67" i="3"/>
  <c r="AP68" i="3"/>
  <c r="AO68" i="3"/>
  <c r="U45" i="3"/>
  <c r="AK186" i="3"/>
  <c r="AK27" i="3"/>
  <c r="AK221" i="3"/>
  <c r="AK220" i="3"/>
  <c r="AM225" i="3"/>
  <c r="AM184" i="3"/>
  <c r="AM24" i="3"/>
  <c r="AM25" i="3"/>
  <c r="U325" i="3"/>
  <c r="U358" i="3"/>
  <c r="U281" i="3"/>
  <c r="AL220" i="3"/>
  <c r="AL27" i="3"/>
  <c r="AL221" i="3"/>
  <c r="AN72" i="3"/>
  <c r="AN73" i="3"/>
  <c r="AN19" i="3"/>
  <c r="J27" i="31"/>
  <c r="J14" i="31"/>
  <c r="J39" i="31"/>
  <c r="AN184" i="3"/>
  <c r="AN225" i="3"/>
  <c r="AN24" i="3"/>
  <c r="AN25" i="3"/>
  <c r="U288" i="3"/>
  <c r="AO72" i="3"/>
  <c r="AO73" i="3"/>
  <c r="AO19" i="3"/>
  <c r="AM220" i="3"/>
  <c r="AM186" i="3"/>
  <c r="AM27" i="3"/>
  <c r="AM221" i="3"/>
  <c r="AP72" i="3"/>
  <c r="AP73" i="3"/>
  <c r="AP19" i="3"/>
  <c r="J40" i="31"/>
  <c r="AQ19" i="3"/>
  <c r="AQ225" i="3"/>
  <c r="AN220" i="3"/>
  <c r="AN186" i="3"/>
  <c r="AN27" i="3"/>
  <c r="AN221" i="3"/>
  <c r="AP184" i="3"/>
  <c r="AP225" i="3"/>
  <c r="AP24" i="3"/>
  <c r="AP25" i="3"/>
  <c r="U268" i="3"/>
  <c r="U334" i="3"/>
  <c r="U263" i="3"/>
  <c r="U333" i="3"/>
  <c r="U262" i="3"/>
  <c r="AO225" i="3"/>
  <c r="AO184" i="3"/>
  <c r="AO24" i="3"/>
  <c r="AO25" i="3"/>
  <c r="AQ24" i="3"/>
  <c r="AQ25" i="3"/>
  <c r="AQ220" i="3"/>
  <c r="V29" i="3"/>
  <c r="U306" i="3"/>
  <c r="U332" i="3"/>
  <c r="U267" i="3"/>
  <c r="U275" i="3"/>
  <c r="U289" i="3"/>
  <c r="U350" i="3"/>
  <c r="AO220" i="3"/>
  <c r="AO186" i="3"/>
  <c r="AO27" i="3"/>
  <c r="AO221" i="3"/>
  <c r="AP186" i="3"/>
  <c r="AP220" i="3"/>
  <c r="AP27" i="3"/>
  <c r="AP221" i="3"/>
  <c r="AQ27" i="3"/>
  <c r="AQ221" i="3"/>
  <c r="U340" i="3"/>
  <c r="U342" i="3"/>
  <c r="U344" i="3"/>
  <c r="W29" i="3"/>
  <c r="U249" i="3"/>
  <c r="V343" i="3"/>
  <c r="U254" i="3"/>
  <c r="U260" i="3"/>
  <c r="U290" i="3"/>
  <c r="V30" i="3"/>
  <c r="U349" i="3"/>
  <c r="U351" i="3"/>
  <c r="W30" i="3"/>
  <c r="V31" i="3"/>
  <c r="V34" i="3"/>
  <c r="V35" i="3"/>
  <c r="W31" i="3"/>
  <c r="W34" i="3"/>
  <c r="M25" i="31"/>
  <c r="M12" i="31"/>
  <c r="W35" i="3"/>
  <c r="V37" i="3"/>
  <c r="V38" i="3"/>
  <c r="V36" i="3"/>
  <c r="M11" i="31"/>
  <c r="M24" i="31"/>
  <c r="M38" i="31"/>
  <c r="V43" i="3"/>
  <c r="V311" i="3"/>
  <c r="V44" i="3"/>
  <c r="W37" i="3"/>
  <c r="V40" i="3"/>
  <c r="W36" i="3"/>
  <c r="M37" i="31"/>
  <c r="M26" i="31"/>
  <c r="M13" i="31"/>
  <c r="W226" i="3"/>
  <c r="W40" i="3"/>
  <c r="W38" i="3"/>
  <c r="V325" i="3"/>
  <c r="V358" i="3"/>
  <c r="V281" i="3"/>
  <c r="V288" i="3"/>
  <c r="V45" i="3"/>
  <c r="M39" i="31"/>
  <c r="M27" i="31"/>
  <c r="M14" i="31"/>
  <c r="W41" i="3"/>
  <c r="W43" i="3"/>
  <c r="W42" i="3"/>
  <c r="W44" i="3"/>
  <c r="W311" i="3"/>
  <c r="W325" i="3"/>
  <c r="W281" i="3"/>
  <c r="W288" i="3"/>
  <c r="M40" i="31"/>
  <c r="W45" i="3"/>
  <c r="W222" i="3"/>
  <c r="V263" i="3"/>
  <c r="V268" i="3"/>
  <c r="V262" i="3"/>
  <c r="W358" i="3"/>
  <c r="W345" i="3"/>
  <c r="W347" i="3"/>
  <c r="W268" i="3"/>
  <c r="V334" i="3"/>
  <c r="W334" i="3"/>
  <c r="V306" i="3"/>
  <c r="W262" i="3"/>
  <c r="V267" i="3"/>
  <c r="V350" i="3"/>
  <c r="W306" i="3"/>
  <c r="V332" i="3"/>
  <c r="W263" i="3"/>
  <c r="W228" i="3"/>
  <c r="X228" i="3"/>
  <c r="Y228" i="3"/>
  <c r="Z228" i="3"/>
  <c r="AA228" i="3"/>
  <c r="V333" i="3"/>
  <c r="W333" i="3"/>
  <c r="V275" i="3"/>
  <c r="V289" i="3"/>
  <c r="X29" i="3"/>
  <c r="V340" i="3"/>
  <c r="V342" i="3"/>
  <c r="V344" i="3"/>
  <c r="V249" i="3"/>
  <c r="W332" i="3"/>
  <c r="W340" i="3"/>
  <c r="W342" i="3"/>
  <c r="W344" i="3"/>
  <c r="W350" i="3"/>
  <c r="W267" i="3"/>
  <c r="W275" i="3"/>
  <c r="W289" i="3"/>
  <c r="AB343" i="3"/>
  <c r="X343" i="3"/>
  <c r="V349" i="3"/>
  <c r="V351" i="3"/>
  <c r="W249" i="3"/>
  <c r="V254" i="3"/>
  <c r="V260" i="3"/>
  <c r="V290" i="3"/>
  <c r="W254" i="3"/>
  <c r="W260" i="3"/>
  <c r="W290" i="3"/>
  <c r="W349" i="3"/>
  <c r="W351" i="3"/>
  <c r="W227" i="3"/>
  <c r="X227" i="3"/>
  <c r="Y227" i="3"/>
  <c r="Z227" i="3"/>
  <c r="AA227" i="3"/>
  <c r="X30" i="3"/>
  <c r="X31" i="3"/>
  <c r="X34" i="3"/>
  <c r="X35" i="3"/>
  <c r="P12" i="31"/>
  <c r="P25" i="31"/>
  <c r="X36" i="3"/>
  <c r="X37" i="3"/>
  <c r="X38" i="3"/>
  <c r="P24" i="31"/>
  <c r="P11" i="31"/>
  <c r="P38" i="31"/>
  <c r="X40" i="3"/>
  <c r="X44" i="3"/>
  <c r="X43" i="3"/>
  <c r="X311" i="3"/>
  <c r="P37" i="31"/>
  <c r="P13" i="31"/>
  <c r="P26" i="31"/>
  <c r="X45" i="3"/>
  <c r="X325" i="3"/>
  <c r="X358" i="3"/>
  <c r="X281" i="3"/>
  <c r="P14" i="31"/>
  <c r="P27" i="31"/>
  <c r="P39" i="31"/>
  <c r="C369" i="3"/>
  <c r="C6" i="3"/>
  <c r="X288" i="3"/>
  <c r="P40" i="31"/>
  <c r="X263" i="3"/>
  <c r="X333" i="3"/>
  <c r="X268" i="3"/>
  <c r="X334" i="3"/>
  <c r="X262" i="3"/>
  <c r="X306" i="3"/>
  <c r="X350" i="3"/>
  <c r="Y29" i="3"/>
  <c r="X267" i="3"/>
  <c r="X275" i="3"/>
  <c r="X289" i="3"/>
  <c r="X332" i="3"/>
  <c r="X340" i="3"/>
  <c r="X342" i="3"/>
  <c r="X344" i="3"/>
  <c r="X249" i="3"/>
  <c r="Y343" i="3"/>
  <c r="Y30" i="3"/>
  <c r="X349" i="3"/>
  <c r="X351" i="3"/>
  <c r="X254" i="3"/>
  <c r="X260" i="3"/>
  <c r="X290" i="3"/>
  <c r="Y31" i="3"/>
  <c r="Y34" i="3"/>
  <c r="Y35" i="3"/>
  <c r="S25" i="31"/>
  <c r="S12" i="31"/>
  <c r="Y37" i="3"/>
  <c r="Y38" i="3"/>
  <c r="Y36" i="3"/>
  <c r="S38" i="31"/>
  <c r="S11" i="31"/>
  <c r="S24" i="31"/>
  <c r="S37" i="31"/>
  <c r="Y44" i="3"/>
  <c r="Y311" i="3"/>
  <c r="Y43" i="3"/>
  <c r="Y40" i="3"/>
  <c r="Y45" i="3"/>
  <c r="S13" i="31"/>
  <c r="S26" i="31"/>
  <c r="Y325" i="3"/>
  <c r="Y358" i="3"/>
  <c r="Y281" i="3"/>
  <c r="S39" i="31"/>
  <c r="S14" i="31"/>
  <c r="S27" i="31"/>
  <c r="Y288" i="3"/>
  <c r="S40" i="31"/>
  <c r="Y263" i="3"/>
  <c r="Y333" i="3"/>
  <c r="Y268" i="3"/>
  <c r="Y334" i="3"/>
  <c r="Y262" i="3"/>
  <c r="Y350" i="3"/>
  <c r="Y306" i="3"/>
  <c r="Y267" i="3"/>
  <c r="Y275" i="3"/>
  <c r="Y289" i="3"/>
  <c r="Y332" i="3"/>
  <c r="Z29" i="3"/>
  <c r="Y340" i="3"/>
  <c r="Y342" i="3"/>
  <c r="Y344" i="3"/>
  <c r="Y249" i="3"/>
  <c r="Z343" i="3"/>
  <c r="Z30" i="3"/>
  <c r="Y254" i="3"/>
  <c r="Y260" i="3"/>
  <c r="Y290" i="3"/>
  <c r="Y349" i="3"/>
  <c r="Y351" i="3"/>
  <c r="Z31" i="3"/>
  <c r="Z34" i="3"/>
  <c r="Z35" i="3"/>
  <c r="Z37" i="3"/>
  <c r="Z38" i="3"/>
  <c r="Z36" i="3"/>
  <c r="Z44" i="3"/>
  <c r="Z43" i="3"/>
  <c r="Z311" i="3"/>
  <c r="Z40" i="3"/>
  <c r="Z45" i="3"/>
  <c r="Z325" i="3"/>
  <c r="Z358" i="3"/>
  <c r="Z281" i="3"/>
  <c r="Z288" i="3"/>
  <c r="Z268" i="3"/>
  <c r="Z334" i="3"/>
  <c r="Z262" i="3"/>
  <c r="Z263" i="3"/>
  <c r="Z333" i="3"/>
  <c r="Z350" i="3"/>
  <c r="AA29" i="3"/>
  <c r="Z267" i="3"/>
  <c r="Z275" i="3"/>
  <c r="Z289" i="3"/>
  <c r="Z332" i="3"/>
  <c r="Z306" i="3"/>
  <c r="AB29" i="3"/>
  <c r="Z340" i="3"/>
  <c r="Z342" i="3"/>
  <c r="Z344" i="3"/>
  <c r="Z249" i="3"/>
  <c r="AA343" i="3"/>
  <c r="Z349" i="3"/>
  <c r="Z351" i="3"/>
  <c r="Z254" i="3"/>
  <c r="Z260" i="3"/>
  <c r="Z290" i="3"/>
  <c r="AA30" i="3"/>
  <c r="AB30" i="3"/>
  <c r="AA31" i="3"/>
  <c r="AA34" i="3"/>
  <c r="AA35" i="3"/>
  <c r="AB31" i="3"/>
  <c r="AB34" i="3"/>
  <c r="AB35" i="3"/>
  <c r="AA37" i="3"/>
  <c r="AA36" i="3"/>
  <c r="AB37" i="3"/>
  <c r="AB38" i="3"/>
  <c r="AA40" i="3"/>
  <c r="AA45" i="3"/>
  <c r="AA38" i="3"/>
  <c r="AB36" i="3"/>
  <c r="AB311" i="3"/>
  <c r="AB325" i="3"/>
  <c r="AB42" i="3"/>
  <c r="AB44" i="3"/>
  <c r="AB41" i="3"/>
  <c r="AB43" i="3"/>
  <c r="AA44" i="3"/>
  <c r="AA43" i="3"/>
  <c r="AA311" i="3"/>
  <c r="AB226" i="3"/>
  <c r="AB40" i="3"/>
  <c r="AA325" i="3"/>
  <c r="AA358" i="3"/>
  <c r="AA281" i="3"/>
  <c r="AB45" i="3"/>
  <c r="AB222" i="3"/>
  <c r="AB345" i="3"/>
  <c r="AB347" i="3"/>
  <c r="AB358" i="3"/>
  <c r="AA288" i="3"/>
  <c r="AB281" i="3"/>
  <c r="AB288" i="3"/>
  <c r="AA263" i="3"/>
  <c r="AA268" i="3"/>
  <c r="AA262" i="3"/>
  <c r="AA334" i="3"/>
  <c r="AB334" i="3"/>
  <c r="AB268" i="3"/>
  <c r="AB263" i="3"/>
  <c r="AA333" i="3"/>
  <c r="AB333" i="3"/>
  <c r="AA350" i="3"/>
  <c r="AA267" i="3"/>
  <c r="AA275" i="3"/>
  <c r="AA289" i="3"/>
  <c r="AB306" i="3"/>
  <c r="AA306" i="3"/>
  <c r="AB262" i="3"/>
  <c r="AA332" i="3"/>
  <c r="AB228" i="3"/>
  <c r="AC228" i="3"/>
  <c r="AA340" i="3"/>
  <c r="AA342" i="3"/>
  <c r="AA344" i="3"/>
  <c r="AA249" i="3"/>
  <c r="AB332" i="3"/>
  <c r="AB340" i="3"/>
  <c r="AB342" i="3"/>
  <c r="AB344" i="3"/>
  <c r="AB350" i="3"/>
  <c r="AB267" i="3"/>
  <c r="AB275" i="3"/>
  <c r="AB289" i="3"/>
  <c r="AD228" i="3"/>
  <c r="AE228" i="3"/>
  <c r="AF228" i="3"/>
  <c r="AC29" i="3"/>
  <c r="AA349" i="3"/>
  <c r="AA351" i="3"/>
  <c r="AA254" i="3"/>
  <c r="AA260" i="3"/>
  <c r="AA290" i="3"/>
  <c r="AB249" i="3"/>
  <c r="AC343" i="3"/>
  <c r="AG343" i="3"/>
  <c r="AB254" i="3"/>
  <c r="AB260" i="3"/>
  <c r="AB290" i="3"/>
  <c r="AB349" i="3"/>
  <c r="AB351" i="3"/>
  <c r="AB227" i="3"/>
  <c r="AC227" i="3"/>
  <c r="AD227" i="3"/>
  <c r="AE227" i="3"/>
  <c r="AF227" i="3"/>
  <c r="AC30" i="3"/>
  <c r="AC31" i="3"/>
  <c r="AC34" i="3"/>
  <c r="AC35" i="3"/>
  <c r="AC36" i="3"/>
  <c r="AC37" i="3"/>
  <c r="AC40" i="3"/>
  <c r="AC45" i="3"/>
  <c r="AC38" i="3"/>
  <c r="AC43" i="3"/>
  <c r="AC44" i="3"/>
  <c r="AC311" i="3"/>
  <c r="AC325" i="3"/>
  <c r="AC358" i="3"/>
  <c r="AC281" i="3"/>
  <c r="AC288" i="3"/>
  <c r="AC268" i="3"/>
  <c r="AC334" i="3"/>
  <c r="AC263" i="3"/>
  <c r="AC333" i="3"/>
  <c r="AC262" i="3"/>
  <c r="AC350" i="3"/>
  <c r="AC306" i="3"/>
  <c r="AC267" i="3"/>
  <c r="AC275" i="3"/>
  <c r="AC289" i="3"/>
  <c r="AC332" i="3"/>
  <c r="AD29" i="3"/>
  <c r="AC340" i="3"/>
  <c r="AC342" i="3"/>
  <c r="AC344" i="3"/>
  <c r="AC249" i="3"/>
  <c r="AD343" i="3"/>
  <c r="AC254" i="3"/>
  <c r="AC260" i="3"/>
  <c r="AC290" i="3"/>
  <c r="AC349" i="3"/>
  <c r="AC351" i="3"/>
  <c r="AD30" i="3"/>
  <c r="AD31" i="3"/>
  <c r="AD34" i="3"/>
  <c r="AD35" i="3"/>
  <c r="AD36" i="3"/>
  <c r="AD37" i="3"/>
  <c r="AD38" i="3"/>
  <c r="AD44" i="3"/>
  <c r="AD311" i="3"/>
  <c r="AD43" i="3"/>
  <c r="AD40" i="3"/>
  <c r="AD45" i="3"/>
  <c r="AD325" i="3"/>
  <c r="AD358" i="3"/>
  <c r="AD281" i="3"/>
  <c r="AD288" i="3"/>
  <c r="AD268" i="3"/>
  <c r="AD334" i="3"/>
  <c r="AD262" i="3"/>
  <c r="AD263" i="3"/>
  <c r="AD333" i="3"/>
  <c r="AD350" i="3"/>
  <c r="AD267" i="3"/>
  <c r="AD275" i="3"/>
  <c r="AD289" i="3"/>
  <c r="AE29" i="3"/>
  <c r="AD332" i="3"/>
  <c r="AD306" i="3"/>
  <c r="AD340" i="3"/>
  <c r="AD342" i="3"/>
  <c r="AD344" i="3"/>
  <c r="AD249" i="3"/>
  <c r="AE343" i="3"/>
  <c r="AE30" i="3"/>
  <c r="AD254" i="3"/>
  <c r="AD260" i="3"/>
  <c r="AD290" i="3"/>
  <c r="AD349" i="3"/>
  <c r="AD351" i="3"/>
  <c r="AE31" i="3"/>
  <c r="AE34" i="3"/>
  <c r="AE35" i="3"/>
  <c r="AE36" i="3"/>
  <c r="AE37" i="3"/>
  <c r="AE38" i="3"/>
  <c r="AE44" i="3"/>
  <c r="AE43" i="3"/>
  <c r="AE311" i="3"/>
  <c r="AE40" i="3"/>
  <c r="AE45" i="3"/>
  <c r="AE325" i="3"/>
  <c r="AE358" i="3"/>
  <c r="AE281" i="3"/>
  <c r="AE288" i="3"/>
  <c r="AE263" i="3"/>
  <c r="AE333" i="3"/>
  <c r="AE268" i="3"/>
  <c r="AE334" i="3"/>
  <c r="AE262" i="3"/>
  <c r="AE306" i="3"/>
  <c r="AE267" i="3"/>
  <c r="AE275" i="3"/>
  <c r="AE289" i="3"/>
  <c r="AE332" i="3"/>
  <c r="AE350" i="3"/>
  <c r="AF29" i="3"/>
  <c r="AE340" i="3"/>
  <c r="AE342" i="3"/>
  <c r="AE344" i="3"/>
  <c r="AG29" i="3"/>
  <c r="AF343" i="3"/>
  <c r="AE249" i="3"/>
  <c r="AF30" i="3"/>
  <c r="AE254" i="3"/>
  <c r="AE260" i="3"/>
  <c r="AE290" i="3"/>
  <c r="AE349" i="3"/>
  <c r="AE351" i="3"/>
  <c r="AG30" i="3"/>
  <c r="AF31" i="3"/>
  <c r="AF34" i="3"/>
  <c r="AF35" i="3"/>
  <c r="AG31" i="3"/>
  <c r="AG34" i="3"/>
  <c r="AG35" i="3"/>
  <c r="AF37" i="3"/>
  <c r="AF36" i="3"/>
  <c r="AG37" i="3"/>
  <c r="AG38" i="3"/>
  <c r="AF40" i="3"/>
  <c r="AF45" i="3"/>
  <c r="AF38" i="3"/>
  <c r="AG36" i="3"/>
  <c r="AF44" i="3"/>
  <c r="AF43" i="3"/>
  <c r="AF311" i="3"/>
  <c r="AG311" i="3"/>
  <c r="AG325" i="3"/>
  <c r="AG42" i="3"/>
  <c r="AG44" i="3"/>
  <c r="AG41" i="3"/>
  <c r="AG43" i="3"/>
  <c r="AG226" i="3"/>
  <c r="AG40" i="3"/>
  <c r="AF325" i="3"/>
  <c r="AF358" i="3"/>
  <c r="AF281" i="3"/>
  <c r="AG45" i="3"/>
  <c r="AG222" i="3"/>
  <c r="AG345" i="3"/>
  <c r="AG347" i="3"/>
  <c r="AG358" i="3"/>
  <c r="AG281" i="3"/>
  <c r="AG288" i="3"/>
  <c r="AF288" i="3"/>
  <c r="AF263" i="3"/>
  <c r="AF268" i="3"/>
  <c r="AF262" i="3"/>
  <c r="AF306" i="3"/>
  <c r="AF350" i="3"/>
  <c r="AG306" i="3"/>
  <c r="AF267" i="3"/>
  <c r="AF275" i="3"/>
  <c r="AF289" i="3"/>
  <c r="AF332" i="3"/>
  <c r="AG262" i="3"/>
  <c r="AF334" i="3"/>
  <c r="AG334" i="3"/>
  <c r="AG268" i="3"/>
  <c r="AF333" i="3"/>
  <c r="AG333" i="3"/>
  <c r="AG263" i="3"/>
  <c r="AG228" i="3"/>
  <c r="AH228" i="3"/>
  <c r="AI228" i="3"/>
  <c r="AJ228" i="3"/>
  <c r="AK228" i="3"/>
  <c r="AG350" i="3"/>
  <c r="AG267" i="3"/>
  <c r="AG275" i="3"/>
  <c r="AG289" i="3"/>
  <c r="AF340" i="3"/>
  <c r="AF342" i="3"/>
  <c r="AF344" i="3"/>
  <c r="AF249" i="3"/>
  <c r="AG332" i="3"/>
  <c r="AG340" i="3"/>
  <c r="AG342" i="3"/>
  <c r="AG344" i="3"/>
  <c r="AH29" i="3"/>
  <c r="AL343" i="3"/>
  <c r="AH343" i="3"/>
  <c r="AF349" i="3"/>
  <c r="AF351" i="3"/>
  <c r="AG249" i="3"/>
  <c r="AF254" i="3"/>
  <c r="AF260" i="3"/>
  <c r="AF290" i="3"/>
  <c r="AG349" i="3"/>
  <c r="AG351" i="3"/>
  <c r="AG254" i="3"/>
  <c r="AG260" i="3"/>
  <c r="AG290" i="3"/>
  <c r="AG227" i="3"/>
  <c r="AH227" i="3"/>
  <c r="AI227" i="3"/>
  <c r="AJ227" i="3"/>
  <c r="AK227" i="3"/>
  <c r="AH30" i="3"/>
  <c r="AH31" i="3"/>
  <c r="AH34" i="3"/>
  <c r="AH35" i="3"/>
  <c r="AH36" i="3"/>
  <c r="AH37" i="3"/>
  <c r="AH40" i="3"/>
  <c r="AH45" i="3"/>
  <c r="AH38" i="3"/>
  <c r="AH43" i="3"/>
  <c r="AH44" i="3"/>
  <c r="AH311" i="3"/>
  <c r="AH325" i="3"/>
  <c r="AH358" i="3"/>
  <c r="AH281" i="3"/>
  <c r="AH288" i="3"/>
  <c r="AH263" i="3"/>
  <c r="AH333" i="3"/>
  <c r="AH262" i="3"/>
  <c r="AH268" i="3"/>
  <c r="AH334" i="3"/>
  <c r="AH350" i="3"/>
  <c r="AH306" i="3"/>
  <c r="AH267" i="3"/>
  <c r="AH275" i="3"/>
  <c r="AH289" i="3"/>
  <c r="AI29" i="3"/>
  <c r="AH332" i="3"/>
  <c r="AH340" i="3"/>
  <c r="AH342" i="3"/>
  <c r="AH344" i="3"/>
  <c r="AH249" i="3"/>
  <c r="AI343" i="3"/>
  <c r="AI30" i="3"/>
  <c r="AH254" i="3"/>
  <c r="AH260" i="3"/>
  <c r="AH290" i="3"/>
  <c r="AH349" i="3"/>
  <c r="AH351" i="3"/>
  <c r="AI31" i="3"/>
  <c r="AI34" i="3"/>
  <c r="AI35" i="3"/>
  <c r="AI36" i="3"/>
  <c r="AI37" i="3"/>
  <c r="AI38" i="3"/>
  <c r="AI43" i="3"/>
  <c r="AI44" i="3"/>
  <c r="AI311" i="3"/>
  <c r="AI40" i="3"/>
  <c r="AI45" i="3"/>
  <c r="AI325" i="3"/>
  <c r="AI358" i="3"/>
  <c r="AI281" i="3"/>
  <c r="AI288" i="3"/>
  <c r="AI262" i="3"/>
  <c r="AI263" i="3"/>
  <c r="AI333" i="3"/>
  <c r="AI268" i="3"/>
  <c r="AI334" i="3"/>
  <c r="AI267" i="3"/>
  <c r="AI275" i="3"/>
  <c r="AI289" i="3"/>
  <c r="AI350" i="3"/>
  <c r="AJ29" i="3"/>
  <c r="AI332" i="3"/>
  <c r="AI306" i="3"/>
  <c r="AI340" i="3"/>
  <c r="AI342" i="3"/>
  <c r="AI344" i="3"/>
  <c r="AI249" i="3"/>
  <c r="AJ343" i="3"/>
  <c r="AI254" i="3"/>
  <c r="AI260" i="3"/>
  <c r="AI290" i="3"/>
  <c r="AJ30" i="3"/>
  <c r="AI349" i="3"/>
  <c r="AI351" i="3"/>
  <c r="AJ31" i="3"/>
  <c r="AJ34" i="3"/>
  <c r="AJ35" i="3"/>
  <c r="AJ36" i="3"/>
  <c r="AJ37" i="3"/>
  <c r="AJ40" i="3"/>
  <c r="AJ45" i="3"/>
  <c r="AJ38" i="3"/>
  <c r="AJ43" i="3"/>
  <c r="AJ44" i="3"/>
  <c r="AJ311" i="3"/>
  <c r="AJ325" i="3"/>
  <c r="AJ358" i="3"/>
  <c r="AJ281" i="3"/>
  <c r="AJ288" i="3"/>
  <c r="AJ262" i="3"/>
  <c r="AJ263" i="3"/>
  <c r="AJ333" i="3"/>
  <c r="AJ268" i="3"/>
  <c r="AJ334" i="3"/>
  <c r="AJ306" i="3"/>
  <c r="AK29" i="3"/>
  <c r="AJ332" i="3"/>
  <c r="AJ350" i="3"/>
  <c r="AJ267" i="3"/>
  <c r="AJ275" i="3"/>
  <c r="AJ289" i="3"/>
  <c r="AL29" i="3"/>
  <c r="AJ340" i="3"/>
  <c r="AJ342" i="3"/>
  <c r="AJ344" i="3"/>
  <c r="AJ249" i="3"/>
  <c r="AK343" i="3"/>
  <c r="AK30" i="3"/>
  <c r="AJ349" i="3"/>
  <c r="AJ351" i="3"/>
  <c r="AJ254" i="3"/>
  <c r="AJ260" i="3"/>
  <c r="AJ290" i="3"/>
  <c r="AL30" i="3"/>
  <c r="AK31" i="3"/>
  <c r="AK34" i="3"/>
  <c r="AK35" i="3"/>
  <c r="AL31" i="3"/>
  <c r="AL34" i="3"/>
  <c r="AL35" i="3"/>
  <c r="AK36" i="3"/>
  <c r="AK37" i="3"/>
  <c r="AK38" i="3"/>
  <c r="AL37" i="3"/>
  <c r="AL38" i="3"/>
  <c r="AK40" i="3"/>
  <c r="AK45" i="3"/>
  <c r="AK311" i="3"/>
  <c r="AK43" i="3"/>
  <c r="AK44" i="3"/>
  <c r="AL36" i="3"/>
  <c r="AL311" i="3"/>
  <c r="AL325" i="3"/>
  <c r="AL41" i="3"/>
  <c r="AL43" i="3"/>
  <c r="AL42" i="3"/>
  <c r="AL44" i="3"/>
  <c r="AK325" i="3"/>
  <c r="AK358" i="3"/>
  <c r="AK281" i="3"/>
  <c r="AL226" i="3"/>
  <c r="AL40" i="3"/>
  <c r="AL45" i="3"/>
  <c r="AL222" i="3"/>
  <c r="AL358" i="3"/>
  <c r="AL345" i="3"/>
  <c r="AL347" i="3"/>
  <c r="AL281" i="3"/>
  <c r="AL288" i="3"/>
  <c r="AK288" i="3"/>
  <c r="AK268" i="3"/>
  <c r="AK262" i="3"/>
  <c r="AK263" i="3"/>
  <c r="AL306" i="3"/>
  <c r="AK350" i="3"/>
  <c r="AK306" i="3"/>
  <c r="AL262" i="3"/>
  <c r="AK332" i="3"/>
  <c r="AK267" i="3"/>
  <c r="AK275" i="3"/>
  <c r="AK289" i="3"/>
  <c r="AK334" i="3"/>
  <c r="AL334" i="3"/>
  <c r="AL268" i="3"/>
  <c r="AK333" i="3"/>
  <c r="AL333" i="3"/>
  <c r="AL263" i="3"/>
  <c r="AL228" i="3"/>
  <c r="AM228" i="3"/>
  <c r="AN228" i="3"/>
  <c r="AO228" i="3"/>
  <c r="AP228" i="3"/>
  <c r="AK340" i="3"/>
  <c r="AK342" i="3"/>
  <c r="AK344" i="3"/>
  <c r="AK249" i="3"/>
  <c r="AL332" i="3"/>
  <c r="AL340" i="3"/>
  <c r="AL342" i="3"/>
  <c r="AL344" i="3"/>
  <c r="AL350" i="3"/>
  <c r="AL267" i="3"/>
  <c r="AL275" i="3"/>
  <c r="AL289" i="3"/>
  <c r="AM29" i="3"/>
  <c r="AL249" i="3"/>
  <c r="AK349" i="3"/>
  <c r="AK351" i="3"/>
  <c r="AK254" i="3"/>
  <c r="AK260" i="3"/>
  <c r="AK290" i="3"/>
  <c r="AQ343" i="3"/>
  <c r="AM343" i="3"/>
  <c r="AL349" i="3"/>
  <c r="AL351" i="3"/>
  <c r="AL254" i="3"/>
  <c r="AL260" i="3"/>
  <c r="AL290" i="3"/>
  <c r="AL227" i="3"/>
  <c r="AM227" i="3"/>
  <c r="AN227" i="3"/>
  <c r="AO227" i="3"/>
  <c r="AP227" i="3"/>
  <c r="AM30" i="3"/>
  <c r="AM31" i="3"/>
  <c r="AM34" i="3"/>
  <c r="AM35" i="3"/>
  <c r="AM36" i="3"/>
  <c r="AM37" i="3"/>
  <c r="AM38" i="3"/>
  <c r="AM44" i="3"/>
  <c r="AM43" i="3"/>
  <c r="AM311" i="3"/>
  <c r="AM40" i="3"/>
  <c r="AM45" i="3"/>
  <c r="AM325" i="3"/>
  <c r="AM358" i="3"/>
  <c r="AM281" i="3"/>
  <c r="AM288" i="3"/>
  <c r="AM268" i="3"/>
  <c r="AM334" i="3"/>
  <c r="AM263" i="3"/>
  <c r="AM333" i="3"/>
  <c r="AM262" i="3"/>
  <c r="AN29" i="3"/>
  <c r="AM306" i="3"/>
  <c r="AM350" i="3"/>
  <c r="AM267" i="3"/>
  <c r="AM275" i="3"/>
  <c r="AM289" i="3"/>
  <c r="AM332" i="3"/>
  <c r="AM340" i="3"/>
  <c r="AM342" i="3"/>
  <c r="AM344" i="3"/>
  <c r="AM249" i="3"/>
  <c r="AN343" i="3"/>
  <c r="AN30" i="3"/>
  <c r="AM349" i="3"/>
  <c r="AM351" i="3"/>
  <c r="AM254" i="3"/>
  <c r="AM260" i="3"/>
  <c r="AM290" i="3"/>
  <c r="AN31" i="3"/>
  <c r="AN34" i="3"/>
  <c r="AN35" i="3"/>
  <c r="AN36" i="3"/>
  <c r="AN37" i="3"/>
  <c r="AN38" i="3"/>
  <c r="AN43" i="3"/>
  <c r="AN44" i="3"/>
  <c r="AN311" i="3"/>
  <c r="AN40" i="3"/>
  <c r="AN45" i="3"/>
  <c r="AN325" i="3"/>
  <c r="AN358" i="3"/>
  <c r="AN281" i="3"/>
  <c r="AN288" i="3"/>
  <c r="AN268" i="3"/>
  <c r="AN334" i="3"/>
  <c r="AN263" i="3"/>
  <c r="AN333" i="3"/>
  <c r="AN262" i="3"/>
  <c r="AN306" i="3"/>
  <c r="AN332" i="3"/>
  <c r="AO29" i="3"/>
  <c r="AN267" i="3"/>
  <c r="AN275" i="3"/>
  <c r="AN289" i="3"/>
  <c r="AN350" i="3"/>
  <c r="AN340" i="3"/>
  <c r="AN342" i="3"/>
  <c r="AN344" i="3"/>
  <c r="AO343" i="3"/>
  <c r="AN249" i="3"/>
  <c r="AO30" i="3"/>
  <c r="AN349" i="3"/>
  <c r="AN351" i="3"/>
  <c r="AN254" i="3"/>
  <c r="AN260" i="3"/>
  <c r="AN290" i="3"/>
  <c r="AO31" i="3"/>
  <c r="AO34" i="3"/>
  <c r="AO35" i="3"/>
  <c r="AO36" i="3"/>
  <c r="AO37" i="3"/>
  <c r="AO40" i="3"/>
  <c r="AO45" i="3"/>
  <c r="AO38" i="3"/>
  <c r="AO44" i="3"/>
  <c r="AO43" i="3"/>
  <c r="AO311" i="3"/>
  <c r="AO325" i="3"/>
  <c r="AO358" i="3"/>
  <c r="AO281" i="3"/>
  <c r="AO288" i="3"/>
  <c r="AO263" i="3"/>
  <c r="AO333" i="3"/>
  <c r="AO268" i="3"/>
  <c r="AO334" i="3"/>
  <c r="AO262" i="3"/>
  <c r="AO306" i="3"/>
  <c r="AP29" i="3"/>
  <c r="AO267" i="3"/>
  <c r="AO275" i="3"/>
  <c r="AO289" i="3"/>
  <c r="AO332" i="3"/>
  <c r="AO350" i="3"/>
  <c r="AQ29" i="3"/>
  <c r="AO340" i="3"/>
  <c r="AO342" i="3"/>
  <c r="AO344" i="3"/>
  <c r="AP343" i="3"/>
  <c r="AO249" i="3"/>
  <c r="AP30" i="3"/>
  <c r="AO254" i="3"/>
  <c r="AO260" i="3"/>
  <c r="AO290" i="3"/>
  <c r="AO349" i="3"/>
  <c r="AO351" i="3"/>
  <c r="AQ30" i="3"/>
  <c r="AP31" i="3"/>
  <c r="AP34" i="3"/>
  <c r="AP35" i="3"/>
  <c r="AQ31" i="3"/>
  <c r="AQ34" i="3"/>
  <c r="AQ35" i="3"/>
  <c r="AP36" i="3"/>
  <c r="AP37" i="3"/>
  <c r="AP38" i="3"/>
  <c r="AP44" i="3"/>
  <c r="AP43" i="3"/>
  <c r="AP311" i="3"/>
  <c r="AQ37" i="3"/>
  <c r="AP40" i="3"/>
  <c r="AP45" i="3"/>
  <c r="AQ36" i="3"/>
  <c r="AQ226" i="3"/>
  <c r="AQ40" i="3"/>
  <c r="AQ38" i="3"/>
  <c r="AP325" i="3"/>
  <c r="AP358" i="3"/>
  <c r="AP281" i="3"/>
  <c r="AQ311" i="3"/>
  <c r="AQ325" i="3"/>
  <c r="AQ42" i="3"/>
  <c r="AQ45" i="3"/>
  <c r="AQ222" i="3"/>
  <c r="AQ41" i="3"/>
  <c r="AQ43" i="3"/>
  <c r="AP288" i="3"/>
  <c r="AQ281" i="3"/>
  <c r="AQ288" i="3"/>
  <c r="AQ358" i="3"/>
  <c r="AQ345" i="3"/>
  <c r="AQ347" i="3"/>
  <c r="C396" i="3"/>
  <c r="AQ44" i="3"/>
  <c r="AP268" i="3"/>
  <c r="AP263" i="3"/>
  <c r="AP262" i="3"/>
  <c r="AQ263" i="3"/>
  <c r="AP333" i="3"/>
  <c r="AQ333" i="3"/>
  <c r="AP334" i="3"/>
  <c r="AQ334" i="3"/>
  <c r="AQ268" i="3"/>
  <c r="AQ306" i="3"/>
  <c r="AP350" i="3"/>
  <c r="AP306" i="3"/>
  <c r="AP332" i="3"/>
  <c r="AP267" i="3"/>
  <c r="AP275" i="3"/>
  <c r="AP289" i="3"/>
  <c r="AQ262" i="3"/>
  <c r="C395" i="3"/>
  <c r="C398" i="3"/>
  <c r="C372" i="3"/>
  <c r="AQ350" i="3"/>
  <c r="AQ267" i="3"/>
  <c r="AQ275" i="3"/>
  <c r="AQ289" i="3"/>
  <c r="AP340" i="3"/>
  <c r="AP342" i="3"/>
  <c r="AP344" i="3"/>
  <c r="AP249" i="3"/>
  <c r="AQ332" i="3"/>
  <c r="AQ340" i="3"/>
  <c r="AQ342" i="3"/>
  <c r="AQ344" i="3"/>
  <c r="AQ228" i="3"/>
  <c r="C7" i="3"/>
  <c r="C8" i="3"/>
  <c r="C408" i="3"/>
  <c r="AP254" i="3"/>
  <c r="AP260" i="3"/>
  <c r="AP290" i="3"/>
  <c r="AP349" i="3"/>
  <c r="AP351" i="3"/>
  <c r="AQ249" i="3"/>
  <c r="C9" i="3"/>
  <c r="AQ349" i="3"/>
  <c r="AQ351" i="3"/>
  <c r="AQ254" i="3"/>
  <c r="AQ260" i="3"/>
  <c r="AQ290" i="3"/>
  <c r="AQ22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GE User</author>
    <author>Owner</author>
  </authors>
  <commentList>
    <comment ref="W18" authorId="0" shapeId="0" xr:uid="{5571E9B1-1654-4F63-B66C-731AAF5EEC45}">
      <text>
        <r>
          <rPr>
            <sz val="9"/>
            <color indexed="81"/>
            <rFont val="Tahoma"/>
            <family val="2"/>
          </rPr>
          <t>Management guided depreciation &amp; amortization expense to ~$3B. 
Source: F4Q2018 earnings call 6/19/2018</t>
        </r>
      </text>
    </comment>
    <comment ref="S29" authorId="0" shapeId="0" xr:uid="{87CC66F6-0ED2-439B-B649-76B746E1E333}">
      <text>
        <r>
          <rPr>
            <sz val="9"/>
            <color indexed="81"/>
            <rFont val="Tahoma"/>
            <family val="2"/>
          </rPr>
          <t>From the 10-Q Supplemental Cash Flow information</t>
        </r>
      </text>
    </comment>
    <comment ref="W42" authorId="0" shapeId="0" xr:uid="{C66305EE-A86D-4D8D-A560-A89657FE1417}">
      <text>
        <r>
          <rPr>
            <sz val="9"/>
            <color indexed="81"/>
            <rFont val="Tahoma"/>
            <family val="2"/>
          </rPr>
          <t>Management's guidance for the expected TNT integration expense of $425M or $1.35 per share implies a FY2019 share count of 270M shares.
Original Source: F4Q2018 earnings call 6/19/2018
Reaffirmed: F1Q2019 earnings call 9/17/2018</t>
        </r>
      </text>
    </comment>
    <comment ref="W45" authorId="0" shapeId="0" xr:uid="{EE093795-DD6B-465A-BD6D-B908ACB7545E}">
      <text>
        <r>
          <rPr>
            <sz val="9"/>
            <color indexed="81"/>
            <rFont val="Tahoma"/>
            <family val="2"/>
          </rPr>
          <t xml:space="preserve">Management guided FY2019 diluted EPS excluding the MTM retirement adjustment and TNT Integration expense between $17.20 and $17.80.
Source: F1Q2019 earnings call 9/17/2018
</t>
        </r>
        <r>
          <rPr>
            <b/>
            <sz val="9"/>
            <color indexed="81"/>
            <rFont val="Tahoma"/>
            <family val="2"/>
          </rPr>
          <t>Historic Guidance:</t>
        </r>
        <r>
          <rPr>
            <sz val="9"/>
            <color indexed="81"/>
            <rFont val="Tahoma"/>
            <family val="2"/>
          </rPr>
          <t xml:space="preserve">
Management guided FY2019 diluted EPS excluding the MTM retirement adjustment and TNT Integration expense between $17.00 and $17.60.
Source: F4Q2018 earnings call 6/19/2018</t>
        </r>
      </text>
    </comment>
    <comment ref="AB73" authorId="0" shapeId="0" xr:uid="{9C006694-3409-415F-9E54-4E554D5B3CDC}">
      <text>
        <r>
          <rPr>
            <sz val="9"/>
            <color indexed="81"/>
            <rFont val="Tahoma"/>
            <family val="2"/>
          </rPr>
          <t xml:space="preserve">Management guided FY2020 Express Operating Income increase of $1.2B to $1.5B from FY2017 results.
Source: F4Q2018 earnings call 6/19/2018
Reaffirmed in F1Q2019 earnings press release on 9/17/2018. </t>
        </r>
      </text>
    </comment>
    <comment ref="B134"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8" authorId="0" shapeId="0" xr:uid="{2A45B567-F809-4920-A9D3-2F54BCE0737F}">
      <text>
        <r>
          <rPr>
            <sz val="9"/>
            <color indexed="81"/>
            <rFont val="Tahoma"/>
            <family val="2"/>
          </rPr>
          <t>Use this to back into total Ground Revenue</t>
        </r>
      </text>
    </comment>
    <comment ref="B176"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80"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92" authorId="0" shapeId="0" xr:uid="{EE63B956-6130-4B3C-87DF-980FAF4034B9}">
      <text>
        <r>
          <rPr>
            <sz val="9"/>
            <color indexed="81"/>
            <rFont val="Tahoma"/>
            <family val="2"/>
          </rPr>
          <t>Must remain above 80%</t>
        </r>
      </text>
    </comment>
    <comment ref="B194"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201"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202" authorId="0" shapeId="0" xr:uid="{00C6529B-8D50-4D47-9F99-A2D755164665}">
      <text>
        <r>
          <rPr>
            <sz val="9"/>
            <color indexed="81"/>
            <rFont val="Tahoma"/>
            <family val="2"/>
          </rPr>
          <t>Higher due to impact of TNT acquisition.</t>
        </r>
      </text>
    </comment>
    <comment ref="H204" authorId="0" shapeId="0" xr:uid="{579AF088-4783-4311-BFFE-0D2B3FB84AEC}">
      <text>
        <r>
          <rPr>
            <sz val="9"/>
            <color indexed="81"/>
            <rFont val="Tahoma"/>
            <family val="2"/>
          </rPr>
          <t>Actual return of 1.2% was lower than the expected return of 6.5%.</t>
        </r>
      </text>
    </comment>
    <comment ref="M204" authorId="0" shapeId="0" xr:uid="{6F52A86F-22B4-433C-BAB7-988446472BB8}">
      <text>
        <r>
          <rPr>
            <sz val="9"/>
            <color indexed="81"/>
            <rFont val="Tahoma"/>
            <family val="2"/>
          </rPr>
          <t>Actual return of 9.6% was higher than the expected return of 6.5%.</t>
        </r>
      </text>
    </comment>
    <comment ref="R204" authorId="0" shapeId="0" xr:uid="{6112CCD8-BB97-4372-AFE6-D6BE29FBC3C7}">
      <text>
        <r>
          <rPr>
            <sz val="9"/>
            <color indexed="81"/>
            <rFont val="Tahoma"/>
            <family val="2"/>
          </rPr>
          <t>Actual return of 6.3% was lower than the expected return of 6.5%.</t>
        </r>
      </text>
    </comment>
    <comment ref="R205" authorId="0" shapeId="0" xr:uid="{49775B38-CF18-4788-9408-5FB01CF39DDE}">
      <text>
        <r>
          <rPr>
            <sz val="9"/>
            <color indexed="81"/>
            <rFont val="Tahoma"/>
            <family val="2"/>
          </rPr>
          <t>MetLife group annuity contract transfered ~$6 billion of U.S. Pension Plan obligations.</t>
        </r>
      </text>
    </comment>
    <comment ref="H206" authorId="0" shapeId="0" xr:uid="{CEF0FA89-F20D-41AE-9E93-C58B17A8AF6D}">
      <text>
        <r>
          <rPr>
            <sz val="9"/>
            <color indexed="81"/>
            <rFont val="Tahoma"/>
            <family val="2"/>
          </rPr>
          <t xml:space="preserve">Discount rate decreased from 4.38% in 2015 to 4.04% in 2016. </t>
        </r>
      </text>
    </comment>
    <comment ref="M206" authorId="0" shapeId="0" xr:uid="{F0607158-74C8-4FF0-AFC2-216C98ACEAB5}">
      <text>
        <r>
          <rPr>
            <sz val="9"/>
            <color indexed="81"/>
            <rFont val="Tahoma"/>
            <family val="2"/>
          </rPr>
          <t xml:space="preserve">Discount rate decreased from 4.04% in 2016 to 3.98% in 2017. </t>
        </r>
      </text>
    </comment>
    <comment ref="R206" authorId="0" shapeId="0" xr:uid="{96027B91-4C12-4F59-AEA2-AAC007039DD9}">
      <text>
        <r>
          <rPr>
            <sz val="9"/>
            <color indexed="81"/>
            <rFont val="Tahoma"/>
            <family val="2"/>
          </rPr>
          <t xml:space="preserve">Discount rate decreased from 3.98% in 2017 to 4.11% in 2018. </t>
        </r>
      </text>
    </comment>
    <comment ref="H207" authorId="0" shapeId="0" xr:uid="{A99056AB-32FE-402B-BF36-E4AE1767997F}">
      <text>
        <r>
          <rPr>
            <sz val="9"/>
            <color indexed="81"/>
            <rFont val="Tahoma"/>
            <family val="2"/>
          </rPr>
          <t>Impact of updated Mortality Tables.</t>
        </r>
      </text>
    </comment>
    <comment ref="M207" authorId="0" shapeId="0" xr:uid="{875E1C91-C4F4-44FB-80B8-A18DFE1F39AD}">
      <text>
        <r>
          <rPr>
            <sz val="9"/>
            <color indexed="81"/>
            <rFont val="Tahoma"/>
            <family val="2"/>
          </rPr>
          <t>Impact of updated Mortality Tables.</t>
        </r>
      </text>
    </comment>
    <comment ref="R207" authorId="0" shapeId="0" xr:uid="{25E04B8A-AFF1-4D8A-8087-E07CC38AB02C}">
      <text>
        <r>
          <rPr>
            <sz val="9"/>
            <color indexed="81"/>
            <rFont val="Tahoma"/>
            <family val="2"/>
          </rPr>
          <t>Impact of updated Mortality Tables.</t>
        </r>
      </text>
    </comment>
    <comment ref="W211" authorId="0" shapeId="0" xr:uid="{1EF73BCE-1A83-490F-B98E-297FD69CCC2E}">
      <text>
        <r>
          <rPr>
            <sz val="9"/>
            <color indexed="81"/>
            <rFont val="Tahoma"/>
            <family val="2"/>
          </rPr>
          <t>Last disclosed in May-2018 10-K</t>
        </r>
      </text>
    </comment>
    <comment ref="B213"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W214" authorId="0" shapeId="0" xr:uid="{FF8BA979-9ECC-4F80-BCF9-593BABE9E93C}">
      <text>
        <r>
          <rPr>
            <sz val="9"/>
            <color indexed="81"/>
            <rFont val="Tahoma"/>
            <family val="2"/>
          </rPr>
          <t>Last disclosed in May-2018 10-K</t>
        </r>
      </text>
    </comment>
    <comment ref="B217"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W219" authorId="0" shapeId="0" xr:uid="{259E0A5B-753A-444B-9EF2-1562975E61FE}">
      <text>
        <r>
          <rPr>
            <sz val="9"/>
            <color indexed="81"/>
            <rFont val="Tahoma"/>
            <family val="2"/>
          </rPr>
          <t>Management guided FY2019 revenue growth to ~9% 
Original Source: F4Q2018 earnings call 6/19/2018
Reaffirmed on: F1Q2019 earnings call 9/17/2018</t>
        </r>
      </text>
    </comment>
    <comment ref="W221" authorId="0" shapeId="0" xr:uid="{49404006-C1DB-4F42-BD5A-764744382BFA}">
      <text>
        <r>
          <rPr>
            <sz val="9"/>
            <color indexed="81"/>
            <rFont val="Tahoma"/>
            <family val="2"/>
          </rPr>
          <t>Management guided FY2019 operating margin to ~7.9% and 8.5% excluding TNT integration costs. 
Original Source: F4Q2018 earnings call 6/19/2018
Reaffirmed on: F1Q2019 earnings call 9/17/2018</t>
        </r>
      </text>
    </comment>
    <comment ref="W238" authorId="0" shapeId="0" xr:uid="{112C2E22-9290-4A83-A85C-6EE76FEC8811}">
      <text>
        <r>
          <rPr>
            <sz val="9"/>
            <color indexed="81"/>
            <rFont val="Tahoma"/>
            <family val="2"/>
          </rPr>
          <t>Management guided TNT integration expense to $450M $365M net of tax effect.
Source: F1Q2019 earnings call 9/17/2018</t>
        </r>
      </text>
    </comment>
    <comment ref="W239" authorId="0" shapeId="0" xr:uid="{66B38228-13A3-4CA3-8FE8-7DD42B8F9490}">
      <text>
        <r>
          <rPr>
            <sz val="9"/>
            <color indexed="81"/>
            <rFont val="Tahoma"/>
            <family val="2"/>
          </rPr>
          <t>Management guided TNT integration expense to $450M $365M net of tax effect.
Source: F1Q2019 earnings call 9/17/2018</t>
        </r>
      </text>
    </comment>
    <comment ref="B306"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W327" authorId="0" shapeId="0" xr:uid="{66A64359-4E7E-442B-8289-5E351FE151F7}">
      <text>
        <r>
          <rPr>
            <sz val="9"/>
            <color indexed="81"/>
            <rFont val="Tahoma"/>
            <family val="2"/>
          </rPr>
          <t>Management guided FY2019 capex to $5.6B or ~8% of revenue.
Original Source: F4Q2018 earnings call 6/19/2018
Reaffirmed: F1Q2019 earnings call 9/17/2018</t>
        </r>
      </text>
    </comment>
    <comment ref="B345" authorId="0" shapeId="0" xr:uid="{FA95C4A7-0B69-4F13-92E4-DBC34B46CEE3}">
      <text>
        <r>
          <rPr>
            <sz val="9"/>
            <color indexed="81"/>
            <rFont val="Tahoma"/>
            <family val="2"/>
          </rPr>
          <t>Cash Flow from Operations - Capital Expenditures + After tax Interest Expense</t>
        </r>
      </text>
    </comment>
    <comment ref="C395" authorId="1" shapeId="0" xr:uid="{00000000-0006-0000-0200-000053000000}">
      <text>
        <r>
          <rPr>
            <b/>
            <sz val="9"/>
            <color indexed="81"/>
            <rFont val="Tahoma"/>
            <family val="2"/>
          </rPr>
          <t>Equation:
CFO:</t>
        </r>
        <r>
          <rPr>
            <sz val="9"/>
            <color indexed="81"/>
            <rFont val="Tahoma"/>
            <family val="2"/>
          </rPr>
          <t xml:space="preserve"> [CFO x (1 + Constant CFO growth rate)] 
</t>
        </r>
        <r>
          <rPr>
            <b/>
            <sz val="9"/>
            <color indexed="81"/>
            <rFont val="Tahoma"/>
            <family val="2"/>
          </rPr>
          <t>Minus Capex:</t>
        </r>
        <r>
          <rPr>
            <sz val="9"/>
            <color indexed="81"/>
            <rFont val="Tahoma"/>
            <family val="2"/>
          </rPr>
          <t xml:space="preserve"> [(Average Capex to sales ratio) x [Sales x (1 + Constant Sales growth rate)]
</t>
        </r>
        <r>
          <rPr>
            <b/>
            <sz val="9"/>
            <color indexed="81"/>
            <rFont val="Tahoma"/>
            <family val="2"/>
          </rPr>
          <t>Plus after-tax cost of debt:</t>
        </r>
        <r>
          <rPr>
            <sz val="9"/>
            <color indexed="81"/>
            <rFont val="Tahoma"/>
            <family val="2"/>
          </rPr>
          <t xml:space="preserve"> [After tax cost of debt x Long-Term debt] </t>
        </r>
      </text>
    </comment>
    <comment ref="C397" authorId="2" shapeId="0" xr:uid="{00000000-0006-0000-0200-000054000000}">
      <text>
        <r>
          <rPr>
            <sz val="9"/>
            <color indexed="81"/>
            <rFont val="Tahoma"/>
            <family val="2"/>
          </rPr>
          <t xml:space="preserve">This adds back cash and removes debt from the enterprise value to arrive at the equity only value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431FD0B0-2B9F-4900-8614-4831614FCA0F}">
      <text>
        <r>
          <rPr>
            <sz val="9"/>
            <color indexed="81"/>
            <rFont val="Tahoma"/>
            <family val="2"/>
          </rPr>
          <t>Copy/paste special values before the next earnings release.</t>
        </r>
      </text>
    </comment>
    <comment ref="F7" authorId="0" shapeId="0" xr:uid="{0D16AEBF-60CF-4840-9536-5E8C105BFE9F}">
      <text>
        <r>
          <rPr>
            <sz val="9"/>
            <color indexed="81"/>
            <rFont val="Tahoma"/>
            <family val="2"/>
          </rPr>
          <t>To be updated after the next earnings release.</t>
        </r>
      </text>
    </comment>
    <comment ref="J7" authorId="0" shapeId="0" xr:uid="{7CC788D5-4886-4977-9658-92AB885A0E29}">
      <text>
        <r>
          <rPr>
            <sz val="9"/>
            <color indexed="81"/>
            <rFont val="Tahoma"/>
            <family val="2"/>
          </rPr>
          <t>Copy/paste special values before the next earnings release.</t>
        </r>
      </text>
    </comment>
    <comment ref="M7" authorId="0" shapeId="0" xr:uid="{F72C32C7-D973-4F67-A8EE-3302AC40F0FF}">
      <text>
        <r>
          <rPr>
            <sz val="9"/>
            <color indexed="81"/>
            <rFont val="Tahoma"/>
            <family val="2"/>
          </rPr>
          <t>Copy/paste special values before the next earnings release.</t>
        </r>
      </text>
    </comment>
    <comment ref="P7" authorId="0" shapeId="0" xr:uid="{A2E99635-D792-408E-8A5D-8B5801A143B0}">
      <text>
        <r>
          <rPr>
            <sz val="9"/>
            <color indexed="81"/>
            <rFont val="Tahoma"/>
            <family val="2"/>
          </rPr>
          <t>Copy/paste special values before the next earnings release.</t>
        </r>
      </text>
    </comment>
    <comment ref="S7" authorId="0" shapeId="0" xr:uid="{02B9E770-A668-4A92-AC6C-6E002E92C3D9}">
      <text>
        <r>
          <rPr>
            <sz val="9"/>
            <color indexed="81"/>
            <rFont val="Tahoma"/>
            <family val="2"/>
          </rPr>
          <t>Copy/paste special values before the next earnings release.</t>
        </r>
      </text>
    </comment>
    <comment ref="I20" authorId="0" shapeId="0" xr:uid="{FC446C40-EED3-4514-B0A8-6A6D2ADD0BA4}">
      <text>
        <r>
          <rPr>
            <sz val="9"/>
            <color indexed="81"/>
            <rFont val="Tahoma"/>
            <family val="2"/>
          </rPr>
          <t>Consensus will not update automatically. After the release pull the new consensus estimates after Analysts have updated their models.</t>
        </r>
      </text>
    </comment>
    <comment ref="J20" authorId="0" shapeId="0" xr:uid="{6BEBB996-0F66-41AE-9A35-B1EF29934E57}">
      <text>
        <r>
          <rPr>
            <sz val="9"/>
            <color indexed="81"/>
            <rFont val="Tahoma"/>
            <family val="2"/>
          </rPr>
          <t>Cells are linked to the model. Values will change after the release as the model is updated.</t>
        </r>
      </text>
    </comment>
    <comment ref="M20" authorId="0" shapeId="0" xr:uid="{16ABF093-CB76-4ED6-B8D6-359FB4F0C1AD}">
      <text>
        <r>
          <rPr>
            <sz val="9"/>
            <color indexed="81"/>
            <rFont val="Tahoma"/>
            <family val="2"/>
          </rPr>
          <t>Cells are linked to the model. Values will change after the release as the model is updated.</t>
        </r>
      </text>
    </comment>
    <comment ref="P20" authorId="0" shapeId="0" xr:uid="{FC95F62F-A5C5-4FDB-ADBD-2E1C4219CFC2}">
      <text>
        <r>
          <rPr>
            <sz val="9"/>
            <color indexed="81"/>
            <rFont val="Tahoma"/>
            <family val="2"/>
          </rPr>
          <t>Cells are linked to the model. Values will change after the release as the model is updated.</t>
        </r>
      </text>
    </comment>
    <comment ref="S20" authorId="0" shapeId="0" xr:uid="{A2FEDF5D-7EA0-416F-B73A-7A5D91C08533}">
      <text>
        <r>
          <rPr>
            <sz val="9"/>
            <color indexed="81"/>
            <rFont val="Tahoma"/>
            <family val="2"/>
          </rPr>
          <t>Cells are linked to the model. Values will change after the release as the model is updated.</t>
        </r>
      </text>
    </comment>
    <comment ref="E32" authorId="0" shapeId="0" xr:uid="{68D95508-7093-4520-88EF-E51EF67898D3}">
      <text>
        <r>
          <rPr>
            <sz val="9"/>
            <color indexed="81"/>
            <rFont val="Tahoma"/>
            <family val="2"/>
          </rPr>
          <t>This section compares the Actual results against the consensus estimates and our model forecast estimates.</t>
        </r>
      </text>
    </comment>
    <comment ref="H32" authorId="0" shapeId="0" xr:uid="{BB4E247F-B92F-4A9B-997D-2BD181C66EEE}">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7" authorId="0" shapeId="0" xr:uid="{A01E0047-1F3B-4184-87CB-23C27F632E70}">
      <text>
        <r>
          <rPr>
            <sz val="9"/>
            <color indexed="81"/>
            <rFont val="Tahoma"/>
            <family val="2"/>
          </rPr>
          <t>Copy/paste special values before the next earnings release.</t>
        </r>
      </text>
    </comment>
    <comment ref="F7" authorId="0" shapeId="0" xr:uid="{68237BF9-C56C-40AE-BD0D-401A65884045}">
      <text>
        <r>
          <rPr>
            <sz val="9"/>
            <color indexed="81"/>
            <rFont val="Tahoma"/>
            <family val="2"/>
          </rPr>
          <t>To be updated after the next earnings release.</t>
        </r>
      </text>
    </comment>
    <comment ref="J7" authorId="0" shapeId="0" xr:uid="{62868D80-DFB2-4775-893B-2475C05A56A7}">
      <text>
        <r>
          <rPr>
            <sz val="9"/>
            <color indexed="81"/>
            <rFont val="Tahoma"/>
            <family val="2"/>
          </rPr>
          <t>Copy/paste special values before the next earnings release.</t>
        </r>
      </text>
    </comment>
    <comment ref="M7" authorId="0" shapeId="0" xr:uid="{1BC15715-6445-4BA1-9389-90A825CD4F93}">
      <text>
        <r>
          <rPr>
            <sz val="9"/>
            <color indexed="81"/>
            <rFont val="Tahoma"/>
            <family val="2"/>
          </rPr>
          <t>Copy/paste special values before the next earnings release.</t>
        </r>
      </text>
    </comment>
    <comment ref="P7" authorId="0" shapeId="0" xr:uid="{89EC3991-C938-47A0-8F06-52D73AA04710}">
      <text>
        <r>
          <rPr>
            <sz val="9"/>
            <color indexed="81"/>
            <rFont val="Tahoma"/>
            <family val="2"/>
          </rPr>
          <t>Copy/paste special values before the next earnings release.</t>
        </r>
      </text>
    </comment>
    <comment ref="S7" authorId="0" shapeId="0" xr:uid="{9CB28DE1-1C2E-4FD6-B9E8-A2B3EDD2B064}">
      <text>
        <r>
          <rPr>
            <sz val="9"/>
            <color indexed="81"/>
            <rFont val="Tahoma"/>
            <family val="2"/>
          </rPr>
          <t>Copy/paste special values before the next earnings release.</t>
        </r>
      </text>
    </comment>
    <comment ref="I20" authorId="0" shapeId="0" xr:uid="{C8AFC9B5-30E7-436D-A1B6-7C9EA17220D0}">
      <text>
        <r>
          <rPr>
            <sz val="9"/>
            <color indexed="81"/>
            <rFont val="Tahoma"/>
            <family val="2"/>
          </rPr>
          <t>Consensus will not update automatically. After the release pull the new consensus estimates after Analysts have updated their models.</t>
        </r>
      </text>
    </comment>
    <comment ref="J20" authorId="0" shapeId="0" xr:uid="{96BF3970-8392-4CA6-9EBF-FE9D29FC5ED1}">
      <text>
        <r>
          <rPr>
            <sz val="9"/>
            <color indexed="81"/>
            <rFont val="Tahoma"/>
            <family val="2"/>
          </rPr>
          <t>Cells are linked to the model. Values will change after the release as the model is updated.</t>
        </r>
      </text>
    </comment>
    <comment ref="M20" authorId="0" shapeId="0" xr:uid="{D23420D4-CD24-4549-9D57-A415D7235F46}">
      <text>
        <r>
          <rPr>
            <sz val="9"/>
            <color indexed="81"/>
            <rFont val="Tahoma"/>
            <family val="2"/>
          </rPr>
          <t>Cells are linked to the model. Values will change after the release as the model is updated.</t>
        </r>
      </text>
    </comment>
    <comment ref="P20" authorId="0" shapeId="0" xr:uid="{E220AA1B-BE0A-4DB6-A330-DB0123002C6F}">
      <text>
        <r>
          <rPr>
            <sz val="9"/>
            <color indexed="81"/>
            <rFont val="Tahoma"/>
            <family val="2"/>
          </rPr>
          <t>Cells are linked to the model. Values will change after the release as the model is updated.</t>
        </r>
      </text>
    </comment>
    <comment ref="S20" authorId="0" shapeId="0" xr:uid="{BA97E4AC-D545-40D3-82CA-BA4C858101DF}">
      <text>
        <r>
          <rPr>
            <sz val="9"/>
            <color indexed="81"/>
            <rFont val="Tahoma"/>
            <family val="2"/>
          </rPr>
          <t>Cells are linked to the model. Values will change after the release as the model is updated.</t>
        </r>
      </text>
    </comment>
    <comment ref="E32" authorId="0" shapeId="0" xr:uid="{B6F70674-C017-432A-A858-79DB01486AE6}">
      <text>
        <r>
          <rPr>
            <sz val="9"/>
            <color indexed="81"/>
            <rFont val="Tahoma"/>
            <family val="2"/>
          </rPr>
          <t>This section compares the Actual results against the consensus estimates and our model forecast estimates.</t>
        </r>
      </text>
    </comment>
    <comment ref="H32" authorId="0" shapeId="0" xr:uid="{AA0CBE35-D210-4633-A739-15C743FE0127}">
      <text>
        <r>
          <rPr>
            <sz val="9"/>
            <color indexed="81"/>
            <rFont val="Tahoma"/>
            <family val="2"/>
          </rPr>
          <t>The last four columns will compare the original consensus and model forecast for the next forecast quarters before the release, to the new forecasts after the release.</t>
        </r>
      </text>
    </comment>
  </commentList>
</comments>
</file>

<file path=xl/sharedStrings.xml><?xml version="1.0" encoding="utf-8"?>
<sst xmlns="http://schemas.openxmlformats.org/spreadsheetml/2006/main" count="1839" uniqueCount="762">
  <si>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</si>
  <si>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</si>
  <si>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</si>
  <si>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</si>
  <si>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</si>
  <si>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</si>
  <si>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</si>
  <si>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</si>
  <si>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</si>
  <si>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</si>
  <si>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</si>
  <si>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</si>
  <si>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</si>
  <si>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</si>
  <si>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</si>
  <si>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</si>
  <si>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</si>
  <si>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</si>
  <si>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</si>
  <si>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</si>
  <si>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</si>
  <si>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</si>
  <si>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</si>
  <si>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</si>
  <si>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</si>
  <si>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</si>
  <si>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</si>
  <si>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</si>
  <si>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</si>
  <si>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</si>
  <si>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</si>
  <si>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</si>
  <si>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</si>
  <si>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Shares outstanding</t>
  </si>
  <si>
    <t>Market Capitalization ($M)</t>
  </si>
  <si>
    <t>Equity market risk premium</t>
  </si>
  <si>
    <t>Required return on equity (CAPM)</t>
  </si>
  <si>
    <t>Equity to total capital</t>
  </si>
  <si>
    <t>Average cost of debt</t>
  </si>
  <si>
    <t xml:space="preserve">After tax cost of debt </t>
  </si>
  <si>
    <t>P/E used for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</si>
  <si>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</si>
  <si>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</si>
  <si>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</si>
  <si>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</si>
  <si>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</si>
  <si>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</si>
  <si>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</si>
  <si>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</si>
  <si>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</si>
  <si>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</si>
  <si>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</si>
  <si>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Beta (relative to the S&amp;P500)</t>
  </si>
  <si>
    <t>Revenue growth (in perpetuity)</t>
  </si>
  <si>
    <t>Constant CFO growth rate</t>
  </si>
  <si>
    <t>DCF Valuation</t>
  </si>
  <si>
    <t xml:space="preserve">Net income </t>
  </si>
  <si>
    <t xml:space="preserve">Basic EPS </t>
  </si>
  <si>
    <t xml:space="preserve">Diluted EPS </t>
  </si>
  <si>
    <t>P/E 3-month high</t>
  </si>
  <si>
    <t>P/E 3-month low</t>
  </si>
  <si>
    <t>DCF Period (approximate number of years)</t>
  </si>
  <si>
    <t xml:space="preserve">Plus cash/(debt) per share </t>
  </si>
  <si>
    <t>P/E 3-month average (a)</t>
  </si>
  <si>
    <t>(d) Assumes constant networking capital in the constant growth stage.
(e) Assumes debt balance and interest expense remains constant in the constant growth stage, and that book value of debt approximates fair value.</t>
  </si>
  <si>
    <t>Implied P/E 12-month target value</t>
  </si>
  <si>
    <t>Implied DCF 12-month target value</t>
  </si>
  <si>
    <t>Total operating expenses</t>
  </si>
  <si>
    <t>Change in basic shares  (excluding repurchases)</t>
  </si>
  <si>
    <t>Change in diluted shares  (excluding repurchases)</t>
  </si>
  <si>
    <t>Consensus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</si>
  <si>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</si>
  <si>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</si>
  <si>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</si>
  <si>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</si>
  <si>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</si>
  <si>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</si>
  <si>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</si>
  <si>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</si>
  <si>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</si>
  <si>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</si>
  <si>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</si>
  <si>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</si>
  <si>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</si>
  <si>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</si>
  <si>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</si>
  <si>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</si>
  <si>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</si>
  <si>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</si>
  <si>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</si>
  <si>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</si>
  <si>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</si>
  <si>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</si>
  <si>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Quarterly Consensus Estimates</t>
  </si>
  <si>
    <t>Metric</t>
  </si>
  <si>
    <t># of Analysts</t>
  </si>
  <si>
    <t>Annual Consensus Estimates</t>
  </si>
  <si>
    <t>FY2019E</t>
  </si>
  <si>
    <t>FY2020E</t>
  </si>
  <si>
    <t>EBITDA</t>
  </si>
  <si>
    <t>Mean monthly return</t>
  </si>
  <si>
    <t xml:space="preserve">Standard deviation </t>
  </si>
  <si>
    <t>Implied upper bound</t>
  </si>
  <si>
    <t>Implied Lower bound</t>
  </si>
  <si>
    <t>Implied target value</t>
  </si>
  <si>
    <t>Implied 50/50 average target value</t>
  </si>
  <si>
    <t>Risk Estimation Summary (g)</t>
  </si>
  <si>
    <t xml:space="preserve">Implied target price band </t>
  </si>
  <si>
    <t>Stage 2 Long-Term WACC (f)</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</si>
  <si>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</si>
  <si>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</si>
  <si>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</si>
  <si>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</si>
  <si>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</si>
  <si>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</si>
  <si>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</si>
  <si>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</si>
  <si>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</si>
  <si>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</si>
  <si>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</si>
  <si>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</si>
  <si>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</si>
  <si>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</si>
  <si>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</si>
  <si>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</si>
  <si>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</si>
  <si>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</si>
  <si>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</si>
  <si>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</si>
  <si>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</si>
  <si>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</si>
  <si>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</si>
  <si>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</si>
  <si>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</si>
  <si>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</si>
  <si>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</si>
  <si>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</si>
  <si>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</si>
  <si>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</si>
  <si>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</si>
  <si>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</si>
  <si>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</si>
  <si>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</si>
  <si>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</si>
  <si>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</si>
  <si>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</si>
  <si>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</si>
  <si>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</si>
  <si>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</si>
  <si>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</si>
  <si>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</si>
  <si>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</si>
  <si>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</si>
  <si>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</si>
  <si>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</si>
  <si>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</si>
  <si>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</si>
  <si>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</si>
  <si>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</si>
  <si>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</si>
  <si>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</si>
  <si>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</si>
  <si>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</si>
  <si>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</si>
  <si>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</si>
  <si>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</si>
  <si>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</si>
  <si>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</si>
  <si>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</si>
  <si>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</si>
  <si>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</si>
  <si>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</si>
  <si>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</si>
  <si>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</si>
  <si>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</si>
  <si>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</si>
  <si>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</si>
  <si>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</si>
  <si>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</si>
  <si>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</si>
  <si>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</si>
  <si>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</si>
  <si>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</si>
  <si>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</si>
  <si>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</si>
  <si>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</si>
  <si>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</si>
  <si>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</si>
  <si>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</si>
  <si>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</si>
  <si>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</si>
  <si>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</si>
  <si>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</si>
  <si>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</si>
  <si>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</si>
  <si>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</si>
  <si>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</si>
  <si>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</si>
  <si>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</si>
  <si>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</si>
  <si>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</si>
  <si>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</si>
  <si>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</si>
  <si>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</si>
  <si>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</si>
  <si>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</si>
  <si>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</si>
  <si>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</si>
  <si>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</si>
  <si>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</si>
  <si>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</si>
  <si>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</si>
  <si>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</si>
  <si>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</si>
  <si>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</si>
  <si>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</si>
  <si>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</si>
  <si>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</si>
  <si>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</si>
  <si>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</si>
  <si>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</si>
  <si>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</si>
  <si>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</si>
  <si>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</si>
  <si>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</si>
  <si>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</si>
  <si>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</si>
  <si>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</si>
  <si>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</si>
  <si>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</si>
  <si>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</si>
  <si>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</si>
  <si>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</si>
  <si>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</si>
  <si>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</si>
  <si>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</si>
  <si>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</si>
  <si>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</si>
  <si>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</si>
  <si>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</si>
  <si>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</si>
  <si>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</si>
  <si>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</si>
  <si>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</si>
  <si>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</si>
  <si>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</si>
  <si>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</si>
  <si>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</si>
  <si>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</si>
  <si>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</si>
  <si>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</si>
  <si>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</si>
  <si>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</si>
  <si>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</si>
  <si>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</si>
  <si>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</si>
  <si>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</si>
  <si>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</si>
  <si>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</si>
  <si>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</si>
  <si>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</si>
  <si>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</si>
  <si>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</si>
  <si>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</si>
  <si>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</si>
  <si>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</si>
  <si>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</si>
  <si>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</si>
  <si>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</si>
  <si>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</si>
  <si>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</si>
  <si>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</si>
  <si>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</si>
  <si>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</si>
  <si>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</si>
  <si>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</si>
  <si>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</si>
  <si>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</si>
  <si>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</si>
  <si>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</si>
  <si>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</si>
  <si>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</si>
  <si>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</si>
  <si>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</si>
  <si>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</si>
  <si>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</si>
  <si>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</si>
  <si>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</si>
  <si>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</si>
  <si>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</si>
  <si>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</si>
  <si>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</si>
  <si>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</si>
  <si>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</si>
  <si>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</si>
  <si>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</si>
  <si>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</si>
  <si>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</si>
  <si>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</si>
  <si>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</si>
  <si>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</si>
  <si>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</si>
  <si>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</si>
  <si>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</si>
  <si>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</si>
  <si>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</si>
  <si>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</si>
  <si>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</si>
  <si>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</si>
  <si>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</si>
  <si>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</si>
  <si>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</si>
  <si>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</si>
  <si>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</si>
  <si>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</si>
  <si>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</si>
  <si>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</si>
  <si>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</si>
  <si>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</si>
  <si>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</si>
  <si>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</si>
  <si>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</si>
  <si>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</si>
  <si>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</si>
  <si>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</si>
  <si>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</si>
  <si>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</si>
  <si>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</si>
  <si>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</si>
  <si>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</si>
  <si>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</si>
  <si>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</si>
  <si>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</si>
  <si>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</si>
  <si>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</si>
  <si>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</si>
  <si>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</si>
  <si>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</si>
  <si>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</si>
  <si>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</si>
  <si>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</si>
  <si>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</si>
  <si>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</si>
  <si>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</si>
  <si>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</si>
  <si>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</si>
  <si>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Net cash/(debt) per share</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</si>
  <si>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</si>
  <si>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</si>
  <si>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</si>
  <si>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</si>
  <si>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</si>
  <si>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</si>
  <si>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</si>
  <si>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</si>
  <si>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</si>
  <si>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</si>
  <si>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</si>
  <si>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</si>
  <si>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</si>
  <si>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</si>
  <si>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</si>
  <si>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</si>
  <si>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</si>
  <si>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</si>
  <si>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</si>
  <si>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</si>
  <si>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</si>
  <si>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</si>
  <si>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</si>
  <si>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</si>
  <si>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</si>
  <si>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</si>
  <si>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</si>
  <si>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</si>
  <si>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</si>
  <si>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</si>
  <si>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</si>
  <si>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</si>
  <si>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</si>
  <si>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</si>
  <si>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</si>
  <si>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</si>
  <si>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</si>
  <si>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</si>
  <si>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</si>
  <si>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</si>
  <si>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</si>
  <si>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</si>
  <si>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</si>
  <si>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</si>
  <si>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</si>
  <si>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</si>
  <si>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</si>
  <si>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</si>
  <si>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</si>
  <si>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</si>
  <si>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</si>
  <si>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</si>
  <si>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</si>
  <si>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</si>
  <si>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</si>
  <si>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</si>
  <si>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</si>
  <si>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</si>
  <si>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</si>
  <si>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</si>
  <si>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</si>
  <si>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Guidance</t>
  </si>
  <si>
    <t>Actual Reported Results</t>
  </si>
  <si>
    <t>Guidance For</t>
  </si>
  <si>
    <t>Date Released</t>
  </si>
  <si>
    <t>Capex</t>
  </si>
  <si>
    <t xml:space="preserve">EPS </t>
  </si>
  <si>
    <t>(Non-GAAP exMtM, incTNT)</t>
  </si>
  <si>
    <t>(Non-GAAP exMtM, exTNT)</t>
  </si>
  <si>
    <t>FY2015</t>
  </si>
  <si>
    <t>$4.2B</t>
  </si>
  <si>
    <t>N/A</t>
  </si>
  <si>
    <t>$8.50 to $9.00</t>
  </si>
  <si>
    <t xml:space="preserve">$8.50 to $9.00 </t>
  </si>
  <si>
    <t>$8.80 to $8.95</t>
  </si>
  <si>
    <t>$4.3B</t>
  </si>
  <si>
    <t>FY2016</t>
  </si>
  <si>
    <t>$4.6B</t>
  </si>
  <si>
    <t>$10.60 to $11.10</t>
  </si>
  <si>
    <t>$10.40 to $10.90</t>
  </si>
  <si>
    <t>$4.8B</t>
  </si>
  <si>
    <t>$10.70 to $10.90</t>
  </si>
  <si>
    <t>FY2017</t>
  </si>
  <si>
    <t>$5.1B</t>
  </si>
  <si>
    <t>$11.75 to $12.25</t>
  </si>
  <si>
    <t>$5.6B</t>
  </si>
  <si>
    <t>$10.85 to $11.35</t>
  </si>
  <si>
    <t>$11.85 to $12.35</t>
  </si>
  <si>
    <t>$10.95 to $11.45</t>
  </si>
  <si>
    <t>$5.3B</t>
  </si>
  <si>
    <t>$10.80 to $11.30</t>
  </si>
  <si>
    <t>FY2018</t>
  </si>
  <si>
    <t>$5.9B</t>
  </si>
  <si>
    <t>$12.45 to $13.25</t>
  </si>
  <si>
    <t>$13.20 to $14.00</t>
  </si>
  <si>
    <t>$11.05 to $11.85</t>
  </si>
  <si>
    <t>$12.00 to $12.80</t>
  </si>
  <si>
    <t>$11.45 to $12.05</t>
  </si>
  <si>
    <t>$12.70 to $13.30</t>
  </si>
  <si>
    <t>$5.8B</t>
  </si>
  <si>
    <t>$17.90 to $18.30</t>
  </si>
  <si>
    <t>$15.00 to $15.40</t>
  </si>
  <si>
    <t>$5.7B</t>
  </si>
  <si>
    <t>6/18/2014 From the F4Q14 release</t>
  </si>
  <si>
    <r>
      <rPr>
        <b/>
        <sz val="11"/>
        <color theme="1"/>
        <rFont val="Calibri"/>
        <family val="2"/>
        <scheme val="minor"/>
      </rPr>
      <t>Purpose:</t>
    </r>
    <r>
      <rPr>
        <sz val="11"/>
        <color theme="1"/>
        <rFont val="Calibri"/>
        <family val="2"/>
        <scheme val="minor"/>
      </rPr>
      <t xml:space="preserve"> This worksheet tracks the primary components of management's guidance over time</t>
    </r>
  </si>
  <si>
    <t>9/17/2014 From the F1Q15 release</t>
  </si>
  <si>
    <t>12/17/2014 From the F2Q15 release</t>
  </si>
  <si>
    <t>3/18/2015 From the F3Q15 release</t>
  </si>
  <si>
    <t>6/17/2015 From the F4Q15 release</t>
  </si>
  <si>
    <t>9/16/2015 From the F1Q16 release</t>
  </si>
  <si>
    <t>12/16/2015 From the F2Q16 release</t>
  </si>
  <si>
    <t>3/16/2016 From the F3Q16 release</t>
  </si>
  <si>
    <t>6/21/2016 From the F4Q16 release</t>
  </si>
  <si>
    <t>9/20/2016 From the F1Q17 release</t>
  </si>
  <si>
    <t>12/20/2016 From the F2Q17 release</t>
  </si>
  <si>
    <t>3/21/2017 From the F3Q17 release</t>
  </si>
  <si>
    <t>6/20/2018 From the F4Q17 release</t>
  </si>
  <si>
    <t>9/17/2018 From the F1Q18 release</t>
  </si>
  <si>
    <t>12/19/2017 From the F2Q18 release</t>
  </si>
  <si>
    <t>3/20/2018 From the F3Q18 release</t>
  </si>
  <si>
    <r>
      <rPr>
        <b/>
        <sz val="11"/>
        <color theme="1"/>
        <rFont val="Calibri"/>
        <family val="2"/>
        <scheme val="minor"/>
      </rPr>
      <t>Purpose:</t>
    </r>
    <r>
      <rPr>
        <sz val="11"/>
        <color theme="1"/>
        <rFont val="Calibri"/>
        <family val="2"/>
        <scheme val="minor"/>
      </rPr>
      <t xml:space="preserve"> This worksheet tracks the consensus estimates for key metrics</t>
    </r>
  </si>
  <si>
    <t>F1Q2019E</t>
  </si>
  <si>
    <t>F2Q2019E</t>
  </si>
  <si>
    <t>F3Q2019E</t>
  </si>
  <si>
    <t>F4Q2019E</t>
  </si>
  <si>
    <t>FY2021E</t>
  </si>
  <si>
    <t>FY2022E</t>
  </si>
  <si>
    <t>Revenue ($M)</t>
  </si>
  <si>
    <t>EBITDA ($M)</t>
  </si>
  <si>
    <t>Pre-tax profit ($M)</t>
  </si>
  <si>
    <t>Net income (non-GAAP, $M)</t>
  </si>
  <si>
    <t>Operating Profit ($M)</t>
  </si>
  <si>
    <t>EPS (non-GAAP, $/per share)</t>
  </si>
  <si>
    <t>Free cash flow ($M)</t>
  </si>
  <si>
    <t>Capital expenditures ($M)</t>
  </si>
  <si>
    <t>Implied Operating Margin (%)</t>
  </si>
  <si>
    <t>Quarterly Estimates (Before Release)</t>
  </si>
  <si>
    <t>Quarterly Estimates (After Release)</t>
  </si>
  <si>
    <t>F1Q2020E</t>
  </si>
  <si>
    <t>Gutenberg Estimates</t>
  </si>
  <si>
    <t>Reported Actual</t>
  </si>
  <si>
    <t>Difference (Actual vs GR)</t>
  </si>
  <si>
    <t>Operating Profit (non-GAAP $M)</t>
  </si>
  <si>
    <r>
      <rPr>
        <b/>
        <sz val="11"/>
        <color theme="1"/>
        <rFont val="Calibri"/>
        <family val="2"/>
        <scheme val="minor"/>
      </rPr>
      <t>Instructions:</t>
    </r>
    <r>
      <rPr>
        <sz val="11"/>
        <color theme="1"/>
        <rFont val="Calibri"/>
        <family val="2"/>
        <scheme val="minor"/>
      </rPr>
      <t xml:space="preserve"> Before the release copy/paste/values in E8:E16, J8:J16, M8:M16, P8:P16, S8:S16. After the release J21:J29, M21:M29, P21:P29, S21:S29 will update and you can compare the estimate before and after.</t>
    </r>
  </si>
  <si>
    <t>F1Q2019A</t>
  </si>
  <si>
    <t>Differences From Estimates Prior to the Latest Earnings Release</t>
  </si>
  <si>
    <t>Risk Free (12-mo avg 10yr US-T)</t>
  </si>
  <si>
    <t>(b) This model uses the Constant Sharpe approach to estimate the Equity Risk Premium (ERP). The S&amp;P500 Constant Sharpe is calculated by taking the excess return on the index over the risk-free rate, divided by the standard deviation of returns. The Constant Sharpe ratio is then multiplied by the estimate of implied volatility to calculate the ERP.</t>
  </si>
  <si>
    <t>(c) The VIX is quoted in percentage points and measures the implied annualized volatility for the S&amp;P500. The VIX is a forward looking measure of implied volatility, however, single day volatility would have too much of an impact on the overall discount rate. For this reason the twelve month trailing  average is used.</t>
  </si>
  <si>
    <t>Average CapEx (% of sales)</t>
  </si>
  <si>
    <t>Weighted Average Cost of Capital (WACC) Inputs</t>
  </si>
  <si>
    <t>Stage 1 WACC</t>
  </si>
  <si>
    <t>Constant market Sharpe ratio (b)</t>
  </si>
  <si>
    <t>S&amp;P500 implied volatility (c)</t>
  </si>
  <si>
    <r>
      <t xml:space="preserve">Constant Growth Stage Assumptions </t>
    </r>
    <r>
      <rPr>
        <sz val="11"/>
        <rFont val="Calibri"/>
        <family val="2"/>
        <scheme val="minor"/>
      </rPr>
      <t>(d,e)</t>
    </r>
  </si>
  <si>
    <t>(f) The Stage 2 long-term WACC assumes the weight and cost of debt remains constant, and cost of equity reaches the long-term average based on an ERP of 6.2% and a required return on equity of 13.9% using the historic average VIX of 18.59%, the historic average 10 year U.S. Treasury rate of 6.3%, and Constant Sharpe of 0.325.</t>
  </si>
  <si>
    <t>Share-based compensation to revenue</t>
  </si>
  <si>
    <t>Average accrued salaries to salary expense</t>
  </si>
  <si>
    <t>NPV of Stage 1 cash flows</t>
  </si>
  <si>
    <t>PV of terminal value (Stage 2)</t>
  </si>
  <si>
    <t xml:space="preserve">Other adjustments - 1 </t>
  </si>
  <si>
    <t>Other adjustments - 2</t>
  </si>
  <si>
    <t xml:space="preserve">(a) Multiples are calculated excluding the value of net cash and are based on the 3-month average daily share price compared to the consensus EPS estimates for the next twelve month period. </t>
  </si>
  <si>
    <t>Sensitivity Analysis</t>
  </si>
  <si>
    <t>F1Q19</t>
  </si>
  <si>
    <t>Other retirement plans income/(expense)</t>
  </si>
  <si>
    <r>
      <rPr>
        <b/>
        <sz val="11"/>
        <color theme="1"/>
        <rFont val="Calibri"/>
        <family val="2"/>
        <scheme val="minor"/>
      </rPr>
      <t>Last updated:</t>
    </r>
    <r>
      <rPr>
        <sz val="11"/>
        <color theme="1"/>
        <rFont val="Calibri"/>
        <family val="2"/>
        <scheme val="minor"/>
      </rPr>
      <t xml:space="preserve"> 11/26/2018</t>
    </r>
  </si>
  <si>
    <t>FY2019</t>
  </si>
  <si>
    <t>9/17/2018 From the F1Q19 release</t>
  </si>
  <si>
    <t>6/19/2018 From the F4Q18 release</t>
  </si>
  <si>
    <t>$17.00 to $17.60</t>
  </si>
  <si>
    <t>$15.65 to $16.25</t>
  </si>
  <si>
    <t>Growth of 9%</t>
  </si>
  <si>
    <t>Operating Margin</t>
  </si>
  <si>
    <t>Effective Tax Rate (exMtM adjustment)</t>
  </si>
  <si>
    <t>Operating Margin (exTNT integration expense)</t>
  </si>
  <si>
    <t>TNT Integration Expense</t>
  </si>
  <si>
    <t>$450M, $365M net of tax effect</t>
  </si>
  <si>
    <t>Implied 2019 weighted average share count (M)</t>
  </si>
  <si>
    <t>$15.85 to $16.45</t>
  </si>
  <si>
    <t>$17.20 to $17.80</t>
  </si>
  <si>
    <t>November-2018 Roadshow Presentation - Long-Term Targets</t>
  </si>
  <si>
    <t>Other</t>
  </si>
  <si>
    <t>Reaffirmed FedEx Express Operating income target up $1.2B to $1.5B from F2017</t>
  </si>
  <si>
    <t xml:space="preserve">&gt; Increase EPS 10% to 15% per year
&gt; Grow profitable revenue
&gt; Achieve 10%+ operating margin
</t>
  </si>
  <si>
    <t>&gt; Improve cash flow
&gt; Increase ROIC
&gt; Increase returns to shareholders</t>
  </si>
  <si>
    <t>Orange cells = Consensus estimates (updated 11/26/2018)</t>
  </si>
  <si>
    <t>Purple cells = Company guidance (updated 11/26/2018)</t>
  </si>
  <si>
    <t>Operating margin (Non-GAAP)</t>
  </si>
  <si>
    <t>Revenue growth rate (year-over-year)</t>
  </si>
  <si>
    <t>EPS Growth (Non-GAAP, year-over-year)</t>
  </si>
  <si>
    <t>Blue cells = Gutenberg estimates (last updated 11/26/2018)</t>
  </si>
  <si>
    <t>FedEx Express Segment Charts</t>
  </si>
  <si>
    <t>FedEx Ground Segment Charts</t>
  </si>
  <si>
    <t>Express Segment Revenue ($M)</t>
  </si>
  <si>
    <t>FedEx Freight Segment Charts</t>
  </si>
  <si>
    <t>FedEx Corp Consolidated Charts</t>
  </si>
  <si>
    <t>Express segment revenue produced per gallon of jet fuel</t>
  </si>
  <si>
    <t>Implied Operating Margin (%, non-GAAP)</t>
  </si>
  <si>
    <t>Actuals</t>
  </si>
  <si>
    <t>Operating Profit ($M, non-GAAP)</t>
  </si>
  <si>
    <t>F2Q2020E</t>
  </si>
  <si>
    <t>F2Q2019A</t>
  </si>
  <si>
    <r>
      <rPr>
        <b/>
        <sz val="11"/>
        <color theme="1"/>
        <rFont val="Calibri"/>
        <family val="2"/>
        <scheme val="minor"/>
      </rPr>
      <t>Purpose:</t>
    </r>
    <r>
      <rPr>
        <sz val="11"/>
        <color theme="1"/>
        <rFont val="Calibri"/>
        <family val="2"/>
        <scheme val="minor"/>
      </rPr>
      <t xml:space="preserve"> This worksheet tracks the mean monthly share return and standard deviation.</t>
    </r>
  </si>
  <si>
    <t>Date</t>
  </si>
  <si>
    <t>Open</t>
  </si>
  <si>
    <t>High</t>
  </si>
  <si>
    <t>Low</t>
  </si>
  <si>
    <t>Close</t>
  </si>
  <si>
    <t>Volume</t>
  </si>
  <si>
    <t>Monthly return</t>
  </si>
  <si>
    <t>Diff from mean</t>
  </si>
  <si>
    <t>Diff Squared</t>
  </si>
  <si>
    <t>Mean</t>
  </si>
  <si>
    <t>Sum of squared differences</t>
  </si>
  <si>
    <t>Variance</t>
  </si>
  <si>
    <t>Standard Deviation</t>
  </si>
  <si>
    <t>Enter the absolute mean return and standard deviation into the model</t>
  </si>
  <si>
    <t>check</t>
  </si>
  <si>
    <t>Absolute value of mean monthly return</t>
  </si>
  <si>
    <t>Adjusted Close</t>
  </si>
  <si>
    <t xml:space="preserve">(g) There are many approaches to estimating a stock's risk. In this demonstration we use the standard deviation and the monthly average return over the last 12 months to construct an estimated price target range. Standard deviation is a measure of dispersion around the mean monthly return. The larger the historic standard deviation the greater the volatility in prices. Using a normal distribution, approximately 95% of observations fall within 2 standard deviations of the mean. This approach has multiple limitations including: 1) it assumes that historic results can predict future return characteristics, and 2) it assumes the stock's returns are normally distributed. This analysis is for demonstration only, refer to full Terms of Use at GutenbergResearch.com. The mean &amp; standard deviation in this section were last updated on  11/26/2018. </t>
  </si>
  <si>
    <t>NOTE: There are many different methods to calculate a DCF-based valuation, each of which result in different final valuation estimates. This calculation is for demonstration only. Different inputs and assumptions can result in significantly different valuation estimates. Refer to the Terms of Use link for important information regarding this demonstration.  The DCF and Multiple valuation metrics are kept constant at certain points during each quarter to isolate the impact from changes in earnings estimates.  The  Beta, Volatility, and Risk-Free rate used in this DCF section was last updated on 11/26/2018 .</t>
  </si>
  <si>
    <t xml:space="preserve">NOTE: There are many different multiples which could be applied to various earnings metrics, each of which result in different valuations. This calculation is for demonstration only. Please refer to the Terms of Use link for important details.  The DCF and Multiple valuation metrics are kept constant at certain points during each quarter to isolate the impact from changes in earnings estimates.   The multiple  in this section was last updated on 11/26/2018. </t>
  </si>
  <si>
    <r>
      <t xml:space="preserve">Last updated: </t>
    </r>
    <r>
      <rPr>
        <sz val="11"/>
        <color theme="1"/>
        <rFont val="Calibri"/>
        <family val="2"/>
        <scheme val="minor"/>
      </rPr>
      <t>11/28/2018</t>
    </r>
  </si>
  <si>
    <t>Estimate</t>
  </si>
  <si>
    <t>Q1 19</t>
  </si>
  <si>
    <t>08/18</t>
  </si>
  <si>
    <t>-9.02%</t>
  </si>
  <si>
    <t>-5.53%</t>
  </si>
  <si>
    <t>Q4 18</t>
  </si>
  <si>
    <t>05/18</t>
  </si>
  <si>
    <t>3.87%</t>
  </si>
  <si>
    <t>-2.69%</t>
  </si>
  <si>
    <t>Q3 18</t>
  </si>
  <si>
    <t>02/18</t>
  </si>
  <si>
    <t>19.77%</t>
  </si>
  <si>
    <t>-1.18%</t>
  </si>
  <si>
    <t>Q2 18</t>
  </si>
  <si>
    <t>11/17</t>
  </si>
  <si>
    <t>10.23%</t>
  </si>
  <si>
    <t>3.52%</t>
  </si>
  <si>
    <t>Q1 18</t>
  </si>
  <si>
    <t>08/17</t>
  </si>
  <si>
    <t>-17.02%</t>
  </si>
  <si>
    <t>2.08%</t>
  </si>
  <si>
    <t>Q4 17</t>
  </si>
  <si>
    <t>05/17</t>
  </si>
  <si>
    <t>9.68%</t>
  </si>
  <si>
    <t>1.60%</t>
  </si>
  <si>
    <t>Q3 17</t>
  </si>
  <si>
    <t>02/17</t>
  </si>
  <si>
    <t>-10.44%</t>
  </si>
  <si>
    <t>2.13%</t>
  </si>
  <si>
    <t>Q2 17</t>
  </si>
  <si>
    <t>11/16</t>
  </si>
  <si>
    <t>-3.71%</t>
  </si>
  <si>
    <t>-3.33%</t>
  </si>
  <si>
    <t>Q1 17</t>
  </si>
  <si>
    <t>08/16</t>
  </si>
  <si>
    <t>3.76%</t>
  </si>
  <si>
    <t>6.89%</t>
  </si>
  <si>
    <t>Q4 16</t>
  </si>
  <si>
    <t>05/16</t>
  </si>
  <si>
    <t>0.49%</t>
  </si>
  <si>
    <t>-4.54%</t>
  </si>
  <si>
    <t>Q3 16</t>
  </si>
  <si>
    <t>02/16</t>
  </si>
  <si>
    <t>7.40%</t>
  </si>
  <si>
    <t>11.83%</t>
  </si>
  <si>
    <t>Q2 16</t>
  </si>
  <si>
    <t>11/15</t>
  </si>
  <si>
    <t>3.20%</t>
  </si>
  <si>
    <t>2.02%</t>
  </si>
  <si>
    <t>Q1 16</t>
  </si>
  <si>
    <t>08/15</t>
  </si>
  <si>
    <t>-1.39%</t>
  </si>
  <si>
    <t>-2.84%</t>
  </si>
  <si>
    <t>Q4 15</t>
  </si>
  <si>
    <t>05/15</t>
  </si>
  <si>
    <t>-0.93%</t>
  </si>
  <si>
    <t>-2.96%</t>
  </si>
  <si>
    <t>Q3 15</t>
  </si>
  <si>
    <t>02/15</t>
  </si>
  <si>
    <t>7.03%</t>
  </si>
  <si>
    <t>-1.37%</t>
  </si>
  <si>
    <t>Q2 15</t>
  </si>
  <si>
    <t>11/14</t>
  </si>
  <si>
    <t>-4.76%</t>
  </si>
  <si>
    <t>-3.72%</t>
  </si>
  <si>
    <t>Q1 15</t>
  </si>
  <si>
    <t>08/14</t>
  </si>
  <si>
    <t>6.98%</t>
  </si>
  <si>
    <t>3.27%</t>
  </si>
  <si>
    <t>Q4 14</t>
  </si>
  <si>
    <t>05/14</t>
  </si>
  <si>
    <t>4.33%</t>
  </si>
  <si>
    <t>6.16%</t>
  </si>
  <si>
    <t>Q3 14</t>
  </si>
  <si>
    <t>02/14</t>
  </si>
  <si>
    <t>-15.81%</t>
  </si>
  <si>
    <t>-0.14%</t>
  </si>
  <si>
    <t>Q2 14</t>
  </si>
  <si>
    <t>11/13</t>
  </si>
  <si>
    <t>-4.38%</t>
  </si>
  <si>
    <t>0.45%</t>
  </si>
  <si>
    <t>Q1 14</t>
  </si>
  <si>
    <t>08/13</t>
  </si>
  <si>
    <t>2.27%</t>
  </si>
  <si>
    <t>5.03%</t>
  </si>
  <si>
    <t>Q4 13</t>
  </si>
  <si>
    <t>05/13</t>
  </si>
  <si>
    <t>9.01%</t>
  </si>
  <si>
    <t>1.07%</t>
  </si>
  <si>
    <t>Q3 13</t>
  </si>
  <si>
    <t>02/13</t>
  </si>
  <si>
    <t>-10.80%</t>
  </si>
  <si>
    <t>-6.89%</t>
  </si>
  <si>
    <t>Q2 13</t>
  </si>
  <si>
    <t>11/12</t>
  </si>
  <si>
    <t>-1.14%</t>
  </si>
  <si>
    <t>0.91%</t>
  </si>
  <si>
    <t>Q1 13</t>
  </si>
  <si>
    <t>08/12</t>
  </si>
  <si>
    <t>3.57%</t>
  </si>
  <si>
    <t>-3.06%</t>
  </si>
  <si>
    <t>Q4 12</t>
  </si>
  <si>
    <t>05/12</t>
  </si>
  <si>
    <t>3.73%</t>
  </si>
  <si>
    <t>Q3 12</t>
  </si>
  <si>
    <t>02/12</t>
  </si>
  <si>
    <t>14.99%</t>
  </si>
  <si>
    <t>-3.46%</t>
  </si>
  <si>
    <t>Q2 12</t>
  </si>
  <si>
    <t>11/11</t>
  </si>
  <si>
    <t>2.95%</t>
  </si>
  <si>
    <t>8.00%</t>
  </si>
  <si>
    <t>Q1 12</t>
  </si>
  <si>
    <t>08/11</t>
  </si>
  <si>
    <t>1.11%</t>
  </si>
  <si>
    <t>-8.17%</t>
  </si>
  <si>
    <t>Q4 11</t>
  </si>
  <si>
    <t>05/11</t>
  </si>
  <si>
    <t>2.26%</t>
  </si>
  <si>
    <t>2.59%</t>
  </si>
  <si>
    <t>Q3 11</t>
  </si>
  <si>
    <t>02/11</t>
  </si>
  <si>
    <t>-0.77%</t>
  </si>
  <si>
    <t>3.06%</t>
  </si>
  <si>
    <t>Q2 11</t>
  </si>
  <si>
    <t>11/10</t>
  </si>
  <si>
    <t>-10.82%</t>
  </si>
  <si>
    <t>1.98%</t>
  </si>
  <si>
    <t>Q1 11</t>
  </si>
  <si>
    <t>08/10</t>
  </si>
  <si>
    <t>-0.74%</t>
  </si>
  <si>
    <t>-3.75%</t>
  </si>
  <si>
    <t>Q4 10</t>
  </si>
  <si>
    <t>05/10</t>
  </si>
  <si>
    <t>2.87%</t>
  </si>
  <si>
    <t>-5.95%</t>
  </si>
  <si>
    <t>Q3 10</t>
  </si>
  <si>
    <t>02/10</t>
  </si>
  <si>
    <t>4.68%</t>
  </si>
  <si>
    <t>Q2 10</t>
  </si>
  <si>
    <t>11/09</t>
  </si>
  <si>
    <t>0.00%</t>
  </si>
  <si>
    <t>-6.09%</t>
  </si>
  <si>
    <t>Q1 10</t>
  </si>
  <si>
    <t>08/09</t>
  </si>
  <si>
    <t>-2.23%</t>
  </si>
  <si>
    <t>Q4 09</t>
  </si>
  <si>
    <t>05/09</t>
  </si>
  <si>
    <t>26.73%</t>
  </si>
  <si>
    <t>-1.40%</t>
  </si>
  <si>
    <t>Q3 09</t>
  </si>
  <si>
    <t>02/09</t>
  </si>
  <si>
    <t>-32.75%</t>
  </si>
  <si>
    <t>4.76%</t>
  </si>
  <si>
    <t>Q2 09</t>
  </si>
  <si>
    <t>11/08</t>
  </si>
  <si>
    <t>-0.06%</t>
  </si>
  <si>
    <t>-2.14%</t>
  </si>
  <si>
    <t>Q1 09</t>
  </si>
  <si>
    <t>08/08</t>
  </si>
  <si>
    <t>3.47%</t>
  </si>
  <si>
    <t>Q4 08</t>
  </si>
  <si>
    <t>05/08</t>
  </si>
  <si>
    <t>-1.09%</t>
  </si>
  <si>
    <t>-1.05%</t>
  </si>
  <si>
    <t>Q3 08</t>
  </si>
  <si>
    <t>02/08</t>
  </si>
  <si>
    <t>2.77%</t>
  </si>
  <si>
    <t>0.92%</t>
  </si>
  <si>
    <t>Q2 08</t>
  </si>
  <si>
    <t>11/07</t>
  </si>
  <si>
    <t>2.19%</t>
  </si>
  <si>
    <t>-1.06%</t>
  </si>
  <si>
    <t>Period</t>
  </si>
  <si>
    <t>Period End Date</t>
  </si>
  <si>
    <t>Reported EPS</t>
  </si>
  <si>
    <t>Surprise (%)</t>
  </si>
  <si>
    <t>Impact on Share Price</t>
  </si>
  <si>
    <t>Consensus Price Target</t>
  </si>
  <si>
    <t>Buys</t>
  </si>
  <si>
    <t>Holds</t>
  </si>
  <si>
    <t>Sells</t>
  </si>
  <si>
    <t>12M Tgt Px</t>
  </si>
  <si>
    <t>Last Price</t>
  </si>
  <si>
    <t>Return Potential</t>
  </si>
  <si>
    <t>F2Q2019E Express International Priority ADV growth (YoY)</t>
  </si>
  <si>
    <t>F2Q2019E Express International Priority Yield Growth (YoY)</t>
  </si>
  <si>
    <t>F2Q2019E EPS Sensitivity to Express International Priority Forecast</t>
  </si>
  <si>
    <t>Target share price</t>
  </si>
  <si>
    <t>DCF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</si>
</sst>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6" formatCode="&quot;$&quot;#,##0.00"/>
    <numFmt numFmtId="227" formatCode="&quot;$&quot;#,##0.000_);\(&quot;$&quot;#,##0.000\)"/>
    <numFmt numFmtId="228" formatCode="&quot;$&quot;#,##0"/>
    <numFmt numFmtId="229" formatCode="0.0\x"/>
    <numFmt numFmtId="230" formatCode="0.0000%"/>
  </numFmts>
  <fonts count="10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b/>
      <sz val="11"/>
      <color theme="0" tint="-0.14999847407452621"/>
      <name val="Calibri"/>
      <family val="2"/>
      <scheme val="minor"/>
    </font>
    <font>
      <sz val="9"/>
      <color indexed="81"/>
      <name val="Tahoma"/>
      <family val="2"/>
    </font>
    <font>
      <b/>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b/>
      <sz val="11"/>
      <color theme="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sz val="11"/>
      <color theme="3" tint="0.39997558519241921"/>
      <name val="Calibri"/>
      <family val="2"/>
      <scheme val="minor"/>
    </font>
    <font>
      <b/>
      <sz val="10.5"/>
      <color rgb="FFE7E6E6"/>
      <name val="Calibri"/>
      <family val="2"/>
    </font>
    <font>
      <sz val="10.5"/>
      <color rgb="FFE7E6E6"/>
      <name val="Calibri"/>
      <family val="2"/>
    </font>
    <font>
      <sz val="8"/>
      <color rgb="FFE7E6E6"/>
      <name val="Calibri"/>
      <family val="2"/>
    </font>
    <font>
      <b/>
      <sz val="10.5"/>
      <name val="Calibri"/>
      <family val="2"/>
      <scheme val="minor"/>
    </font>
    <font>
      <sz val="10.5"/>
      <name val="Calibri"/>
      <family val="2"/>
      <scheme val="minor"/>
    </font>
    <font>
      <sz val="9"/>
      <name val="Calibri"/>
      <family val="2"/>
      <scheme val="minor"/>
    </font>
    <font>
      <b/>
      <sz val="10.5"/>
      <name val="Calibri"/>
      <family val="2"/>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
      <i/>
      <sz val="11"/>
      <color theme="4" tint="-0.249977111117893"/>
      <name val="Calibri"/>
      <family val="2"/>
      <scheme val="minor"/>
    </font>
    <font>
      <b/>
      <i/>
      <sz val="11"/>
      <color theme="4" tint="-0.249977111117893"/>
      <name val="Calibri"/>
      <family val="2"/>
      <scheme val="minor"/>
    </font>
    <font>
      <i/>
      <u val="singleAccounting"/>
      <sz val="11"/>
      <color theme="4" tint="-0.249977111117893"/>
      <name val="Calibri"/>
      <family val="2"/>
      <scheme val="minor"/>
    </font>
    <font>
      <b/>
      <i/>
      <u val="singleAccounting"/>
      <sz val="11"/>
      <color theme="4" tint="-0.249977111117893"/>
      <name val="Calibri"/>
      <family val="2"/>
      <scheme val="minor"/>
    </font>
    <font>
      <b/>
      <sz val="10"/>
      <color theme="1"/>
      <name val="Calibri"/>
      <family val="2"/>
      <scheme val="minor"/>
    </font>
    <font>
      <i/>
      <sz val="11"/>
      <color theme="1"/>
      <name val="Calibri"/>
      <family val="2"/>
      <scheme val="minor"/>
    </font>
    <font>
      <i/>
      <sz val="8"/>
      <name val="Calibri"/>
      <family val="2"/>
      <scheme val="minor"/>
    </font>
    <font>
      <sz val="8"/>
      <name val="Calibri"/>
      <family val="2"/>
      <scheme val="minor"/>
    </font>
  </fonts>
  <fills count="17">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1" tint="0.249977111117893"/>
        <bgColor indexed="64"/>
      </patternFill>
    </fill>
    <fill>
      <patternFill patternType="solid">
        <fgColor theme="3" tint="0.39997558519241921"/>
        <bgColor indexed="64"/>
      </patternFill>
    </fill>
    <fill>
      <patternFill patternType="solid">
        <fgColor rgb="FFFFFF00"/>
        <bgColor indexed="64"/>
      </patternFill>
    </fill>
  </fills>
  <borders count="144">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thin">
        <color auto="1"/>
      </top>
      <bottom style="thin">
        <color theme="0" tint="-0.24994659260841701"/>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auto="1"/>
      </bottom>
      <diagonal/>
    </border>
    <border>
      <left/>
      <right style="thin">
        <color theme="0" tint="-0.24994659260841701"/>
      </right>
      <top/>
      <bottom style="thin">
        <color auto="1"/>
      </bottom>
      <diagonal/>
    </border>
    <border>
      <left style="thin">
        <color auto="1"/>
      </left>
      <right style="thin">
        <color theme="0" tint="-0.24994659260841701"/>
      </right>
      <top style="thin">
        <color theme="0" tint="-0.24994659260841701"/>
      </top>
      <bottom/>
      <diagonal/>
    </border>
    <border>
      <left style="thin">
        <color auto="1"/>
      </left>
      <right style="thin">
        <color theme="0" tint="-0.24994659260841701"/>
      </right>
      <top/>
      <bottom/>
      <diagonal/>
    </border>
    <border>
      <left/>
      <right/>
      <top style="thin">
        <color theme="0" tint="-0.24994659260841701"/>
      </top>
      <bottom/>
      <diagonal/>
    </border>
    <border>
      <left/>
      <right style="thin">
        <color auto="1"/>
      </right>
      <top style="thin">
        <color theme="0" tint="-0.2499465926084170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medium">
        <color rgb="FF606372"/>
      </left>
      <right/>
      <top style="medium">
        <color rgb="FF606372"/>
      </top>
      <bottom style="medium">
        <color rgb="FF606372"/>
      </bottom>
      <diagonal/>
    </border>
    <border>
      <left/>
      <right/>
      <top style="medium">
        <color rgb="FF606372"/>
      </top>
      <bottom style="medium">
        <color rgb="FF606372"/>
      </bottom>
      <diagonal/>
    </border>
    <border>
      <left/>
      <right style="medium">
        <color rgb="FFBFBFBF"/>
      </right>
      <top style="medium">
        <color rgb="FF606372"/>
      </top>
      <bottom style="medium">
        <color rgb="FF606372"/>
      </bottom>
      <diagonal/>
    </border>
    <border>
      <left style="medium">
        <color rgb="FF9D9FAC"/>
      </left>
      <right style="medium">
        <color rgb="FF9D9FAC"/>
      </right>
      <top/>
      <bottom style="medium">
        <color rgb="FF9D9FAC"/>
      </bottom>
      <diagonal/>
    </border>
    <border>
      <left/>
      <right style="medium">
        <color rgb="FF9D9FAC"/>
      </right>
      <top/>
      <bottom style="medium">
        <color rgb="FF9D9FAC"/>
      </bottom>
      <diagonal/>
    </border>
    <border>
      <left/>
      <right style="medium">
        <color rgb="FF9D9FAC"/>
      </right>
      <top/>
      <bottom/>
      <diagonal/>
    </border>
    <border>
      <left/>
      <right style="medium">
        <color rgb="FFBFBFBF"/>
      </right>
      <top/>
      <bottom style="medium">
        <color rgb="FF9D9FAC"/>
      </bottom>
      <diagonal/>
    </border>
    <border>
      <left/>
      <right style="medium">
        <color rgb="FFBFBFBF"/>
      </right>
      <top/>
      <bottom/>
      <diagonal/>
    </border>
    <border>
      <left style="medium">
        <color rgb="FFBFBFBF"/>
      </left>
      <right/>
      <top style="medium">
        <color rgb="FF606372"/>
      </top>
      <bottom style="medium">
        <color rgb="FF606372"/>
      </bottom>
      <diagonal/>
    </border>
    <border>
      <left style="medium">
        <color rgb="FF9D9FAC"/>
      </left>
      <right style="medium">
        <color rgb="FF9D9FAC"/>
      </right>
      <top style="medium">
        <color rgb="FF606372"/>
      </top>
      <bottom/>
      <diagonal/>
    </border>
    <border>
      <left style="medium">
        <color rgb="FFBFBFBF"/>
      </left>
      <right style="medium">
        <color rgb="FF9D9FAC"/>
      </right>
      <top style="medium">
        <color rgb="FF606372"/>
      </top>
      <bottom/>
      <diagonal/>
    </border>
    <border>
      <left style="medium">
        <color rgb="FFBFBFBF"/>
      </left>
      <right style="medium">
        <color rgb="FF9D9FAC"/>
      </right>
      <top/>
      <bottom style="medium">
        <color rgb="FF9D9FAC"/>
      </bottom>
      <diagonal/>
    </border>
    <border>
      <left style="medium">
        <color rgb="FF9D9FAC"/>
      </left>
      <right style="medium">
        <color rgb="FF9D9FAC"/>
      </right>
      <top style="medium">
        <color rgb="FF9D9FAC"/>
      </top>
      <bottom/>
      <diagonal/>
    </border>
    <border>
      <left/>
      <right/>
      <top style="medium">
        <color rgb="FF9D9FAC"/>
      </top>
      <bottom/>
      <diagonal/>
    </border>
    <border>
      <left/>
      <right style="medium">
        <color rgb="FF9D9FAC"/>
      </right>
      <top style="medium">
        <color rgb="FF9D9FAC"/>
      </top>
      <bottom/>
      <diagonal/>
    </border>
    <border>
      <left style="medium">
        <color rgb="FF9D9FAC"/>
      </left>
      <right/>
      <top style="medium">
        <color rgb="FF9D9FAC"/>
      </top>
      <bottom/>
      <diagonal/>
    </border>
    <border>
      <left style="medium">
        <color rgb="FF9D9FAC"/>
      </left>
      <right style="medium">
        <color rgb="FF9D9FAC"/>
      </right>
      <top style="medium">
        <color rgb="FF9D9FAC"/>
      </top>
      <bottom style="medium">
        <color rgb="FF9D9FAC"/>
      </bottom>
      <diagonal/>
    </border>
    <border>
      <left/>
      <right style="medium">
        <color rgb="FF9D9FAC"/>
      </right>
      <top style="medium">
        <color rgb="FF9D9FAC"/>
      </top>
      <bottom style="medium">
        <color rgb="FF9D9FAC"/>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right style="thin">
        <color auto="1"/>
      </right>
      <top style="thin">
        <color theme="0" tint="-0.24994659260841701"/>
      </top>
      <bottom style="thin">
        <color theme="0" tint="-0.24994659260841701"/>
      </bottom>
      <diagonal/>
    </border>
    <border>
      <left style="thin">
        <color auto="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
      <left style="medium">
        <color rgb="FF9D9FAC"/>
      </left>
      <right/>
      <top style="medium">
        <color rgb="FF9D9FAC"/>
      </top>
      <bottom style="medium">
        <color rgb="FF9D9FAC"/>
      </bottom>
      <diagonal/>
    </border>
    <border>
      <left/>
      <right/>
      <top style="medium">
        <color rgb="FF9D9FAC"/>
      </top>
      <bottom style="medium">
        <color rgb="FF9D9FAC"/>
      </bottom>
      <diagonal/>
    </border>
    <border>
      <left style="medium">
        <color rgb="FFBFBFBF"/>
      </left>
      <right style="medium">
        <color rgb="FFBFBFBF"/>
      </right>
      <top style="medium">
        <color rgb="FF606372"/>
      </top>
      <bottom/>
      <diagonal/>
    </border>
    <border>
      <left style="medium">
        <color rgb="FFBFBFBF"/>
      </left>
      <right style="medium">
        <color rgb="FFBFBFBF"/>
      </right>
      <top/>
      <bottom style="medium">
        <color rgb="FF9D9FAC"/>
      </bottom>
      <diagonal/>
    </border>
    <border>
      <left style="medium">
        <color rgb="FF9D9FAC"/>
      </left>
      <right/>
      <top style="medium">
        <color rgb="FF606372"/>
      </top>
      <bottom style="medium">
        <color rgb="FF9D9FAC"/>
      </bottom>
      <diagonal/>
    </border>
    <border>
      <left/>
      <right/>
      <top style="medium">
        <color rgb="FF606372"/>
      </top>
      <bottom style="medium">
        <color rgb="FF9D9FAC"/>
      </bottom>
      <diagonal/>
    </border>
    <border>
      <left/>
      <right style="medium">
        <color rgb="FF9D9FAC"/>
      </right>
      <top style="medium">
        <color rgb="FF606372"/>
      </top>
      <bottom style="medium">
        <color rgb="FF9D9FAC"/>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diagonal/>
    </border>
    <border>
      <left/>
      <right style="thin">
        <color rgb="FFBFBFBF"/>
      </right>
      <top/>
      <bottom/>
      <diagonal/>
    </border>
    <border>
      <left style="thin">
        <color rgb="FFBFBFBF"/>
      </left>
      <right style="thin">
        <color theme="0" tint="-0.24994659260841701"/>
      </right>
      <top style="thin">
        <color rgb="FFBFBFBF"/>
      </top>
      <bottom/>
      <diagonal/>
    </border>
    <border>
      <left style="thin">
        <color rgb="FFBFBFBF"/>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rgb="FFBFBFBF"/>
      </right>
      <top/>
      <bottom style="thin">
        <color theme="0" tint="-0.24994659260841701"/>
      </bottom>
      <diagonal/>
    </border>
    <border>
      <left style="thin">
        <color rgb="FFBFBFBF"/>
      </left>
      <right style="thin">
        <color theme="0" tint="-0.24994659260841701"/>
      </right>
      <top/>
      <bottom style="thin">
        <color rgb="FFBFBFBF"/>
      </bottom>
      <diagonal/>
    </border>
    <border>
      <left/>
      <right style="thin">
        <color theme="0" tint="-0.24994659260841701"/>
      </right>
      <top/>
      <bottom style="thin">
        <color rgb="FFBFBFBF"/>
      </bottom>
      <diagonal/>
    </border>
    <border>
      <left style="thin">
        <color theme="0" tint="-0.24994659260841701"/>
      </left>
      <right/>
      <top/>
      <bottom style="thin">
        <color rgb="FFBFBFBF"/>
      </bottom>
      <diagonal/>
    </border>
    <border>
      <left/>
      <right style="thin">
        <color rgb="FFBFBFBF"/>
      </right>
      <top style="thin">
        <color theme="0" tint="-0.24994659260841701"/>
      </top>
      <bottom/>
      <diagonal/>
    </border>
    <border>
      <left style="thin">
        <color rgb="FFBFBFBF"/>
      </left>
      <right style="thin">
        <color rgb="FFBFBFBF"/>
      </right>
      <top style="thin">
        <color rgb="FFBFBFBF"/>
      </top>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0" fillId="0" borderId="0" applyNumberFormat="0" applyFill="0" applyBorder="0" applyProtection="0">
      <alignment vertical="top"/>
    </xf>
    <xf numFmtId="0" fontId="11" fillId="0" borderId="17" applyNumberFormat="0" applyFill="0" applyAlignment="0" applyProtection="0"/>
    <xf numFmtId="0" fontId="12" fillId="0" borderId="18" applyNumberFormat="0" applyFill="0" applyProtection="0">
      <alignment horizontal="center"/>
    </xf>
    <xf numFmtId="0" fontId="12" fillId="0" borderId="0" applyNumberFormat="0" applyFill="0" applyBorder="0" applyProtection="0">
      <alignment horizontal="left"/>
    </xf>
    <xf numFmtId="0" fontId="13" fillId="0" borderId="0" applyNumberFormat="0" applyFill="0" applyBorder="0" applyProtection="0">
      <alignment horizontal="centerContinuous"/>
    </xf>
    <xf numFmtId="0" fontId="14" fillId="0" borderId="0" applyNumberFormat="0" applyFill="0" applyBorder="0" applyAlignment="0" applyProtection="0"/>
    <xf numFmtId="0" fontId="15" fillId="0" borderId="0"/>
    <xf numFmtId="176" fontId="16" fillId="0" borderId="0">
      <alignment horizontal="center"/>
    </xf>
    <xf numFmtId="37" fontId="17" fillId="0" borderId="0"/>
    <xf numFmtId="37" fontId="18" fillId="0" borderId="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9" fillId="0" borderId="2" applyAlignment="0" applyProtection="0"/>
    <xf numFmtId="177" fontId="1" fillId="0" borderId="0" applyAlignment="0" applyProtection="0"/>
    <xf numFmtId="178" fontId="20"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20"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21" fillId="0" borderId="0" applyFill="0" applyBorder="0" applyProtection="0">
      <alignment horizontal="center"/>
      <protection locked="0"/>
    </xf>
    <xf numFmtId="0" fontId="22"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2" fillId="0" borderId="7"/>
    <xf numFmtId="192" fontId="1" fillId="0" borderId="0"/>
    <xf numFmtId="0" fontId="15"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2" fillId="0" borderId="0" applyFont="0" applyFill="0" applyBorder="0" applyAlignment="0" applyProtection="0"/>
    <xf numFmtId="4" fontId="22"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3" fillId="0" borderId="0" applyFont="0" applyFill="0" applyBorder="0" applyAlignment="0" applyProtection="0"/>
    <xf numFmtId="4" fontId="1" fillId="0" borderId="0" applyFont="0" applyFill="0" applyBorder="0" applyAlignment="0" applyProtection="0"/>
    <xf numFmtId="4" fontId="15"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4" fillId="0" borderId="0" applyNumberFormat="0" applyFill="0" applyBorder="0" applyAlignment="0" applyProtection="0"/>
    <xf numFmtId="0" fontId="25" fillId="0" borderId="0" applyFill="0" applyBorder="0" applyAlignment="0" applyProtection="0">
      <protection locked="0"/>
    </xf>
    <xf numFmtId="193" fontId="3" fillId="0" borderId="0">
      <alignment horizontal="center"/>
    </xf>
    <xf numFmtId="194" fontId="26" fillId="0" borderId="0" applyFill="0" applyBorder="0" applyProtection="0"/>
    <xf numFmtId="195" fontId="27" fillId="0" borderId="0" applyFont="0" applyFill="0" applyBorder="0" applyAlignment="0" applyProtection="0"/>
    <xf numFmtId="196" fontId="28"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4" fillId="0" borderId="0" applyNumberFormat="0" applyFill="0" applyBorder="0" applyAlignment="0" applyProtection="0"/>
    <xf numFmtId="1" fontId="16" fillId="0" borderId="0"/>
    <xf numFmtId="14" fontId="29" fillId="0" borderId="0">
      <alignment horizontal="center"/>
    </xf>
    <xf numFmtId="14" fontId="20" fillId="0" borderId="0" applyFill="0" applyBorder="0" applyAlignment="0"/>
    <xf numFmtId="15" fontId="30" fillId="5" borderId="0" applyNumberFormat="0" applyFont="0" applyFill="0" applyBorder="0" applyAlignment="0">
      <alignment horizontal="center" wrapText="1"/>
    </xf>
    <xf numFmtId="0" fontId="20" fillId="0" borderId="16" applyNumberFormat="0" applyFill="0" applyBorder="0" applyAlignment="0" applyProtection="0"/>
    <xf numFmtId="197" fontId="22" fillId="0" borderId="0" applyFont="0" applyFill="0" applyBorder="0" applyAlignment="0" applyProtection="0"/>
    <xf numFmtId="198" fontId="27" fillId="0" borderId="0" applyFont="0" applyFill="0" applyBorder="0" applyAlignment="0" applyProtection="0"/>
    <xf numFmtId="178" fontId="31"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1"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8" fillId="0" borderId="19">
      <protection hidden="1"/>
    </xf>
    <xf numFmtId="199" fontId="3" fillId="0" borderId="0" applyFont="0" applyFill="0" applyBorder="0" applyAlignment="0" applyProtection="0"/>
    <xf numFmtId="38" fontId="32" fillId="5" borderId="0" applyNumberFormat="0" applyBorder="0" applyAlignment="0" applyProtection="0"/>
    <xf numFmtId="0" fontId="33" fillId="0" borderId="20" applyNumberFormat="0" applyAlignment="0" applyProtection="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33" fillId="0" borderId="9">
      <alignment horizontal="left" vertical="center"/>
    </xf>
    <xf numFmtId="0" fontId="1" fillId="0" borderId="0">
      <alignment horizontal="left" vertical="center"/>
    </xf>
    <xf numFmtId="14" fontId="34" fillId="6" borderId="19">
      <alignment horizontal="center" vertical="center" wrapText="1"/>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1" fillId="0" borderId="0" applyFill="0" applyAlignment="0" applyProtection="0">
      <protection locked="0"/>
    </xf>
    <xf numFmtId="0" fontId="21" fillId="0" borderId="7" applyFill="0" applyAlignment="0" applyProtection="0">
      <protection locked="0"/>
    </xf>
    <xf numFmtId="0" fontId="35"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10" fontId="32" fillId="7" borderId="16" applyNumberFormat="0" applyBorder="0" applyAlignment="0" applyProtection="0"/>
    <xf numFmtId="178" fontId="38"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9" fillId="0" borderId="0" applyFont="0" applyFill="0" applyBorder="0" applyAlignment="0" applyProtection="0"/>
    <xf numFmtId="40" fontId="39"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9" fillId="0" borderId="0" applyFont="0" applyFill="0" applyBorder="0" applyAlignment="0" applyProtection="0"/>
    <xf numFmtId="8" fontId="39" fillId="0" borderId="0" applyFont="0" applyFill="0" applyBorder="0" applyAlignment="0" applyProtection="0"/>
    <xf numFmtId="204" fontId="16" fillId="0" borderId="7"/>
    <xf numFmtId="37" fontId="40" fillId="0" borderId="0"/>
    <xf numFmtId="205" fontId="22" fillId="0" borderId="0"/>
    <xf numFmtId="205" fontId="1" fillId="0" borderId="0"/>
    <xf numFmtId="206" fontId="3" fillId="0" borderId="0"/>
    <xf numFmtId="207" fontId="3" fillId="0" borderId="0"/>
    <xf numFmtId="0" fontId="41" fillId="0" borderId="0"/>
    <xf numFmtId="0" fontId="41" fillId="0" borderId="0"/>
    <xf numFmtId="0" fontId="41" fillId="0" borderId="0"/>
    <xf numFmtId="0" fontId="41"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2" fillId="0" borderId="0"/>
    <xf numFmtId="0" fontId="3" fillId="0" borderId="0"/>
    <xf numFmtId="0" fontId="3" fillId="0" borderId="0"/>
    <xf numFmtId="37" fontId="43" fillId="0" borderId="0"/>
    <xf numFmtId="0" fontId="1" fillId="0" borderId="0"/>
    <xf numFmtId="0" fontId="1" fillId="0" borderId="0"/>
    <xf numFmtId="0" fontId="3" fillId="0" borderId="0">
      <alignment wrapText="1"/>
    </xf>
    <xf numFmtId="0" fontId="3" fillId="0" borderId="0"/>
    <xf numFmtId="37" fontId="43" fillId="0" borderId="0"/>
    <xf numFmtId="0" fontId="3" fillId="0" borderId="0"/>
    <xf numFmtId="37" fontId="43" fillId="0" borderId="0"/>
    <xf numFmtId="0" fontId="1" fillId="0" borderId="0"/>
    <xf numFmtId="0" fontId="23" fillId="0" borderId="0"/>
    <xf numFmtId="37" fontId="1" fillId="0" borderId="0"/>
    <xf numFmtId="0" fontId="1" fillId="0" borderId="0"/>
    <xf numFmtId="37" fontId="1" fillId="0" borderId="0"/>
    <xf numFmtId="0" fontId="3" fillId="0" borderId="0">
      <alignment wrapText="1"/>
    </xf>
    <xf numFmtId="37" fontId="44"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9" fillId="0" borderId="0"/>
    <xf numFmtId="218" fontId="28"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5"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45" fillId="0" borderId="0" applyFont="0" applyFill="0" applyBorder="0" applyAlignment="0" applyProtection="0"/>
    <xf numFmtId="9" fontId="39" fillId="0" borderId="21" applyNumberFormat="0" applyBorder="0"/>
    <xf numFmtId="204" fontId="16" fillId="0" borderId="0"/>
    <xf numFmtId="0" fontId="46" fillId="8" borderId="22" applyNumberFormat="0" applyFont="0" applyFill="0" applyAlignment="0">
      <alignment horizontal="center" vertical="center"/>
    </xf>
    <xf numFmtId="178" fontId="47"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7"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3" fillId="0" borderId="23"/>
    <xf numFmtId="0" fontId="48" fillId="0" borderId="0"/>
    <xf numFmtId="0" fontId="22" fillId="0" borderId="0"/>
    <xf numFmtId="0" fontId="39" fillId="0" borderId="0"/>
    <xf numFmtId="37" fontId="49" fillId="0" borderId="19">
      <alignment horizontal="right"/>
      <protection locked="0"/>
    </xf>
    <xf numFmtId="37" fontId="50" fillId="0" borderId="19">
      <alignment horizontal="right"/>
      <protection locked="0"/>
    </xf>
    <xf numFmtId="49" fontId="20"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51" fillId="0" borderId="0" applyFill="0" applyBorder="0" applyProtection="0">
      <alignment horizontal="left" vertical="top"/>
    </xf>
    <xf numFmtId="40" fontId="5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37" fontId="43" fillId="0" borderId="7"/>
    <xf numFmtId="37" fontId="43"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3" fillId="0" borderId="0" applyNumberFormat="0" applyFill="0" applyBorder="0" applyAlignment="0" applyProtection="0"/>
  </cellStyleXfs>
  <cellXfs count="847">
    <xf numFmtId="0" fontId="0" fillId="0" borderId="0" xfId="0"/>
    <xf numFmtId="165" fontId="0" fillId="0" borderId="0" xfId="1" applyNumberFormat="1" applyFont="1"/>
    <xf numFmtId="166" fontId="0" fillId="0" borderId="0" xfId="2" applyNumberFormat="1" applyFont="1"/>
    <xf numFmtId="164" fontId="4" fillId="0" borderId="0" xfId="1" applyNumberFormat="1" applyFont="1" applyAlignment="1">
      <alignment horizontal="right"/>
    </xf>
    <xf numFmtId="0" fontId="4" fillId="0" borderId="0" xfId="0" applyFont="1"/>
    <xf numFmtId="0" fontId="0" fillId="0" borderId="0" xfId="0" applyAlignment="1">
      <alignment wrapText="1"/>
    </xf>
    <xf numFmtId="0" fontId="0" fillId="0" borderId="0" xfId="0"/>
    <xf numFmtId="0" fontId="2" fillId="0" borderId="0" xfId="0" applyFont="1" applyAlignment="1">
      <alignment horizontal="left"/>
    </xf>
    <xf numFmtId="0" fontId="0" fillId="0" borderId="0" xfId="0" applyFill="1" applyBorder="1"/>
    <xf numFmtId="0" fontId="0" fillId="0" borderId="0" xfId="0" applyFill="1" applyAlignment="1">
      <alignment horizontal="center" textRotation="90"/>
    </xf>
    <xf numFmtId="0" fontId="54" fillId="0" borderId="0" xfId="0" applyFont="1" applyFill="1" applyAlignment="1">
      <alignment horizontal="center" vertical="center" wrapText="1"/>
    </xf>
    <xf numFmtId="0" fontId="0" fillId="0" borderId="0" xfId="0" applyAlignment="1">
      <alignment horizontal="center" vertical="center"/>
    </xf>
    <xf numFmtId="165" fontId="0" fillId="0" borderId="0" xfId="1" applyNumberFormat="1" applyFont="1" applyFill="1" applyBorder="1"/>
    <xf numFmtId="164" fontId="6" fillId="0" borderId="0" xfId="1" quotePrefix="1" applyNumberFormat="1" applyFont="1" applyFill="1" applyBorder="1" applyAlignment="1">
      <alignment horizontal="left"/>
    </xf>
    <xf numFmtId="164" fontId="6" fillId="0" borderId="0" xfId="1" quotePrefix="1" applyNumberFormat="1" applyFont="1" applyFill="1" applyBorder="1" applyAlignment="1">
      <alignment horizontal="right"/>
    </xf>
    <xf numFmtId="164" fontId="0" fillId="0" borderId="0" xfId="1" applyNumberFormat="1" applyFont="1" applyFill="1" applyBorder="1"/>
    <xf numFmtId="166" fontId="0" fillId="0" borderId="0" xfId="2" applyNumberFormat="1" applyFont="1" applyFill="1" applyBorder="1"/>
    <xf numFmtId="0" fontId="0" fillId="0" borderId="3" xfId="0" applyBorder="1"/>
    <xf numFmtId="0" fontId="0" fillId="0" borderId="6" xfId="0" applyBorder="1"/>
    <xf numFmtId="1" fontId="0" fillId="0" borderId="40" xfId="0" applyNumberFormat="1" applyBorder="1" applyAlignment="1">
      <alignment horizontal="center" vertical="center"/>
    </xf>
    <xf numFmtId="1" fontId="0" fillId="0" borderId="42" xfId="0" applyNumberFormat="1" applyBorder="1" applyAlignment="1">
      <alignment horizontal="center" vertical="center"/>
    </xf>
    <xf numFmtId="164" fontId="6" fillId="2" borderId="38" xfId="1" quotePrefix="1" applyNumberFormat="1" applyFont="1" applyFill="1" applyBorder="1" applyAlignment="1">
      <alignment horizontal="center" vertical="center" wrapText="1"/>
    </xf>
    <xf numFmtId="164" fontId="6" fillId="2" borderId="39" xfId="1" quotePrefix="1" applyNumberFormat="1" applyFont="1" applyFill="1" applyBorder="1" applyAlignment="1">
      <alignment horizontal="center" vertical="center" wrapText="1"/>
    </xf>
    <xf numFmtId="164" fontId="6" fillId="2" borderId="46" xfId="1" quotePrefix="1" applyNumberFormat="1" applyFont="1" applyFill="1" applyBorder="1" applyAlignment="1">
      <alignment horizontal="center" vertical="center" wrapText="1"/>
    </xf>
    <xf numFmtId="164" fontId="6" fillId="2" borderId="47" xfId="1" quotePrefix="1" applyNumberFormat="1" applyFont="1" applyFill="1" applyBorder="1" applyAlignment="1">
      <alignment horizontal="center" vertical="center" wrapText="1"/>
    </xf>
    <xf numFmtId="164" fontId="6" fillId="2" borderId="40" xfId="1" quotePrefix="1" applyNumberFormat="1" applyFont="1" applyFill="1" applyBorder="1" applyAlignment="1">
      <alignment horizontal="center" vertical="center" wrapText="1"/>
    </xf>
    <xf numFmtId="164" fontId="6" fillId="2" borderId="41" xfId="1" quotePrefix="1" applyNumberFormat="1" applyFont="1" applyFill="1" applyBorder="1" applyAlignment="1">
      <alignment horizontal="center" vertical="center" wrapText="1"/>
    </xf>
    <xf numFmtId="43" fontId="57" fillId="0" borderId="9" xfId="1" applyNumberFormat="1" applyFont="1" applyFill="1" applyBorder="1" applyAlignment="1">
      <alignment horizontal="right"/>
    </xf>
    <xf numFmtId="0" fontId="4" fillId="0" borderId="0" xfId="0" applyFont="1" applyAlignment="1">
      <alignment horizontal="right"/>
    </xf>
    <xf numFmtId="0" fontId="58"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7" fillId="0" borderId="0" xfId="0" applyFont="1" applyFill="1" applyBorder="1" applyAlignment="1">
      <alignment horizontal="left"/>
    </xf>
    <xf numFmtId="164" fontId="59" fillId="0" borderId="0" xfId="1" quotePrefix="1" applyNumberFormat="1" applyFont="1" applyFill="1" applyBorder="1" applyAlignment="1">
      <alignment horizontal="right"/>
    </xf>
    <xf numFmtId="164" fontId="59" fillId="0" borderId="0" xfId="1" quotePrefix="1" applyNumberFormat="1" applyFont="1" applyBorder="1" applyAlignment="1">
      <alignment horizontal="right"/>
    </xf>
    <xf numFmtId="164" fontId="59"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7"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7"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7" fillId="0" borderId="0" xfId="1" quotePrefix="1" applyNumberFormat="1" applyFont="1" applyBorder="1" applyAlignment="1">
      <alignment horizontal="right"/>
    </xf>
    <xf numFmtId="43" fontId="57"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9"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60"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9" fillId="0" borderId="2" xfId="1" quotePrefix="1" applyNumberFormat="1" applyFont="1" applyFill="1" applyBorder="1" applyAlignment="1">
      <alignment horizontal="right"/>
    </xf>
    <xf numFmtId="9" fontId="57"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6" fillId="3" borderId="0" xfId="1" quotePrefix="1" applyNumberFormat="1" applyFont="1" applyFill="1" applyBorder="1" applyAlignment="1">
      <alignment horizontal="right"/>
    </xf>
    <xf numFmtId="164" fontId="61" fillId="2" borderId="2" xfId="1" quotePrefix="1" applyNumberFormat="1" applyFont="1" applyFill="1" applyBorder="1" applyAlignment="1">
      <alignment horizontal="right"/>
    </xf>
    <xf numFmtId="164" fontId="62"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0" fontId="66" fillId="0" borderId="3" xfId="0" applyFont="1" applyBorder="1" applyAlignment="1">
      <alignment horizontal="left"/>
    </xf>
    <xf numFmtId="0" fontId="4" fillId="0" borderId="4" xfId="0" applyFont="1" applyBorder="1" applyAlignment="1"/>
    <xf numFmtId="0" fontId="57" fillId="0" borderId="4" xfId="0" applyFont="1" applyBorder="1" applyAlignment="1"/>
    <xf numFmtId="165" fontId="68" fillId="0" borderId="0" xfId="1" applyNumberFormat="1" applyFont="1" applyBorder="1" applyAlignment="1">
      <alignment horizontal="right"/>
    </xf>
    <xf numFmtId="165" fontId="68" fillId="0" borderId="5" xfId="1" applyNumberFormat="1" applyFont="1" applyBorder="1" applyAlignment="1">
      <alignment horizontal="right"/>
    </xf>
    <xf numFmtId="165" fontId="65" fillId="0" borderId="0" xfId="1" applyNumberFormat="1" applyFont="1" applyFill="1" applyBorder="1" applyAlignment="1">
      <alignment horizontal="right"/>
    </xf>
    <xf numFmtId="165" fontId="68" fillId="0" borderId="0" xfId="1" applyNumberFormat="1" applyFont="1" applyFill="1" applyBorder="1" applyAlignment="1">
      <alignment horizontal="right"/>
    </xf>
    <xf numFmtId="0" fontId="67" fillId="0" borderId="4" xfId="0" applyFont="1" applyBorder="1" applyAlignment="1"/>
    <xf numFmtId="165" fontId="56" fillId="0" borderId="5" xfId="1" applyNumberFormat="1" applyFont="1" applyBorder="1" applyAlignment="1">
      <alignment horizontal="right"/>
    </xf>
    <xf numFmtId="165" fontId="56" fillId="0" borderId="0" xfId="1" applyNumberFormat="1" applyFont="1" applyFill="1" applyBorder="1" applyAlignment="1">
      <alignment horizontal="right"/>
    </xf>
    <xf numFmtId="165" fontId="56" fillId="0" borderId="5" xfId="1" applyNumberFormat="1" applyFont="1" applyFill="1" applyBorder="1" applyAlignment="1">
      <alignment horizontal="right"/>
    </xf>
    <xf numFmtId="0" fontId="67" fillId="0" borderId="0" xfId="0" applyFont="1"/>
    <xf numFmtId="165" fontId="67" fillId="0" borderId="0" xfId="1" applyNumberFormat="1" applyFont="1" applyBorder="1" applyAlignment="1">
      <alignment horizontal="right"/>
    </xf>
    <xf numFmtId="165" fontId="67" fillId="0" borderId="5" xfId="1" applyNumberFormat="1" applyFont="1" applyBorder="1" applyAlignment="1">
      <alignment horizontal="right"/>
    </xf>
    <xf numFmtId="165" fontId="67" fillId="0" borderId="0" xfId="1" applyNumberFormat="1" applyFont="1" applyFill="1" applyBorder="1" applyAlignment="1">
      <alignment horizontal="right"/>
    </xf>
    <xf numFmtId="165" fontId="67" fillId="0" borderId="5" xfId="1" applyNumberFormat="1" applyFont="1" applyFill="1" applyBorder="1" applyAlignment="1">
      <alignment horizontal="right"/>
    </xf>
    <xf numFmtId="0" fontId="65" fillId="0" borderId="0" xfId="0" applyFont="1"/>
    <xf numFmtId="165" fontId="65" fillId="0" borderId="5" xfId="1" applyNumberFormat="1" applyFont="1" applyFill="1" applyBorder="1" applyAlignment="1">
      <alignment horizontal="right"/>
    </xf>
    <xf numFmtId="43" fontId="67" fillId="0" borderId="0" xfId="1" applyNumberFormat="1" applyFont="1" applyFill="1" applyBorder="1" applyAlignment="1">
      <alignment horizontal="right"/>
    </xf>
    <xf numFmtId="43" fontId="67" fillId="0" borderId="5" xfId="1" applyNumberFormat="1" applyFont="1" applyFill="1" applyBorder="1" applyAlignment="1">
      <alignment horizontal="right"/>
    </xf>
    <xf numFmtId="43" fontId="65" fillId="0" borderId="0" xfId="1" applyNumberFormat="1" applyFont="1" applyFill="1" applyBorder="1" applyAlignment="1">
      <alignment horizontal="right"/>
    </xf>
    <xf numFmtId="43" fontId="65" fillId="0" borderId="5" xfId="1" applyNumberFormat="1" applyFont="1" applyFill="1" applyBorder="1" applyAlignment="1">
      <alignment horizontal="right"/>
    </xf>
    <xf numFmtId="9" fontId="65" fillId="0" borderId="7" xfId="2" applyFont="1" applyFill="1" applyBorder="1" applyAlignment="1">
      <alignment horizontal="right"/>
    </xf>
    <xf numFmtId="0" fontId="65" fillId="0" borderId="0" xfId="0" applyFont="1" applyFill="1" applyBorder="1" applyAlignment="1">
      <alignment horizontal="left"/>
    </xf>
    <xf numFmtId="0" fontId="67" fillId="0" borderId="14" xfId="0" applyFont="1" applyBorder="1" applyAlignment="1">
      <alignment horizontal="left"/>
    </xf>
    <xf numFmtId="0" fontId="67" fillId="0" borderId="15" xfId="0" applyFont="1" applyBorder="1" applyAlignment="1">
      <alignment horizontal="left"/>
    </xf>
    <xf numFmtId="165" fontId="57" fillId="0" borderId="31" xfId="1" quotePrefix="1" applyNumberFormat="1" applyFont="1" applyBorder="1" applyAlignment="1">
      <alignment horizontal="right"/>
    </xf>
    <xf numFmtId="165" fontId="57" fillId="0" borderId="31" xfId="1" quotePrefix="1" applyNumberFormat="1" applyFont="1" applyFill="1" applyBorder="1" applyAlignment="1">
      <alignment horizontal="right"/>
    </xf>
    <xf numFmtId="0" fontId="65" fillId="0" borderId="3" xfId="0" applyFont="1" applyBorder="1" applyAlignment="1">
      <alignment horizontal="left" indent="1"/>
    </xf>
    <xf numFmtId="41" fontId="65" fillId="0" borderId="0" xfId="1" quotePrefix="1" applyNumberFormat="1" applyFont="1" applyBorder="1" applyAlignment="1">
      <alignment horizontal="right"/>
    </xf>
    <xf numFmtId="41" fontId="67" fillId="0" borderId="0" xfId="1" quotePrefix="1" applyNumberFormat="1" applyFont="1" applyFill="1" applyBorder="1" applyAlignment="1">
      <alignment horizontal="right"/>
    </xf>
    <xf numFmtId="164" fontId="59" fillId="12" borderId="0" xfId="1" quotePrefix="1" applyNumberFormat="1" applyFont="1" applyFill="1" applyBorder="1" applyAlignment="1">
      <alignment horizontal="right"/>
    </xf>
    <xf numFmtId="0" fontId="65" fillId="12" borderId="3" xfId="0" applyFont="1" applyFill="1" applyBorder="1" applyAlignment="1">
      <alignment horizontal="left" indent="1"/>
    </xf>
    <xf numFmtId="0" fontId="65" fillId="12" borderId="4" xfId="0" applyFont="1" applyFill="1" applyBorder="1" applyAlignment="1">
      <alignment horizontal="left"/>
    </xf>
    <xf numFmtId="41" fontId="65" fillId="12" borderId="0" xfId="1" quotePrefix="1" applyNumberFormat="1" applyFont="1" applyFill="1" applyBorder="1" applyAlignment="1">
      <alignment horizontal="right"/>
    </xf>
    <xf numFmtId="7" fontId="65" fillId="12" borderId="0" xfId="1" quotePrefix="1" applyNumberFormat="1" applyFont="1" applyFill="1" applyBorder="1" applyAlignment="1">
      <alignment horizontal="right"/>
    </xf>
    <xf numFmtId="0" fontId="67" fillId="12" borderId="15" xfId="0" applyFont="1" applyFill="1" applyBorder="1" applyAlignment="1">
      <alignment horizontal="left"/>
    </xf>
    <xf numFmtId="0" fontId="67" fillId="12" borderId="14" xfId="0" applyFont="1" applyFill="1" applyBorder="1" applyAlignment="1">
      <alignment horizontal="left"/>
    </xf>
    <xf numFmtId="164" fontId="59" fillId="0" borderId="50" xfId="1" quotePrefix="1" applyNumberFormat="1" applyFont="1" applyBorder="1" applyAlignment="1">
      <alignment horizontal="right"/>
    </xf>
    <xf numFmtId="0" fontId="67" fillId="12" borderId="4" xfId="0" applyFont="1" applyFill="1" applyBorder="1" applyAlignment="1">
      <alignment horizontal="left"/>
    </xf>
    <xf numFmtId="0" fontId="67"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51"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0" fontId="65" fillId="0" borderId="3" xfId="0" applyFont="1" applyBorder="1" applyAlignment="1">
      <alignment horizontal="left" indent="3"/>
    </xf>
    <xf numFmtId="9" fontId="65" fillId="10" borderId="0" xfId="2" quotePrefix="1" applyFont="1" applyFill="1" applyBorder="1" applyAlignment="1">
      <alignment horizontal="right"/>
    </xf>
    <xf numFmtId="7" fontId="65" fillId="0" borderId="0" xfId="1" quotePrefix="1" applyNumberFormat="1" applyFont="1" applyFill="1" applyBorder="1" applyAlignment="1">
      <alignment horizontal="right"/>
    </xf>
    <xf numFmtId="41" fontId="67" fillId="0" borderId="32" xfId="1" quotePrefix="1" applyNumberFormat="1" applyFont="1" applyFill="1" applyBorder="1" applyAlignment="1">
      <alignment horizontal="right"/>
    </xf>
    <xf numFmtId="0" fontId="65" fillId="12" borderId="3" xfId="0" applyFont="1" applyFill="1" applyBorder="1" applyAlignment="1">
      <alignment horizontal="left" indent="3"/>
    </xf>
    <xf numFmtId="166" fontId="65"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7" fillId="12" borderId="32" xfId="1" quotePrefix="1" applyNumberFormat="1" applyFont="1" applyFill="1" applyBorder="1" applyAlignment="1">
      <alignment horizontal="right"/>
    </xf>
    <xf numFmtId="41" fontId="67" fillId="12" borderId="0" xfId="1" quotePrefix="1" applyNumberFormat="1" applyFont="1" applyFill="1" applyBorder="1" applyAlignment="1">
      <alignment horizontal="right"/>
    </xf>
    <xf numFmtId="0" fontId="70" fillId="0" borderId="4" xfId="0" applyFont="1" applyBorder="1" applyAlignment="1">
      <alignment horizontal="left"/>
    </xf>
    <xf numFmtId="0" fontId="65" fillId="0" borderId="3" xfId="3" applyFont="1" applyBorder="1" applyAlignment="1">
      <alignment horizontal="left" vertical="top"/>
    </xf>
    <xf numFmtId="0" fontId="65" fillId="0" borderId="4" xfId="3" applyFont="1" applyBorder="1" applyAlignment="1">
      <alignment horizontal="left" vertical="top"/>
    </xf>
    <xf numFmtId="165" fontId="68" fillId="0" borderId="5" xfId="1" applyNumberFormat="1" applyFont="1" applyFill="1" applyBorder="1" applyAlignment="1">
      <alignment horizontal="right"/>
    </xf>
    <xf numFmtId="165" fontId="67" fillId="0" borderId="7" xfId="1" applyNumberFormat="1" applyFont="1" applyBorder="1" applyAlignment="1">
      <alignment horizontal="right"/>
    </xf>
    <xf numFmtId="165" fontId="67" fillId="0" borderId="8" xfId="1" applyNumberFormat="1" applyFont="1" applyBorder="1" applyAlignment="1">
      <alignment horizontal="right"/>
    </xf>
    <xf numFmtId="165" fontId="67" fillId="0" borderId="7" xfId="1" applyNumberFormat="1" applyFont="1" applyFill="1" applyBorder="1" applyAlignment="1">
      <alignment horizontal="right"/>
    </xf>
    <xf numFmtId="165" fontId="72"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5" fillId="12" borderId="3" xfId="0" applyFont="1" applyFill="1" applyBorder="1" applyAlignment="1">
      <alignment horizontal="left" indent="2"/>
    </xf>
    <xf numFmtId="0" fontId="67" fillId="12" borderId="14" xfId="0" applyFont="1" applyFill="1" applyBorder="1" applyAlignment="1">
      <alignment horizontal="left" indent="2"/>
    </xf>
    <xf numFmtId="0" fontId="65" fillId="12" borderId="27" xfId="0" applyFont="1" applyFill="1" applyBorder="1" applyAlignment="1">
      <alignment horizontal="left" indent="2"/>
    </xf>
    <xf numFmtId="0" fontId="65" fillId="12" borderId="28" xfId="0" applyFont="1" applyFill="1" applyBorder="1" applyAlignment="1">
      <alignment horizontal="left"/>
    </xf>
    <xf numFmtId="41" fontId="65" fillId="12" borderId="33" xfId="1" quotePrefix="1" applyNumberFormat="1" applyFont="1" applyFill="1" applyBorder="1" applyAlignment="1">
      <alignment horizontal="right"/>
    </xf>
    <xf numFmtId="0" fontId="67"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5" fillId="0" borderId="0" xfId="2" quotePrefix="1" applyNumberFormat="1" applyFont="1" applyFill="1" applyBorder="1" applyAlignment="1">
      <alignment horizontal="right"/>
    </xf>
    <xf numFmtId="0" fontId="67" fillId="0" borderId="15" xfId="0" applyFont="1" applyFill="1" applyBorder="1" applyAlignment="1">
      <alignment horizontal="left"/>
    </xf>
    <xf numFmtId="165" fontId="65" fillId="12" borderId="0" xfId="1" quotePrefix="1" applyNumberFormat="1" applyFont="1" applyFill="1" applyBorder="1" applyAlignment="1">
      <alignment horizontal="right"/>
    </xf>
    <xf numFmtId="165" fontId="67" fillId="12"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0" fillId="12" borderId="4" xfId="0" applyFont="1" applyFill="1" applyBorder="1" applyAlignment="1">
      <alignment horizontal="left"/>
    </xf>
    <xf numFmtId="0" fontId="67" fillId="12" borderId="3" xfId="0" applyFont="1" applyFill="1" applyBorder="1" applyAlignment="1">
      <alignment horizontal="left" indent="1"/>
    </xf>
    <xf numFmtId="165" fontId="57" fillId="12" borderId="5" xfId="1" quotePrefix="1" applyNumberFormat="1" applyFont="1" applyFill="1" applyBorder="1" applyAlignment="1">
      <alignment horizontal="right"/>
    </xf>
    <xf numFmtId="165" fontId="67" fillId="12" borderId="31" xfId="1" quotePrefix="1" applyNumberFormat="1" applyFont="1" applyFill="1" applyBorder="1" applyAlignment="1">
      <alignment horizontal="right"/>
    </xf>
    <xf numFmtId="0" fontId="70" fillId="0" borderId="4" xfId="0" applyFont="1" applyFill="1" applyBorder="1" applyAlignment="1">
      <alignment horizontal="left"/>
    </xf>
    <xf numFmtId="165" fontId="65" fillId="0" borderId="31" xfId="1" quotePrefix="1" applyNumberFormat="1" applyFont="1" applyFill="1" applyBorder="1" applyAlignment="1">
      <alignment horizontal="right"/>
    </xf>
    <xf numFmtId="166" fontId="65" fillId="10" borderId="0" xfId="2" quotePrefix="1" applyNumberFormat="1" applyFont="1" applyFill="1" applyBorder="1" applyAlignment="1">
      <alignment horizontal="right"/>
    </xf>
    <xf numFmtId="0" fontId="65"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9" fillId="12" borderId="27" xfId="0" applyFont="1" applyFill="1" applyBorder="1" applyAlignment="1">
      <alignment horizontal="left"/>
    </xf>
    <xf numFmtId="0" fontId="67" fillId="12" borderId="52" xfId="0" applyFont="1" applyFill="1" applyBorder="1" applyAlignment="1">
      <alignment horizontal="left"/>
    </xf>
    <xf numFmtId="0" fontId="67" fillId="12" borderId="53" xfId="0" applyFont="1" applyFill="1" applyBorder="1" applyAlignment="1">
      <alignment horizontal="left"/>
    </xf>
    <xf numFmtId="166" fontId="67" fillId="12" borderId="54" xfId="2" quotePrefix="1" applyNumberFormat="1" applyFont="1" applyFill="1" applyBorder="1" applyAlignment="1">
      <alignment horizontal="right"/>
    </xf>
    <xf numFmtId="227" fontId="71" fillId="10" borderId="0" xfId="1" quotePrefix="1" applyNumberFormat="1" applyFont="1" applyFill="1" applyBorder="1" applyAlignment="1">
      <alignment horizontal="right"/>
    </xf>
    <xf numFmtId="165" fontId="67" fillId="10" borderId="0" xfId="1" quotePrefix="1" applyNumberFormat="1" applyFont="1" applyFill="1" applyBorder="1" applyAlignment="1">
      <alignment horizontal="right"/>
    </xf>
    <xf numFmtId="9" fontId="65" fillId="12" borderId="33" xfId="2" quotePrefix="1" applyFont="1" applyFill="1" applyBorder="1" applyAlignment="1">
      <alignment horizontal="right"/>
    </xf>
    <xf numFmtId="9" fontId="65" fillId="0" borderId="0" xfId="2" quotePrefix="1" applyFont="1" applyFill="1" applyBorder="1" applyAlignment="1">
      <alignment horizontal="right"/>
    </xf>
    <xf numFmtId="165" fontId="72" fillId="0" borderId="5" xfId="1" quotePrefix="1" applyNumberFormat="1" applyFont="1" applyFill="1" applyBorder="1" applyAlignment="1">
      <alignment horizontal="right"/>
    </xf>
    <xf numFmtId="165" fontId="72" fillId="0" borderId="0" xfId="2" applyNumberFormat="1" applyFont="1" applyFill="1" applyBorder="1" applyAlignment="1">
      <alignment horizontal="right"/>
    </xf>
    <xf numFmtId="165" fontId="67" fillId="0" borderId="0" xfId="1" quotePrefix="1" applyNumberFormat="1" applyFont="1" applyFill="1" applyBorder="1" applyAlignment="1">
      <alignment horizontal="right"/>
    </xf>
    <xf numFmtId="165" fontId="67" fillId="12" borderId="5" xfId="1" quotePrefix="1" applyNumberFormat="1" applyFont="1" applyFill="1" applyBorder="1" applyAlignment="1">
      <alignment horizontal="right"/>
    </xf>
    <xf numFmtId="165" fontId="65" fillId="0" borderId="0" xfId="2" quotePrefix="1" applyNumberFormat="1" applyFont="1" applyFill="1" applyBorder="1" applyAlignment="1">
      <alignment horizontal="right"/>
    </xf>
    <xf numFmtId="166" fontId="67" fillId="12" borderId="32" xfId="2" quotePrefix="1" applyNumberFormat="1" applyFont="1" applyFill="1" applyBorder="1" applyAlignment="1">
      <alignment horizontal="right"/>
    </xf>
    <xf numFmtId="166" fontId="65" fillId="0" borderId="0" xfId="2" applyNumberFormat="1" applyFont="1" applyFill="1" applyBorder="1" applyAlignment="1">
      <alignment horizontal="right"/>
    </xf>
    <xf numFmtId="0" fontId="4" fillId="0" borderId="0" xfId="0" applyFont="1" applyFill="1" applyBorder="1"/>
    <xf numFmtId="0" fontId="76" fillId="0" borderId="0" xfId="0" applyFont="1" applyFill="1"/>
    <xf numFmtId="0" fontId="57" fillId="0" borderId="0" xfId="0" applyFont="1" applyFill="1"/>
    <xf numFmtId="165" fontId="67" fillId="0" borderId="5" xfId="1" quotePrefix="1" applyNumberFormat="1" applyFont="1" applyFill="1" applyBorder="1" applyAlignment="1">
      <alignment horizontal="right"/>
    </xf>
    <xf numFmtId="165" fontId="68" fillId="0" borderId="0" xfId="1" quotePrefix="1" applyNumberFormat="1" applyFont="1" applyFill="1" applyBorder="1" applyAlignment="1">
      <alignment horizontal="right"/>
    </xf>
    <xf numFmtId="165" fontId="68" fillId="0" borderId="5" xfId="1" quotePrefix="1" applyNumberFormat="1" applyFont="1" applyFill="1" applyBorder="1" applyAlignment="1">
      <alignment horizontal="right"/>
    </xf>
    <xf numFmtId="0" fontId="75" fillId="0" borderId="3" xfId="0" applyFont="1" applyBorder="1" applyAlignment="1">
      <alignment horizontal="left"/>
    </xf>
    <xf numFmtId="165" fontId="4" fillId="0" borderId="34" xfId="1" quotePrefix="1" applyNumberFormat="1" applyFont="1" applyFill="1" applyBorder="1" applyAlignment="1">
      <alignment horizontal="right"/>
    </xf>
    <xf numFmtId="165" fontId="65" fillId="0" borderId="33" xfId="1" quotePrefix="1" applyNumberFormat="1" applyFont="1" applyFill="1" applyBorder="1" applyAlignment="1">
      <alignment horizontal="right"/>
    </xf>
    <xf numFmtId="165" fontId="65" fillId="0" borderId="34" xfId="1" quotePrefix="1" applyNumberFormat="1" applyFont="1" applyFill="1" applyBorder="1" applyAlignment="1">
      <alignment horizontal="right"/>
    </xf>
    <xf numFmtId="9" fontId="67" fillId="0" borderId="5" xfId="2" quotePrefix="1" applyFont="1" applyFill="1" applyBorder="1" applyAlignment="1">
      <alignment horizontal="right"/>
    </xf>
    <xf numFmtId="10" fontId="67" fillId="0" borderId="0" xfId="2" applyNumberFormat="1" applyFont="1" applyFill="1" applyBorder="1" applyAlignment="1">
      <alignment horizontal="right"/>
    </xf>
    <xf numFmtId="10" fontId="65" fillId="0" borderId="5" xfId="2" applyNumberFormat="1" applyFont="1" applyBorder="1" applyAlignment="1">
      <alignment horizontal="right"/>
    </xf>
    <xf numFmtId="10" fontId="65" fillId="0" borderId="0" xfId="2" applyNumberFormat="1" applyFont="1" applyFill="1" applyBorder="1" applyAlignment="1">
      <alignment horizontal="right"/>
    </xf>
    <xf numFmtId="9" fontId="65" fillId="0" borderId="5" xfId="2" applyFont="1" applyBorder="1" applyAlignment="1">
      <alignment horizontal="right"/>
    </xf>
    <xf numFmtId="166" fontId="65" fillId="0" borderId="5" xfId="2" applyNumberFormat="1" applyFont="1" applyBorder="1" applyAlignment="1">
      <alignment horizontal="right"/>
    </xf>
    <xf numFmtId="166" fontId="65" fillId="0" borderId="5" xfId="2" quotePrefix="1" applyNumberFormat="1" applyFont="1" applyFill="1" applyBorder="1" applyAlignment="1">
      <alignment horizontal="right"/>
    </xf>
    <xf numFmtId="10" fontId="65" fillId="0" borderId="5" xfId="2" quotePrefix="1" applyNumberFormat="1" applyFont="1" applyFill="1" applyBorder="1" applyAlignment="1">
      <alignment horizontal="right"/>
    </xf>
    <xf numFmtId="10" fontId="65" fillId="0" borderId="0" xfId="2" quotePrefix="1" applyNumberFormat="1" applyFont="1" applyFill="1" applyBorder="1" applyAlignment="1">
      <alignment horizontal="right"/>
    </xf>
    <xf numFmtId="225" fontId="65" fillId="0" borderId="5" xfId="2" applyNumberFormat="1" applyFont="1" applyBorder="1" applyAlignment="1">
      <alignment horizontal="right"/>
    </xf>
    <xf numFmtId="6" fontId="65" fillId="0" borderId="5" xfId="2" applyNumberFormat="1" applyFont="1" applyBorder="1" applyAlignment="1">
      <alignment horizontal="right"/>
    </xf>
    <xf numFmtId="165" fontId="65" fillId="0" borderId="32" xfId="1" quotePrefix="1" applyNumberFormat="1" applyFont="1" applyFill="1" applyBorder="1" applyAlignment="1">
      <alignment horizontal="right"/>
    </xf>
    <xf numFmtId="165" fontId="78" fillId="0" borderId="31"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65" fontId="68" fillId="10" borderId="0" xfId="1" quotePrefix="1" applyNumberFormat="1" applyFont="1" applyFill="1" applyBorder="1" applyAlignment="1">
      <alignment horizontal="right"/>
    </xf>
    <xf numFmtId="165" fontId="68" fillId="10" borderId="5" xfId="1" quotePrefix="1" applyNumberFormat="1" applyFont="1" applyFill="1" applyBorder="1" applyAlignment="1">
      <alignment horizontal="right"/>
    </xf>
    <xf numFmtId="10" fontId="65" fillId="10" borderId="5" xfId="2" applyNumberFormat="1" applyFont="1" applyFill="1" applyBorder="1" applyAlignment="1">
      <alignment horizontal="right"/>
    </xf>
    <xf numFmtId="10" fontId="65" fillId="10" borderId="5" xfId="2" quotePrefix="1" applyNumberFormat="1" applyFont="1" applyFill="1" applyBorder="1" applyAlignment="1">
      <alignment horizontal="right"/>
    </xf>
    <xf numFmtId="6" fontId="65" fillId="10" borderId="5" xfId="2" applyNumberFormat="1" applyFont="1" applyFill="1" applyBorder="1" applyAlignment="1">
      <alignment horizontal="right"/>
    </xf>
    <xf numFmtId="225" fontId="67" fillId="0" borderId="0" xfId="1" applyNumberFormat="1" applyFont="1" applyFill="1" applyBorder="1" applyAlignment="1">
      <alignment horizontal="right"/>
    </xf>
    <xf numFmtId="225" fontId="67" fillId="0" borderId="0" xfId="2" applyNumberFormat="1" applyFont="1" applyFill="1" applyBorder="1" applyAlignment="1">
      <alignment horizontal="right"/>
    </xf>
    <xf numFmtId="225" fontId="65" fillId="0" borderId="0" xfId="2" applyNumberFormat="1" applyFont="1" applyFill="1" applyBorder="1" applyAlignment="1">
      <alignment horizontal="right"/>
    </xf>
    <xf numFmtId="225" fontId="67" fillId="0" borderId="0" xfId="1" quotePrefix="1" applyNumberFormat="1" applyFont="1" applyFill="1" applyBorder="1" applyAlignment="1">
      <alignment horizontal="right"/>
    </xf>
    <xf numFmtId="225" fontId="65" fillId="10" borderId="5" xfId="2" applyNumberFormat="1" applyFont="1" applyFill="1" applyBorder="1" applyAlignment="1">
      <alignment horizontal="right"/>
    </xf>
    <xf numFmtId="165" fontId="78" fillId="10" borderId="31" xfId="1" quotePrefix="1" applyNumberFormat="1" applyFont="1" applyFill="1" applyBorder="1" applyAlignment="1">
      <alignment horizontal="right"/>
    </xf>
    <xf numFmtId="0" fontId="65" fillId="0" borderId="0" xfId="0" applyFont="1" applyFill="1"/>
    <xf numFmtId="165" fontId="65" fillId="0" borderId="5" xfId="2" quotePrefix="1" applyNumberFormat="1" applyFont="1" applyFill="1" applyBorder="1" applyAlignment="1">
      <alignment horizontal="right"/>
    </xf>
    <xf numFmtId="0" fontId="67" fillId="0" borderId="0" xfId="0" applyFont="1" applyFill="1"/>
    <xf numFmtId="6" fontId="65" fillId="0" borderId="5" xfId="2" applyNumberFormat="1" applyFont="1" applyFill="1" applyBorder="1" applyAlignment="1">
      <alignment horizontal="right"/>
    </xf>
    <xf numFmtId="9" fontId="65" fillId="0" borderId="0" xfId="2" applyFont="1" applyBorder="1" applyAlignment="1">
      <alignment horizontal="right"/>
    </xf>
    <xf numFmtId="166" fontId="65" fillId="0" borderId="0" xfId="2" applyNumberFormat="1" applyFont="1" applyBorder="1" applyAlignment="1">
      <alignment horizontal="right"/>
    </xf>
    <xf numFmtId="166" fontId="65" fillId="0" borderId="5" xfId="2" applyNumberFormat="1" applyFont="1" applyFill="1" applyBorder="1" applyAlignment="1">
      <alignment horizontal="right"/>
    </xf>
    <xf numFmtId="0" fontId="65" fillId="0" borderId="3" xfId="0" applyFont="1" applyBorder="1" applyAlignment="1"/>
    <xf numFmtId="164" fontId="65" fillId="0" borderId="0" xfId="1" quotePrefix="1" applyNumberFormat="1" applyFont="1" applyFill="1" applyBorder="1" applyAlignment="1">
      <alignment horizontal="right"/>
    </xf>
    <xf numFmtId="164" fontId="65" fillId="0" borderId="5" xfId="1" quotePrefix="1" applyNumberFormat="1" applyFont="1" applyFill="1" applyBorder="1" applyAlignment="1">
      <alignment horizontal="right"/>
    </xf>
    <xf numFmtId="164" fontId="65" fillId="10" borderId="0" xfId="1" quotePrefix="1" applyNumberFormat="1" applyFont="1" applyFill="1" applyBorder="1" applyAlignment="1">
      <alignment horizontal="right"/>
    </xf>
    <xf numFmtId="167" fontId="65" fillId="0" borderId="5" xfId="1" quotePrefix="1" applyNumberFormat="1" applyFont="1" applyFill="1" applyBorder="1" applyAlignment="1">
      <alignment horizontal="right"/>
    </xf>
    <xf numFmtId="165" fontId="68" fillId="10" borderId="0" xfId="1" applyNumberFormat="1" applyFont="1" applyFill="1" applyBorder="1" applyAlignment="1">
      <alignment horizontal="right"/>
    </xf>
    <xf numFmtId="9" fontId="65" fillId="0" borderId="5" xfId="2" quotePrefix="1" applyFont="1" applyFill="1" applyBorder="1" applyAlignment="1">
      <alignment horizontal="right"/>
    </xf>
    <xf numFmtId="165" fontId="65" fillId="10" borderId="0" xfId="1" applyNumberFormat="1" applyFont="1" applyFill="1" applyBorder="1" applyAlignment="1">
      <alignment horizontal="right"/>
    </xf>
    <xf numFmtId="9" fontId="65" fillId="10" borderId="0" xfId="2" applyFont="1" applyFill="1" applyBorder="1" applyAlignment="1">
      <alignment horizontal="right"/>
    </xf>
    <xf numFmtId="166" fontId="65" fillId="10" borderId="0" xfId="2" applyNumberFormat="1" applyFont="1" applyFill="1" applyBorder="1" applyAlignment="1">
      <alignment horizontal="right"/>
    </xf>
    <xf numFmtId="166" fontId="65" fillId="0" borderId="33" xfId="2" quotePrefix="1" applyNumberFormat="1" applyFont="1" applyFill="1" applyBorder="1" applyAlignment="1">
      <alignment horizontal="right"/>
    </xf>
    <xf numFmtId="43" fontId="65" fillId="10" borderId="0" xfId="1" quotePrefix="1" applyNumberFormat="1" applyFont="1" applyFill="1" applyBorder="1" applyAlignment="1">
      <alignment horizontal="right"/>
    </xf>
    <xf numFmtId="0" fontId="75" fillId="0" borderId="3" xfId="3" applyFont="1" applyFill="1" applyBorder="1" applyAlignment="1">
      <alignment horizontal="left" vertical="top"/>
    </xf>
    <xf numFmtId="0" fontId="65" fillId="0" borderId="3" xfId="3" applyFont="1" applyFill="1" applyBorder="1" applyAlignment="1">
      <alignment horizontal="left" vertical="top" indent="1"/>
    </xf>
    <xf numFmtId="0" fontId="65" fillId="0" borderId="3" xfId="0" applyFont="1" applyFill="1" applyBorder="1" applyAlignment="1">
      <alignment horizontal="left" indent="2"/>
    </xf>
    <xf numFmtId="165" fontId="65" fillId="10" borderId="5" xfId="2" quotePrefix="1" applyNumberFormat="1" applyFont="1" applyFill="1" applyBorder="1" applyAlignment="1">
      <alignment horizontal="right"/>
    </xf>
    <xf numFmtId="0" fontId="65" fillId="0" borderId="27" xfId="0" applyFont="1" applyBorder="1" applyAlignment="1">
      <alignment horizontal="left" indent="1"/>
    </xf>
    <xf numFmtId="0" fontId="65" fillId="0" borderId="3" xfId="0" applyFont="1" applyFill="1" applyBorder="1" applyAlignment="1">
      <alignment horizontal="left" indent="3"/>
    </xf>
    <xf numFmtId="165" fontId="65" fillId="10" borderId="33" xfId="1" quotePrefix="1" applyNumberFormat="1" applyFont="1" applyFill="1" applyBorder="1" applyAlignment="1">
      <alignment horizontal="right"/>
    </xf>
    <xf numFmtId="165" fontId="57" fillId="0" borderId="9" xfId="1" applyNumberFormat="1" applyFont="1" applyFill="1" applyBorder="1" applyAlignment="1">
      <alignment horizontal="right"/>
    </xf>
    <xf numFmtId="0" fontId="69" fillId="0" borderId="27" xfId="0" applyFont="1" applyFill="1" applyBorder="1" applyAlignment="1">
      <alignment horizontal="left"/>
    </xf>
    <xf numFmtId="7" fontId="65"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5" fillId="10" borderId="0" xfId="1" applyNumberFormat="1" applyFont="1" applyFill="1" applyBorder="1" applyAlignment="1">
      <alignment horizontal="right"/>
    </xf>
    <xf numFmtId="10" fontId="65" fillId="0" borderId="5" xfId="2" applyNumberFormat="1" applyFont="1" applyFill="1" applyBorder="1" applyAlignment="1">
      <alignment horizontal="right"/>
    </xf>
    <xf numFmtId="225" fontId="65" fillId="0" borderId="5" xfId="2" applyNumberFormat="1" applyFont="1" applyFill="1" applyBorder="1" applyAlignment="1">
      <alignment horizontal="right"/>
    </xf>
    <xf numFmtId="164" fontId="65" fillId="0" borderId="5" xfId="1" applyNumberFormat="1" applyFont="1" applyFill="1" applyBorder="1" applyAlignment="1">
      <alignment horizontal="right"/>
    </xf>
    <xf numFmtId="41" fontId="65" fillId="0" borderId="0" xfId="1" quotePrefix="1" applyNumberFormat="1" applyFont="1" applyFill="1" applyBorder="1" applyAlignment="1">
      <alignment horizontal="right"/>
    </xf>
    <xf numFmtId="41" fontId="65" fillId="0" borderId="33" xfId="1" quotePrefix="1" applyNumberFormat="1" applyFont="1" applyFill="1" applyBorder="1" applyAlignment="1">
      <alignment horizontal="right"/>
    </xf>
    <xf numFmtId="165" fontId="73" fillId="0" borderId="0" xfId="1" quotePrefix="1" applyNumberFormat="1" applyFont="1" applyFill="1" applyBorder="1" applyAlignment="1">
      <alignment horizontal="right"/>
    </xf>
    <xf numFmtId="164" fontId="74" fillId="0" borderId="5" xfId="1" quotePrefix="1" applyNumberFormat="1" applyFont="1" applyFill="1" applyBorder="1" applyAlignment="1">
      <alignment horizontal="right"/>
    </xf>
    <xf numFmtId="164" fontId="59" fillId="0" borderId="50" xfId="1" quotePrefix="1" applyNumberFormat="1" applyFont="1" applyFill="1" applyBorder="1" applyAlignment="1">
      <alignment horizontal="right"/>
    </xf>
    <xf numFmtId="165" fontId="67" fillId="0" borderId="32" xfId="1" quotePrefix="1" applyNumberFormat="1" applyFont="1" applyFill="1" applyBorder="1" applyAlignment="1">
      <alignment horizontal="right"/>
    </xf>
    <xf numFmtId="0" fontId="67" fillId="0" borderId="3" xfId="0" applyFont="1" applyBorder="1" applyAlignment="1">
      <alignment horizontal="left" indent="4"/>
    </xf>
    <xf numFmtId="7" fontId="65" fillId="0" borderId="5" xfId="1" applyNumberFormat="1" applyFont="1" applyFill="1" applyBorder="1" applyAlignment="1">
      <alignment horizontal="right"/>
    </xf>
    <xf numFmtId="164" fontId="65" fillId="0" borderId="7" xfId="1" applyNumberFormat="1" applyFont="1" applyFill="1" applyBorder="1" applyAlignment="1">
      <alignment horizontal="right"/>
    </xf>
    <xf numFmtId="164" fontId="65" fillId="0" borderId="8" xfId="1" applyNumberFormat="1" applyFont="1" applyFill="1" applyBorder="1" applyAlignment="1">
      <alignment horizontal="right"/>
    </xf>
    <xf numFmtId="9" fontId="65" fillId="0" borderId="7" xfId="2" applyFont="1" applyFill="1" applyBorder="1" applyAlignment="1">
      <alignment horizontal="left"/>
    </xf>
    <xf numFmtId="166" fontId="65" fillId="0" borderId="7" xfId="2" applyNumberFormat="1" applyFont="1" applyFill="1" applyBorder="1" applyAlignment="1">
      <alignment horizontal="right"/>
    </xf>
    <xf numFmtId="0" fontId="65" fillId="0" borderId="3" xfId="0" applyFont="1" applyFill="1" applyBorder="1"/>
    <xf numFmtId="9" fontId="65" fillId="10" borderId="4" xfId="2" applyNumberFormat="1" applyFont="1" applyFill="1" applyBorder="1" applyAlignment="1">
      <alignment horizontal="right"/>
    </xf>
    <xf numFmtId="165" fontId="65" fillId="0" borderId="33" xfId="1" applyNumberFormat="1" applyFont="1" applyBorder="1" applyAlignment="1">
      <alignment horizontal="right"/>
    </xf>
    <xf numFmtId="43" fontId="65" fillId="0" borderId="7" xfId="1" applyFont="1" applyBorder="1" applyAlignment="1">
      <alignment horizontal="right"/>
    </xf>
    <xf numFmtId="43" fontId="65" fillId="0" borderId="8" xfId="1" applyFont="1" applyBorder="1" applyAlignment="1">
      <alignment horizontal="right"/>
    </xf>
    <xf numFmtId="0" fontId="65" fillId="0" borderId="3" xfId="0" applyFont="1" applyBorder="1"/>
    <xf numFmtId="43" fontId="68" fillId="10" borderId="4" xfId="1" quotePrefix="1" applyNumberFormat="1" applyFont="1" applyFill="1" applyBorder="1" applyAlignment="1">
      <alignment horizontal="right"/>
    </xf>
    <xf numFmtId="165" fontId="65" fillId="0" borderId="7" xfId="1" applyNumberFormat="1" applyFont="1" applyFill="1" applyBorder="1" applyAlignment="1">
      <alignment horizontal="right"/>
    </xf>
    <xf numFmtId="165" fontId="65" fillId="0" borderId="8" xfId="1" applyNumberFormat="1" applyFont="1" applyFill="1" applyBorder="1" applyAlignment="1">
      <alignment horizontal="right"/>
    </xf>
    <xf numFmtId="0" fontId="4" fillId="0" borderId="4" xfId="0" applyFont="1" applyBorder="1" applyAlignment="1">
      <alignment horizontal="left"/>
    </xf>
    <xf numFmtId="0" fontId="65" fillId="0" borderId="3" xfId="0" applyFont="1" applyBorder="1" applyAlignment="1">
      <alignment horizontal="left"/>
    </xf>
    <xf numFmtId="0" fontId="65" fillId="0" borderId="4" xfId="0" applyFont="1" applyBorder="1" applyAlignment="1">
      <alignment horizontal="left"/>
    </xf>
    <xf numFmtId="0" fontId="69" fillId="0" borderId="4" xfId="0" applyFont="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5" fillId="0" borderId="3" xfId="0" applyFont="1" applyFill="1" applyBorder="1" applyAlignment="1">
      <alignment horizontal="left"/>
    </xf>
    <xf numFmtId="0" fontId="65" fillId="0" borderId="4" xfId="0" applyFont="1" applyFill="1" applyBorder="1" applyAlignment="1">
      <alignment horizontal="left"/>
    </xf>
    <xf numFmtId="0" fontId="64" fillId="2" borderId="3" xfId="0" applyFont="1" applyFill="1" applyBorder="1" applyAlignment="1">
      <alignment horizontal="left"/>
    </xf>
    <xf numFmtId="0" fontId="69" fillId="12" borderId="4" xfId="0" applyFont="1" applyFill="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indent="2"/>
    </xf>
    <xf numFmtId="0" fontId="65" fillId="0" borderId="3" xfId="0" applyFont="1" applyFill="1" applyBorder="1" applyAlignment="1">
      <alignment horizontal="left" indent="1"/>
    </xf>
    <xf numFmtId="0" fontId="65" fillId="0" borderId="4" xfId="3" applyFont="1" applyFill="1" applyBorder="1" applyAlignment="1">
      <alignment horizontal="left" vertical="top"/>
    </xf>
    <xf numFmtId="0" fontId="65" fillId="0" borderId="27" xfId="0" applyFont="1" applyBorder="1" applyAlignment="1">
      <alignment horizontal="left"/>
    </xf>
    <xf numFmtId="0" fontId="65" fillId="0" borderId="28" xfId="0" applyFont="1" applyBorder="1" applyAlignment="1">
      <alignment horizontal="left"/>
    </xf>
    <xf numFmtId="0" fontId="67" fillId="0" borderId="3" xfId="0" applyFont="1" applyFill="1" applyBorder="1" applyAlignment="1">
      <alignment horizontal="left"/>
    </xf>
    <xf numFmtId="0" fontId="67" fillId="0" borderId="4" xfId="0" applyFont="1" applyFill="1" applyBorder="1" applyAlignment="1">
      <alignment horizontal="left"/>
    </xf>
    <xf numFmtId="0" fontId="65" fillId="0" borderId="3" xfId="0" applyFont="1" applyBorder="1" applyAlignment="1">
      <alignment horizontal="left" indent="2"/>
    </xf>
    <xf numFmtId="0" fontId="65" fillId="0" borderId="4" xfId="0" applyFont="1" applyBorder="1" applyAlignment="1">
      <alignment horizontal="left" indent="2"/>
    </xf>
    <xf numFmtId="0" fontId="65" fillId="0" borderId="6" xfId="0" applyFont="1" applyFill="1" applyBorder="1" applyAlignment="1">
      <alignment horizontal="left"/>
    </xf>
    <xf numFmtId="0" fontId="65" fillId="0" borderId="10" xfId="0" applyFont="1" applyFill="1" applyBorder="1" applyAlignment="1">
      <alignment horizontal="left"/>
    </xf>
    <xf numFmtId="166" fontId="65" fillId="0" borderId="5" xfId="2" quotePrefix="1" applyNumberFormat="1" applyFont="1" applyBorder="1" applyAlignment="1">
      <alignment horizontal="right"/>
    </xf>
    <xf numFmtId="166" fontId="65"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5" fillId="10" borderId="33" xfId="2" applyNumberFormat="1" applyFont="1" applyFill="1" applyBorder="1" applyAlignment="1">
      <alignment horizontal="right"/>
    </xf>
    <xf numFmtId="9" fontId="65" fillId="10" borderId="7" xfId="2" applyFont="1" applyFill="1" applyBorder="1" applyAlignment="1">
      <alignment horizontal="right"/>
    </xf>
    <xf numFmtId="165" fontId="65" fillId="10" borderId="7" xfId="1" applyNumberFormat="1" applyFont="1" applyFill="1" applyBorder="1" applyAlignment="1">
      <alignment horizontal="right"/>
    </xf>
    <xf numFmtId="0" fontId="65" fillId="0" borderId="27" xfId="0" applyFont="1" applyFill="1" applyBorder="1" applyAlignment="1">
      <alignment horizontal="left" indent="2"/>
    </xf>
    <xf numFmtId="0" fontId="65" fillId="0" borderId="28" xfId="0" applyFont="1" applyFill="1" applyBorder="1" applyAlignment="1">
      <alignment horizontal="left"/>
    </xf>
    <xf numFmtId="0" fontId="67" fillId="0" borderId="3" xfId="0" applyFont="1" applyFill="1" applyBorder="1" applyAlignment="1">
      <alignment horizontal="left" indent="2"/>
    </xf>
    <xf numFmtId="0" fontId="65" fillId="0" borderId="3" xfId="0" applyFont="1" applyFill="1" applyBorder="1" applyAlignment="1">
      <alignment horizontal="left" indent="4"/>
    </xf>
    <xf numFmtId="166" fontId="65" fillId="12" borderId="33" xfId="2" quotePrefix="1" applyNumberFormat="1" applyFont="1" applyFill="1" applyBorder="1" applyAlignment="1">
      <alignment horizontal="right"/>
    </xf>
    <xf numFmtId="227" fontId="71" fillId="12" borderId="0" xfId="1" quotePrefix="1" applyNumberFormat="1" applyFont="1" applyFill="1" applyBorder="1" applyAlignment="1">
      <alignment horizontal="right"/>
    </xf>
    <xf numFmtId="227" fontId="71" fillId="12" borderId="5" xfId="1" quotePrefix="1" applyNumberFormat="1" applyFont="1" applyFill="1" applyBorder="1" applyAlignment="1">
      <alignment horizontal="right"/>
    </xf>
    <xf numFmtId="165" fontId="72" fillId="12" borderId="0" xfId="1" quotePrefix="1" applyNumberFormat="1" applyFont="1" applyFill="1" applyBorder="1" applyAlignment="1">
      <alignment horizontal="right"/>
    </xf>
    <xf numFmtId="9" fontId="65"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7" fillId="12" borderId="0" xfId="2" quotePrefix="1" applyNumberFormat="1" applyFont="1" applyFill="1" applyBorder="1" applyAlignment="1">
      <alignment horizontal="right"/>
    </xf>
    <xf numFmtId="166" fontId="57" fillId="12" borderId="5" xfId="2" quotePrefix="1" applyNumberFormat="1" applyFont="1" applyFill="1" applyBorder="1" applyAlignment="1">
      <alignment horizontal="right"/>
    </xf>
    <xf numFmtId="0" fontId="67" fillId="0" borderId="14" xfId="0" applyFont="1" applyFill="1" applyBorder="1" applyAlignment="1">
      <alignment horizontal="left"/>
    </xf>
    <xf numFmtId="165" fontId="67" fillId="0" borderId="31" xfId="1" quotePrefix="1" applyNumberFormat="1" applyFont="1" applyFill="1" applyBorder="1" applyAlignment="1">
      <alignment horizontal="right"/>
    </xf>
    <xf numFmtId="0" fontId="75" fillId="0" borderId="27" xfId="0" applyFont="1" applyFill="1" applyBorder="1" applyAlignment="1">
      <alignment horizontal="left"/>
    </xf>
    <xf numFmtId="0" fontId="70" fillId="0" borderId="28" xfId="0" applyFont="1" applyFill="1" applyBorder="1" applyAlignment="1">
      <alignment horizontal="left"/>
    </xf>
    <xf numFmtId="165" fontId="55"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5" fillId="10" borderId="32" xfId="1" quotePrefix="1" applyNumberFormat="1" applyFont="1" applyFill="1" applyBorder="1" applyAlignment="1">
      <alignment horizontal="right"/>
    </xf>
    <xf numFmtId="0" fontId="75" fillId="12" borderId="27" xfId="0" applyFont="1" applyFill="1" applyBorder="1" applyAlignment="1">
      <alignment horizontal="left"/>
    </xf>
    <xf numFmtId="0" fontId="70" fillId="12" borderId="28" xfId="0" applyFont="1" applyFill="1" applyBorder="1" applyAlignment="1">
      <alignment horizontal="left"/>
    </xf>
    <xf numFmtId="43" fontId="65" fillId="12" borderId="33" xfId="1" quotePrefix="1" applyFont="1" applyFill="1" applyBorder="1" applyAlignment="1">
      <alignment horizontal="right"/>
    </xf>
    <xf numFmtId="165" fontId="65"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0" fontId="77" fillId="12" borderId="3" xfId="0" applyFont="1" applyFill="1" applyBorder="1" applyAlignment="1">
      <alignment horizontal="left"/>
    </xf>
    <xf numFmtId="0" fontId="65" fillId="12" borderId="4" xfId="0" applyFont="1" applyFill="1" applyBorder="1" applyAlignment="1">
      <alignment horizontal="left" indent="1"/>
    </xf>
    <xf numFmtId="0" fontId="76" fillId="12" borderId="3" xfId="0" applyFont="1" applyFill="1" applyBorder="1" applyAlignment="1">
      <alignment horizontal="left" indent="1"/>
    </xf>
    <xf numFmtId="0" fontId="76" fillId="12" borderId="4" xfId="0" applyFont="1" applyFill="1" applyBorder="1" applyAlignment="1">
      <alignment horizontal="left" indent="1"/>
    </xf>
    <xf numFmtId="165" fontId="76" fillId="12" borderId="0" xfId="1" quotePrefix="1" applyNumberFormat="1" applyFont="1" applyFill="1" applyBorder="1" applyAlignment="1">
      <alignment horizontal="right"/>
    </xf>
    <xf numFmtId="165" fontId="76" fillId="12" borderId="5" xfId="1" quotePrefix="1" applyNumberFormat="1" applyFont="1" applyFill="1" applyBorder="1" applyAlignment="1">
      <alignment horizontal="right"/>
    </xf>
    <xf numFmtId="165" fontId="67" fillId="0" borderId="33" xfId="1" quotePrefix="1" applyNumberFormat="1" applyFont="1" applyFill="1" applyBorder="1" applyAlignment="1">
      <alignment horizontal="right"/>
    </xf>
    <xf numFmtId="0" fontId="75" fillId="0" borderId="27" xfId="0" applyFont="1" applyBorder="1" applyAlignment="1">
      <alignment horizontal="left"/>
    </xf>
    <xf numFmtId="165" fontId="67" fillId="0" borderId="33" xfId="1" applyNumberFormat="1" applyFont="1" applyFill="1" applyBorder="1" applyAlignment="1">
      <alignment horizontal="right"/>
    </xf>
    <xf numFmtId="165" fontId="67" fillId="0" borderId="34" xfId="1" applyNumberFormat="1" applyFont="1" applyBorder="1" applyAlignment="1">
      <alignment horizontal="right"/>
    </xf>
    <xf numFmtId="165" fontId="57" fillId="0" borderId="34" xfId="1" quotePrefix="1" applyNumberFormat="1" applyFont="1" applyFill="1" applyBorder="1" applyAlignment="1">
      <alignment horizontal="right"/>
    </xf>
    <xf numFmtId="0" fontId="75" fillId="12" borderId="27" xfId="0" applyFont="1" applyFill="1" applyBorder="1" applyAlignment="1">
      <alignment horizontal="left" indent="1"/>
    </xf>
    <xf numFmtId="165" fontId="67" fillId="12" borderId="33" xfId="1" quotePrefix="1" applyNumberFormat="1" applyFont="1" applyFill="1" applyBorder="1" applyAlignment="1">
      <alignment horizontal="right"/>
    </xf>
    <xf numFmtId="9" fontId="67" fillId="12" borderId="34" xfId="2" quotePrefix="1" applyFont="1" applyFill="1" applyBorder="1" applyAlignment="1">
      <alignment horizontal="right"/>
    </xf>
    <xf numFmtId="165" fontId="65" fillId="12" borderId="33" xfId="1" quotePrefix="1" applyNumberFormat="1" applyFont="1" applyFill="1" applyBorder="1" applyAlignment="1">
      <alignment horizontal="right"/>
    </xf>
    <xf numFmtId="165" fontId="68" fillId="12" borderId="0" xfId="1" quotePrefix="1" applyNumberFormat="1" applyFont="1" applyFill="1" applyBorder="1" applyAlignment="1">
      <alignment horizontal="right"/>
    </xf>
    <xf numFmtId="165" fontId="65" fillId="12" borderId="5" xfId="2" quotePrefix="1" applyNumberFormat="1" applyFont="1" applyFill="1" applyBorder="1" applyAlignment="1">
      <alignment horizontal="right"/>
    </xf>
    <xf numFmtId="165" fontId="68" fillId="12" borderId="5" xfId="1" quotePrefix="1" applyNumberFormat="1" applyFont="1" applyFill="1" applyBorder="1" applyAlignment="1">
      <alignment horizontal="right"/>
    </xf>
    <xf numFmtId="165" fontId="56" fillId="12" borderId="0" xfId="1" quotePrefix="1" applyNumberFormat="1" applyFont="1" applyFill="1" applyBorder="1" applyAlignment="1">
      <alignment horizontal="right"/>
    </xf>
    <xf numFmtId="0" fontId="76" fillId="12" borderId="3" xfId="0" applyFont="1" applyFill="1" applyBorder="1" applyAlignment="1">
      <alignment horizontal="left" indent="3"/>
    </xf>
    <xf numFmtId="43" fontId="76" fillId="12" borderId="31" xfId="1" applyFont="1" applyFill="1" applyBorder="1" applyAlignment="1">
      <alignment horizontal="left" indent="3"/>
    </xf>
    <xf numFmtId="165" fontId="76" fillId="12" borderId="31" xfId="1" applyNumberFormat="1" applyFont="1" applyFill="1" applyBorder="1" applyAlignment="1">
      <alignment horizontal="left" indent="3"/>
    </xf>
    <xf numFmtId="0" fontId="65" fillId="0" borderId="14" xfId="0" applyFont="1" applyBorder="1" applyAlignment="1">
      <alignment horizontal="left" indent="2"/>
    </xf>
    <xf numFmtId="0" fontId="75" fillId="12" borderId="3" xfId="0" applyFont="1" applyFill="1" applyBorder="1" applyAlignment="1">
      <alignment horizontal="left"/>
    </xf>
    <xf numFmtId="0" fontId="66" fillId="12" borderId="3" xfId="0" applyFont="1" applyFill="1" applyBorder="1" applyAlignment="1">
      <alignment horizontal="left" indent="1"/>
    </xf>
    <xf numFmtId="165" fontId="67" fillId="12" borderId="0" xfId="1" applyNumberFormat="1" applyFont="1" applyFill="1" applyBorder="1" applyAlignment="1">
      <alignment horizontal="right"/>
    </xf>
    <xf numFmtId="165" fontId="67" fillId="12" borderId="5" xfId="1" applyNumberFormat="1" applyFont="1" applyFill="1" applyBorder="1" applyAlignment="1">
      <alignment horizontal="right"/>
    </xf>
    <xf numFmtId="166" fontId="65" fillId="11" borderId="33" xfId="2" applyNumberFormat="1" applyFont="1" applyFill="1" applyBorder="1" applyAlignment="1">
      <alignment horizontal="right"/>
    </xf>
    <xf numFmtId="166" fontId="65" fillId="12" borderId="33" xfId="2" applyNumberFormat="1" applyFont="1" applyFill="1" applyBorder="1" applyAlignment="1">
      <alignment horizontal="right"/>
    </xf>
    <xf numFmtId="166" fontId="65" fillId="12" borderId="34" xfId="2" applyNumberFormat="1" applyFont="1" applyFill="1" applyBorder="1" applyAlignment="1">
      <alignment horizontal="right"/>
    </xf>
    <xf numFmtId="166" fontId="65"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5" fillId="12" borderId="5" xfId="2" applyNumberFormat="1" applyFont="1" applyFill="1" applyBorder="1" applyAlignment="1">
      <alignment horizontal="right"/>
    </xf>
    <xf numFmtId="9" fontId="4" fillId="12" borderId="5" xfId="2" applyFont="1" applyFill="1" applyBorder="1" applyAlignment="1">
      <alignment horizontal="right"/>
    </xf>
    <xf numFmtId="165" fontId="65" fillId="0" borderId="33" xfId="1" applyNumberFormat="1" applyFont="1" applyFill="1" applyBorder="1" applyAlignment="1">
      <alignment horizontal="right"/>
    </xf>
    <xf numFmtId="165" fontId="65" fillId="0" borderId="34" xfId="1" applyNumberFormat="1" applyFont="1" applyBorder="1" applyAlignment="1">
      <alignment horizontal="right"/>
    </xf>
    <xf numFmtId="165" fontId="65" fillId="12" borderId="33" xfId="1" applyNumberFormat="1" applyFont="1" applyFill="1" applyBorder="1" applyAlignment="1">
      <alignment horizontal="right"/>
    </xf>
    <xf numFmtId="165" fontId="65"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165" fontId="68" fillId="12" borderId="0" xfId="1" applyNumberFormat="1" applyFont="1" applyFill="1" applyBorder="1" applyAlignment="1">
      <alignment horizontal="right"/>
    </xf>
    <xf numFmtId="165" fontId="68" fillId="12" borderId="5" xfId="1" applyNumberFormat="1" applyFont="1" applyFill="1" applyBorder="1" applyAlignment="1">
      <alignment horizontal="righ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5" fillId="12" borderId="32" xfId="1" applyNumberFormat="1" applyFont="1" applyFill="1" applyBorder="1" applyAlignment="1">
      <alignment horizontal="right"/>
    </xf>
    <xf numFmtId="165" fontId="65" fillId="12" borderId="31" xfId="1" applyNumberFormat="1" applyFont="1" applyFill="1" applyBorder="1" applyAlignment="1">
      <alignment horizontal="right"/>
    </xf>
    <xf numFmtId="9" fontId="65" fillId="0" borderId="33" xfId="2" applyFont="1" applyFill="1" applyBorder="1" applyAlignment="1">
      <alignment horizontal="right"/>
    </xf>
    <xf numFmtId="9" fontId="65" fillId="0" borderId="33" xfId="2" applyFont="1" applyBorder="1" applyAlignment="1">
      <alignment horizontal="right"/>
    </xf>
    <xf numFmtId="9" fontId="65" fillId="0" borderId="34" xfId="2" applyFont="1" applyBorder="1" applyAlignment="1">
      <alignment horizontal="right"/>
    </xf>
    <xf numFmtId="9" fontId="65" fillId="10" borderId="33" xfId="2" applyFont="1" applyFill="1" applyBorder="1" applyAlignment="1">
      <alignment horizontal="right"/>
    </xf>
    <xf numFmtId="0" fontId="65" fillId="12" borderId="27" xfId="0" applyFont="1" applyFill="1" applyBorder="1" applyAlignment="1">
      <alignment horizontal="left"/>
    </xf>
    <xf numFmtId="164" fontId="65" fillId="12" borderId="34" xfId="1" quotePrefix="1" applyNumberFormat="1" applyFont="1" applyFill="1" applyBorder="1" applyAlignment="1">
      <alignment horizontal="right"/>
    </xf>
    <xf numFmtId="166" fontId="65" fillId="12" borderId="34" xfId="2" quotePrefix="1" applyNumberFormat="1" applyFont="1" applyFill="1" applyBorder="1" applyAlignment="1">
      <alignment horizontal="right"/>
    </xf>
    <xf numFmtId="164" fontId="65" fillId="12" borderId="0" xfId="1" quotePrefix="1" applyNumberFormat="1" applyFont="1" applyFill="1" applyBorder="1" applyAlignment="1">
      <alignment horizontal="right"/>
    </xf>
    <xf numFmtId="43" fontId="65" fillId="12" borderId="0" xfId="1" quotePrefix="1" applyNumberFormat="1" applyFont="1" applyFill="1" applyBorder="1" applyAlignment="1">
      <alignment horizontal="right"/>
    </xf>
    <xf numFmtId="164" fontId="65" fillId="12" borderId="5" xfId="1" quotePrefix="1" applyNumberFormat="1" applyFont="1" applyFill="1" applyBorder="1" applyAlignment="1">
      <alignment horizontal="right"/>
    </xf>
    <xf numFmtId="43" fontId="65" fillId="12" borderId="5" xfId="1" quotePrefix="1" applyNumberFormat="1" applyFont="1" applyFill="1" applyBorder="1" applyAlignment="1">
      <alignment horizontal="right"/>
    </xf>
    <xf numFmtId="9" fontId="65" fillId="12" borderId="5" xfId="2" applyFont="1" applyFill="1" applyBorder="1" applyAlignment="1">
      <alignment horizontal="right"/>
    </xf>
    <xf numFmtId="166" fontId="65" fillId="12" borderId="5" xfId="2" quotePrefix="1" applyNumberFormat="1" applyFont="1" applyFill="1" applyBorder="1" applyAlignment="1">
      <alignment horizontal="right"/>
    </xf>
    <xf numFmtId="165" fontId="65"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5" fillId="10" borderId="33" xfId="1" applyNumberFormat="1" applyFont="1" applyFill="1" applyBorder="1" applyAlignment="1">
      <alignment horizontal="right"/>
    </xf>
    <xf numFmtId="164" fontId="61" fillId="2" borderId="55" xfId="1" quotePrefix="1" applyNumberFormat="1" applyFont="1" applyFill="1" applyBorder="1" applyAlignment="1">
      <alignment horizontal="right"/>
    </xf>
    <xf numFmtId="164" fontId="62" fillId="2" borderId="5" xfId="1" quotePrefix="1" applyNumberFormat="1" applyFont="1" applyFill="1" applyBorder="1" applyAlignment="1">
      <alignment horizontal="right"/>
    </xf>
    <xf numFmtId="9" fontId="65"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55" xfId="1" quotePrefix="1" applyNumberFormat="1" applyFont="1" applyFill="1" applyBorder="1" applyAlignment="1">
      <alignment horizontal="right"/>
    </xf>
    <xf numFmtId="164" fontId="56" fillId="3" borderId="5" xfId="1" quotePrefix="1" applyNumberFormat="1" applyFont="1" applyFill="1" applyBorder="1" applyAlignment="1">
      <alignment horizontal="right"/>
    </xf>
    <xf numFmtId="0" fontId="64" fillId="2" borderId="4" xfId="0" applyFont="1" applyFill="1" applyBorder="1" applyAlignment="1">
      <alignment horizontal="left"/>
    </xf>
    <xf numFmtId="0" fontId="4" fillId="0" borderId="4" xfId="0" applyFont="1" applyFill="1" applyBorder="1" applyAlignment="1">
      <alignment horizontal="left"/>
    </xf>
    <xf numFmtId="0" fontId="69" fillId="12" borderId="28" xfId="0" applyFont="1" applyFill="1" applyBorder="1" applyAlignment="1">
      <alignment horizontal="left"/>
    </xf>
    <xf numFmtId="0" fontId="71" fillId="0" borderId="28" xfId="0" applyFont="1" applyBorder="1" applyAlignment="1">
      <alignment horizontal="left"/>
    </xf>
    <xf numFmtId="0" fontId="71" fillId="0" borderId="4" xfId="0" applyFont="1" applyBorder="1" applyAlignment="1">
      <alignment horizontal="left"/>
    </xf>
    <xf numFmtId="0" fontId="71" fillId="0" borderId="15" xfId="0" applyFont="1" applyBorder="1" applyAlignment="1">
      <alignment horizontal="left"/>
    </xf>
    <xf numFmtId="0" fontId="69" fillId="0" borderId="28" xfId="0" applyFont="1" applyBorder="1" applyAlignment="1">
      <alignment horizontal="left"/>
    </xf>
    <xf numFmtId="9" fontId="65" fillId="0" borderId="8" xfId="2" applyNumberFormat="1" applyFont="1" applyFill="1" applyBorder="1" applyAlignment="1">
      <alignment horizontal="right"/>
    </xf>
    <xf numFmtId="9" fontId="65" fillId="0" borderId="8" xfId="2" applyFont="1" applyFill="1" applyBorder="1" applyAlignment="1">
      <alignment horizontal="right"/>
    </xf>
    <xf numFmtId="225" fontId="65" fillId="11" borderId="5" xfId="2" applyNumberFormat="1" applyFont="1" applyFill="1" applyBorder="1" applyAlignment="1">
      <alignment horizontal="right"/>
    </xf>
    <xf numFmtId="6" fontId="65" fillId="11" borderId="5" xfId="2" applyNumberFormat="1"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5" fillId="11" borderId="5" xfId="2" applyNumberFormat="1" applyFont="1" applyFill="1" applyBorder="1" applyAlignment="1">
      <alignment horizontal="righ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5" fontId="65" fillId="11" borderId="5" xfId="1" applyNumberFormat="1" applyFont="1" applyFill="1" applyBorder="1" applyAlignment="1">
      <alignment horizontal="right"/>
    </xf>
    <xf numFmtId="166" fontId="72" fillId="0" borderId="0" xfId="2" applyNumberFormat="1" applyFont="1" applyFill="1" applyBorder="1" applyAlignment="1">
      <alignment horizontal="right"/>
    </xf>
    <xf numFmtId="165" fontId="65" fillId="12" borderId="51" xfId="1" quotePrefix="1" applyNumberFormat="1" applyFont="1" applyFill="1" applyBorder="1" applyAlignment="1">
      <alignment horizontal="right"/>
    </xf>
    <xf numFmtId="165" fontId="67" fillId="11" borderId="5" xfId="1" quotePrefix="1" applyNumberFormat="1" applyFont="1" applyFill="1" applyBorder="1" applyAlignment="1">
      <alignment horizontal="right"/>
    </xf>
    <xf numFmtId="165" fontId="65" fillId="11" borderId="51" xfId="1" quotePrefix="1" applyNumberFormat="1" applyFont="1" applyFill="1" applyBorder="1" applyAlignment="1">
      <alignment horizontal="right"/>
    </xf>
    <xf numFmtId="165" fontId="65" fillId="3" borderId="0" xfId="1" quotePrefix="1" applyNumberFormat="1" applyFont="1" applyFill="1" applyBorder="1" applyAlignment="1">
      <alignment horizontal="right"/>
    </xf>
    <xf numFmtId="164" fontId="65" fillId="0" borderId="32" xfId="1" quotePrefix="1" applyNumberFormat="1" applyFont="1" applyFill="1" applyBorder="1" applyAlignment="1">
      <alignment horizontal="right"/>
    </xf>
    <xf numFmtId="167" fontId="65" fillId="0" borderId="0" xfId="1" quotePrefix="1" applyNumberFormat="1" applyFont="1" applyFill="1" applyBorder="1" applyAlignment="1">
      <alignment horizontal="left"/>
    </xf>
    <xf numFmtId="0" fontId="81" fillId="2" borderId="63" xfId="0" applyFont="1" applyFill="1" applyBorder="1" applyAlignment="1">
      <alignment horizontal="center" vertical="center" wrapText="1"/>
    </xf>
    <xf numFmtId="0" fontId="81" fillId="2" borderId="65" xfId="0" applyFont="1" applyFill="1" applyBorder="1" applyAlignment="1">
      <alignment horizontal="center" vertical="center" wrapText="1"/>
    </xf>
    <xf numFmtId="0" fontId="82" fillId="2" borderId="62" xfId="0" applyFont="1" applyFill="1" applyBorder="1" applyAlignment="1">
      <alignment horizontal="center" vertical="center" wrapText="1"/>
    </xf>
    <xf numFmtId="0" fontId="82" fillId="2" borderId="64" xfId="0" applyFont="1" applyFill="1" applyBorder="1" applyAlignment="1">
      <alignment horizontal="center" vertical="center" wrapText="1"/>
    </xf>
    <xf numFmtId="0" fontId="83" fillId="0" borderId="70" xfId="0" applyFont="1" applyFill="1" applyBorder="1" applyAlignment="1">
      <alignment vertical="center" wrapText="1"/>
    </xf>
    <xf numFmtId="14"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14" fontId="84" fillId="0" borderId="61" xfId="0" applyNumberFormat="1" applyFont="1" applyFill="1" applyBorder="1" applyAlignment="1">
      <alignment horizontal="center" vertical="center" wrapText="1"/>
    </xf>
    <xf numFmtId="14" fontId="84" fillId="0" borderId="63" xfId="0" applyNumberFormat="1" applyFont="1" applyFill="1" applyBorder="1" applyAlignment="1">
      <alignment horizontal="center" vertical="center" wrapText="1"/>
    </xf>
    <xf numFmtId="14" fontId="84" fillId="0" borderId="70" xfId="0" applyNumberFormat="1" applyFont="1" applyFill="1" applyBorder="1" applyAlignment="1">
      <alignment horizontal="center" vertical="center" wrapText="1"/>
    </xf>
    <xf numFmtId="14" fontId="84" fillId="0" borderId="72" xfId="0" applyNumberFormat="1" applyFont="1" applyFill="1" applyBorder="1" applyAlignment="1">
      <alignment horizontal="center" vertical="center" wrapText="1"/>
    </xf>
    <xf numFmtId="0" fontId="83" fillId="0" borderId="74" xfId="0" applyFont="1" applyFill="1" applyBorder="1" applyAlignment="1">
      <alignment vertical="center" wrapText="1"/>
    </xf>
    <xf numFmtId="8" fontId="84" fillId="0" borderId="75" xfId="0" applyNumberFormat="1" applyFont="1" applyFill="1" applyBorder="1" applyAlignment="1">
      <alignment horizontal="center" vertical="center" wrapText="1"/>
    </xf>
    <xf numFmtId="228" fontId="0" fillId="0" borderId="41" xfId="0" applyNumberFormat="1" applyBorder="1" applyAlignment="1">
      <alignment horizontal="right" vertical="center"/>
    </xf>
    <xf numFmtId="166" fontId="0" fillId="0" borderId="41" xfId="2" applyNumberFormat="1" applyFont="1" applyFill="1" applyBorder="1" applyAlignment="1">
      <alignment horizontal="right" vertical="center"/>
    </xf>
    <xf numFmtId="226" fontId="0" fillId="0" borderId="41" xfId="0" applyNumberFormat="1" applyBorder="1" applyAlignment="1">
      <alignment horizontal="right" vertical="center"/>
    </xf>
    <xf numFmtId="228" fontId="0" fillId="0" borderId="4" xfId="0" applyNumberFormat="1" applyBorder="1" applyAlignment="1">
      <alignment horizontal="right" vertical="center"/>
    </xf>
    <xf numFmtId="166" fontId="0" fillId="0" borderId="4" xfId="2" applyNumberFormat="1" applyFont="1" applyFill="1" applyBorder="1" applyAlignment="1">
      <alignment horizontal="right" vertical="center"/>
    </xf>
    <xf numFmtId="226" fontId="0" fillId="0" borderId="4" xfId="0" applyNumberFormat="1" applyBorder="1" applyAlignment="1">
      <alignment horizontal="right" vertical="center"/>
    </xf>
    <xf numFmtId="228" fontId="0" fillId="0" borderId="10" xfId="0" applyNumberFormat="1" applyBorder="1" applyAlignment="1">
      <alignment horizontal="right" vertical="center"/>
    </xf>
    <xf numFmtId="164" fontId="6" fillId="2" borderId="0" xfId="1" quotePrefix="1" applyNumberFormat="1" applyFont="1" applyFill="1" applyBorder="1" applyAlignment="1">
      <alignment horizontal="center" vertical="center" wrapText="1"/>
    </xf>
    <xf numFmtId="228" fontId="0" fillId="0" borderId="0" xfId="0" applyNumberFormat="1" applyBorder="1" applyAlignment="1">
      <alignment horizontal="right" vertical="center"/>
    </xf>
    <xf numFmtId="166" fontId="0" fillId="0" borderId="0" xfId="2" applyNumberFormat="1" applyFont="1" applyFill="1" applyBorder="1" applyAlignment="1">
      <alignment horizontal="right" vertical="center"/>
    </xf>
    <xf numFmtId="226" fontId="0" fillId="0" borderId="0" xfId="0" applyNumberFormat="1" applyBorder="1" applyAlignment="1">
      <alignment horizontal="right" vertical="center"/>
    </xf>
    <xf numFmtId="228" fontId="0" fillId="0" borderId="7" xfId="0" applyNumberFormat="1" applyBorder="1" applyAlignment="1">
      <alignment horizontal="right" vertical="center"/>
    </xf>
    <xf numFmtId="164" fontId="6" fillId="2" borderId="3"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228" fontId="0" fillId="12" borderId="41" xfId="0" applyNumberFormat="1" applyFill="1" applyBorder="1" applyAlignment="1">
      <alignment horizontal="right" vertical="center"/>
    </xf>
    <xf numFmtId="166" fontId="0" fillId="12" borderId="41" xfId="2" applyNumberFormat="1" applyFont="1" applyFill="1" applyBorder="1" applyAlignment="1">
      <alignment horizontal="right" vertical="center"/>
    </xf>
    <xf numFmtId="226" fontId="0" fillId="12" borderId="41" xfId="0" applyNumberFormat="1" applyFill="1" applyBorder="1" applyAlignment="1">
      <alignment horizontal="right" vertical="center"/>
    </xf>
    <xf numFmtId="228" fontId="0" fillId="12" borderId="43" xfId="0" applyNumberFormat="1" applyFill="1" applyBorder="1" applyAlignment="1">
      <alignment horizontal="right" vertical="center"/>
    </xf>
    <xf numFmtId="228" fontId="55" fillId="0" borderId="0" xfId="0" applyNumberFormat="1" applyFont="1" applyBorder="1" applyAlignment="1">
      <alignment horizontal="right" vertical="center"/>
    </xf>
    <xf numFmtId="228" fontId="0" fillId="0" borderId="41" xfId="0" applyNumberFormat="1" applyFill="1" applyBorder="1" applyAlignment="1">
      <alignment horizontal="right" vertical="center"/>
    </xf>
    <xf numFmtId="226" fontId="0" fillId="0" borderId="41" xfId="0" applyNumberFormat="1" applyFill="1" applyBorder="1" applyAlignment="1">
      <alignment horizontal="right" vertical="center"/>
    </xf>
    <xf numFmtId="228" fontId="0" fillId="0" borderId="43" xfId="0" applyNumberFormat="1" applyFill="1" applyBorder="1" applyAlignment="1">
      <alignment horizontal="right" vertical="center"/>
    </xf>
    <xf numFmtId="164" fontId="6" fillId="2" borderId="76" xfId="1" quotePrefix="1" applyNumberFormat="1" applyFont="1" applyFill="1" applyBorder="1" applyAlignment="1">
      <alignment vertical="center" wrapText="1"/>
    </xf>
    <xf numFmtId="164" fontId="6" fillId="2" borderId="77" xfId="1" quotePrefix="1" applyNumberFormat="1" applyFont="1" applyFill="1" applyBorder="1" applyAlignment="1">
      <alignment vertical="center" wrapText="1"/>
    </xf>
    <xf numFmtId="164" fontId="6" fillId="2" borderId="82" xfId="1" quotePrefix="1" applyNumberFormat="1" applyFont="1" applyFill="1" applyBorder="1" applyAlignment="1">
      <alignment vertical="center" wrapText="1"/>
    </xf>
    <xf numFmtId="164" fontId="6" fillId="2" borderId="80" xfId="1" quotePrefix="1" applyNumberFormat="1" applyFont="1" applyFill="1" applyBorder="1" applyAlignment="1">
      <alignment vertical="center" wrapText="1"/>
    </xf>
    <xf numFmtId="0" fontId="89" fillId="0" borderId="3" xfId="0" applyFont="1" applyBorder="1"/>
    <xf numFmtId="0" fontId="87" fillId="0" borderId="3" xfId="0" applyFont="1" applyBorder="1"/>
    <xf numFmtId="5" fontId="87" fillId="0" borderId="4" xfId="1" applyNumberFormat="1" applyFont="1" applyFill="1" applyBorder="1" applyAlignment="1">
      <alignment horizontal="right"/>
    </xf>
    <xf numFmtId="165" fontId="88" fillId="0" borderId="15" xfId="1" applyNumberFormat="1" applyFont="1" applyBorder="1" applyAlignment="1">
      <alignment horizontal="right"/>
    </xf>
    <xf numFmtId="0" fontId="87" fillId="0" borderId="3" xfId="0" applyFont="1" applyFill="1" applyBorder="1"/>
    <xf numFmtId="43" fontId="87" fillId="0" borderId="4" xfId="1" applyNumberFormat="1" applyFont="1" applyBorder="1" applyAlignment="1">
      <alignment horizontal="right"/>
    </xf>
    <xf numFmtId="166" fontId="87" fillId="10" borderId="4" xfId="1" applyNumberFormat="1" applyFont="1" applyFill="1" applyBorder="1" applyAlignment="1">
      <alignment horizontal="right"/>
    </xf>
    <xf numFmtId="166" fontId="88" fillId="0" borderId="4" xfId="2" applyNumberFormat="1" applyFont="1" applyBorder="1" applyAlignment="1">
      <alignment horizontal="right"/>
    </xf>
    <xf numFmtId="10" fontId="87" fillId="10" borderId="4" xfId="2" applyNumberFormat="1" applyFont="1" applyFill="1" applyBorder="1" applyAlignment="1">
      <alignment horizontal="right"/>
    </xf>
    <xf numFmtId="166" fontId="65" fillId="0" borderId="4" xfId="2" applyNumberFormat="1" applyFont="1" applyBorder="1" applyAlignment="1">
      <alignment horizontal="right"/>
    </xf>
    <xf numFmtId="166" fontId="67" fillId="0" borderId="15" xfId="2" applyNumberFormat="1" applyFont="1" applyBorder="1" applyAlignment="1">
      <alignment horizontal="right"/>
    </xf>
    <xf numFmtId="0" fontId="88" fillId="0" borderId="14" xfId="0" applyFont="1" applyFill="1" applyBorder="1" applyAlignment="1">
      <alignment horizontal="left" indent="1"/>
    </xf>
    <xf numFmtId="0" fontId="88" fillId="0" borderId="3" xfId="0" applyFont="1" applyFill="1" applyBorder="1" applyAlignment="1">
      <alignment horizontal="left" indent="1"/>
    </xf>
    <xf numFmtId="0" fontId="67" fillId="0" borderId="14" xfId="0" applyFont="1" applyFill="1" applyBorder="1" applyAlignment="1">
      <alignment horizontal="left" indent="1"/>
    </xf>
    <xf numFmtId="166" fontId="88" fillId="0" borderId="15" xfId="2" applyNumberFormat="1" applyFont="1" applyBorder="1" applyAlignment="1">
      <alignment horizontal="right"/>
    </xf>
    <xf numFmtId="166" fontId="65" fillId="10" borderId="4" xfId="2" applyNumberFormat="1" applyFont="1" applyFill="1" applyBorder="1" applyAlignment="1">
      <alignment horizontal="right"/>
    </xf>
    <xf numFmtId="0" fontId="69" fillId="0" borderId="3" xfId="0" applyFont="1" applyBorder="1"/>
    <xf numFmtId="164" fontId="65" fillId="0" borderId="4" xfId="1" applyNumberFormat="1" applyFont="1" applyBorder="1" applyAlignment="1">
      <alignment horizontal="right"/>
    </xf>
    <xf numFmtId="165" fontId="90" fillId="0" borderId="4" xfId="1" applyNumberFormat="1" applyFont="1" applyFill="1" applyBorder="1" applyAlignment="1">
      <alignment horizontal="right"/>
    </xf>
    <xf numFmtId="166" fontId="65"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7" fillId="0" borderId="8" xfId="1" applyNumberFormat="1" applyFont="1" applyFill="1" applyBorder="1" applyAlignment="1">
      <alignment horizontal="right"/>
    </xf>
    <xf numFmtId="5" fontId="69" fillId="0" borderId="4" xfId="1" applyNumberFormat="1" applyFont="1" applyBorder="1" applyAlignment="1">
      <alignment horizontal="right"/>
    </xf>
    <xf numFmtId="43" fontId="65"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5"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5" fillId="0" borderId="4" xfId="1" applyNumberFormat="1" applyFont="1" applyFill="1" applyBorder="1" applyAlignment="1">
      <alignment horizontal="right"/>
    </xf>
    <xf numFmtId="165" fontId="65" fillId="0" borderId="4" xfId="1" applyNumberFormat="1" applyFont="1" applyBorder="1" applyAlignment="1">
      <alignment horizontal="right"/>
    </xf>
    <xf numFmtId="43" fontId="68" fillId="0" borderId="4" xfId="1" applyNumberFormat="1" applyFont="1" applyFill="1" applyBorder="1" applyAlignment="1">
      <alignment horizontal="right"/>
    </xf>
    <xf numFmtId="0" fontId="67" fillId="0" borderId="14" xfId="0" applyFont="1" applyFill="1" applyBorder="1"/>
    <xf numFmtId="5" fontId="67" fillId="0" borderId="15" xfId="1" applyNumberFormat="1" applyFont="1" applyBorder="1" applyAlignment="1">
      <alignment horizontal="right"/>
    </xf>
    <xf numFmtId="43" fontId="65" fillId="0" borderId="0" xfId="1" applyFont="1" applyFill="1" applyAlignment="1">
      <alignment horizontal="right"/>
    </xf>
    <xf numFmtId="165" fontId="65" fillId="0" borderId="0" xfId="1" applyNumberFormat="1" applyFont="1" applyFill="1" applyAlignment="1">
      <alignment horizontal="right"/>
    </xf>
    <xf numFmtId="166" fontId="65" fillId="0" borderId="0" xfId="2" applyNumberFormat="1" applyFont="1" applyFill="1" applyAlignment="1">
      <alignment horizontal="right"/>
    </xf>
    <xf numFmtId="43" fontId="65" fillId="0" borderId="0" xfId="1" applyNumberFormat="1" applyFont="1" applyFill="1" applyAlignment="1">
      <alignment horizontal="right"/>
    </xf>
    <xf numFmtId="167" fontId="65" fillId="0" borderId="0" xfId="1" applyNumberFormat="1" applyFont="1" applyFill="1" applyAlignment="1">
      <alignment horizontal="right"/>
    </xf>
    <xf numFmtId="166" fontId="65" fillId="0" borderId="0" xfId="1" applyNumberFormat="1" applyFont="1" applyFill="1" applyAlignment="1">
      <alignment horizontal="right"/>
    </xf>
    <xf numFmtId="166" fontId="65" fillId="0" borderId="0" xfId="2" applyNumberFormat="1" applyFont="1"/>
    <xf numFmtId="229" fontId="65" fillId="10" borderId="4" xfId="1" applyNumberFormat="1" applyFont="1" applyFill="1" applyBorder="1" applyAlignment="1">
      <alignment horizontal="right"/>
    </xf>
    <xf numFmtId="0" fontId="67" fillId="0" borderId="3" xfId="0" applyFont="1" applyFill="1" applyBorder="1"/>
    <xf numFmtId="229" fontId="65" fillId="0" borderId="4" xfId="2" applyNumberFormat="1" applyFont="1" applyFill="1" applyBorder="1" applyAlignment="1">
      <alignment horizontal="right"/>
    </xf>
    <xf numFmtId="229" fontId="65" fillId="0" borderId="4" xfId="1" applyNumberFormat="1" applyFont="1" applyFill="1" applyBorder="1" applyAlignment="1">
      <alignment horizontal="right"/>
    </xf>
    <xf numFmtId="43" fontId="65" fillId="0" borderId="4" xfId="1" quotePrefix="1" applyNumberFormat="1" applyFont="1" applyBorder="1" applyAlignment="1">
      <alignment horizontal="right"/>
    </xf>
    <xf numFmtId="5" fontId="67" fillId="0" borderId="4" xfId="1" applyNumberFormat="1" applyFont="1" applyBorder="1" applyAlignment="1">
      <alignment horizontal="right"/>
    </xf>
    <xf numFmtId="0" fontId="67" fillId="0" borderId="25" xfId="0" applyFont="1" applyFill="1" applyBorder="1" applyAlignment="1">
      <alignment horizontal="left"/>
    </xf>
    <xf numFmtId="5" fontId="67" fillId="0" borderId="26" xfId="1" applyNumberFormat="1" applyFont="1" applyBorder="1" applyAlignment="1">
      <alignment horizontal="right"/>
    </xf>
    <xf numFmtId="0" fontId="67" fillId="0" borderId="1" xfId="0" applyFont="1" applyFill="1" applyBorder="1" applyAlignment="1">
      <alignment horizontal="left"/>
    </xf>
    <xf numFmtId="5" fontId="67" fillId="0" borderId="11" xfId="1" applyNumberFormat="1" applyFont="1" applyBorder="1" applyAlignment="1">
      <alignment horizontal="right"/>
    </xf>
    <xf numFmtId="0" fontId="65" fillId="0" borderId="1" xfId="0" applyFont="1" applyBorder="1"/>
    <xf numFmtId="5" fontId="65" fillId="0" borderId="4" xfId="1" applyNumberFormat="1" applyFont="1" applyFill="1" applyBorder="1" applyAlignment="1">
      <alignment horizontal="right"/>
    </xf>
    <xf numFmtId="0" fontId="65" fillId="0" borderId="14" xfId="0" applyFont="1" applyFill="1" applyBorder="1"/>
    <xf numFmtId="6" fontId="65" fillId="0" borderId="15" xfId="0" applyNumberFormat="1" applyFont="1" applyBorder="1"/>
    <xf numFmtId="10" fontId="65" fillId="10" borderId="11" xfId="1" applyNumberFormat="1" applyFont="1" applyFill="1" applyBorder="1" applyAlignment="1">
      <alignment horizontal="right"/>
    </xf>
    <xf numFmtId="10" fontId="65" fillId="10" borderId="4" xfId="2" applyNumberFormat="1" applyFont="1" applyFill="1" applyBorder="1" applyAlignment="1">
      <alignment horizontal="right"/>
    </xf>
    <xf numFmtId="230" fontId="67" fillId="0" borderId="0" xfId="2" applyNumberFormat="1" applyFont="1" applyFill="1" applyBorder="1" applyAlignment="1">
      <alignment horizontal="right"/>
    </xf>
    <xf numFmtId="0" fontId="0" fillId="0" borderId="0" xfId="0" applyBorder="1"/>
    <xf numFmtId="228" fontId="79" fillId="16" borderId="0" xfId="0" applyNumberFormat="1" applyFont="1" applyFill="1" applyBorder="1" applyAlignment="1">
      <alignment horizontal="right" vertical="center"/>
    </xf>
    <xf numFmtId="166" fontId="79" fillId="16" borderId="0" xfId="2" applyNumberFormat="1" applyFont="1" applyFill="1" applyBorder="1" applyAlignment="1">
      <alignment horizontal="right" vertical="center"/>
    </xf>
    <xf numFmtId="226" fontId="79" fillId="16" borderId="0" xfId="0" applyNumberFormat="1" applyFont="1" applyFill="1" applyBorder="1" applyAlignment="1">
      <alignment horizontal="right" vertical="center"/>
    </xf>
    <xf numFmtId="228" fontId="79" fillId="16" borderId="7" xfId="0" applyNumberFormat="1" applyFont="1" applyFill="1" applyBorder="1" applyAlignment="1">
      <alignment horizontal="right" vertical="center"/>
    </xf>
    <xf numFmtId="0" fontId="65" fillId="0" borderId="3" xfId="0" applyFont="1" applyFill="1" applyBorder="1" applyAlignment="1">
      <alignment horizontal="left"/>
    </xf>
    <xf numFmtId="0" fontId="65" fillId="0" borderId="4" xfId="0" applyFont="1" applyFill="1" applyBorder="1" applyAlignment="1">
      <alignment horizontal="left"/>
    </xf>
    <xf numFmtId="165" fontId="4" fillId="0" borderId="0" xfId="1" applyNumberFormat="1" applyFont="1"/>
    <xf numFmtId="165" fontId="57" fillId="0" borderId="0" xfId="1" applyNumberFormat="1" applyFont="1"/>
    <xf numFmtId="10" fontId="84" fillId="0" borderId="72" xfId="0" applyNumberFormat="1" applyFont="1" applyFill="1" applyBorder="1" applyAlignment="1">
      <alignment horizontal="center" vertical="center" wrapText="1"/>
    </xf>
    <xf numFmtId="9" fontId="84" fillId="0" borderId="72" xfId="0" applyNumberFormat="1" applyFont="1" applyFill="1" applyBorder="1" applyAlignment="1">
      <alignment horizontal="center" vertical="center" wrapText="1"/>
    </xf>
    <xf numFmtId="37" fontId="84" fillId="0" borderId="72" xfId="1" applyNumberFormat="1" applyFont="1" applyFill="1" applyBorder="1" applyAlignment="1">
      <alignment horizontal="center" vertical="center" wrapText="1"/>
    </xf>
    <xf numFmtId="10" fontId="84" fillId="0" borderId="74" xfId="0" applyNumberFormat="1" applyFont="1" applyFill="1" applyBorder="1" applyAlignment="1">
      <alignment horizontal="center" vertical="center" wrapText="1"/>
    </xf>
    <xf numFmtId="37" fontId="84" fillId="0" borderId="74" xfId="1" applyNumberFormat="1" applyFont="1" applyFill="1" applyBorder="1" applyAlignment="1">
      <alignment horizontal="center" vertical="center" wrapText="1"/>
    </xf>
    <xf numFmtId="9" fontId="84" fillId="0" borderId="74" xfId="0" applyNumberFormat="1" applyFont="1" applyFill="1" applyBorder="1" applyAlignment="1">
      <alignment horizontal="center" vertical="center" wrapText="1"/>
    </xf>
    <xf numFmtId="14" fontId="84" fillId="0" borderId="75" xfId="0" applyNumberFormat="1" applyFont="1" applyFill="1" applyBorder="1" applyAlignment="1">
      <alignment horizontal="left" vertical="center" wrapText="1"/>
    </xf>
    <xf numFmtId="10" fontId="4" fillId="12" borderId="5" xfId="2" quotePrefix="1" applyNumberFormat="1" applyFont="1" applyFill="1" applyBorder="1" applyAlignment="1">
      <alignment horizontal="right"/>
    </xf>
    <xf numFmtId="165" fontId="65" fillId="9" borderId="0" xfId="1" applyNumberFormat="1" applyFont="1" applyFill="1" applyBorder="1" applyAlignment="1">
      <alignment horizontal="right"/>
    </xf>
    <xf numFmtId="165" fontId="65" fillId="9" borderId="5" xfId="1" applyNumberFormat="1" applyFont="1" applyFill="1" applyBorder="1" applyAlignment="1">
      <alignment horizontal="right"/>
    </xf>
    <xf numFmtId="1" fontId="0" fillId="0" borderId="40" xfId="0" applyNumberFormat="1" applyFill="1" applyBorder="1" applyAlignment="1">
      <alignment horizontal="center" vertical="center"/>
    </xf>
    <xf numFmtId="228" fontId="0" fillId="0" borderId="0" xfId="0" applyNumberFormat="1" applyFill="1" applyBorder="1" applyAlignment="1">
      <alignment horizontal="right" vertical="center"/>
    </xf>
    <xf numFmtId="226" fontId="0" fillId="0" borderId="0" xfId="0" applyNumberFormat="1" applyFill="1" applyBorder="1" applyAlignment="1">
      <alignment horizontal="right" vertical="center"/>
    </xf>
    <xf numFmtId="1" fontId="0" fillId="0" borderId="42" xfId="0" applyNumberFormat="1" applyFill="1" applyBorder="1" applyAlignment="1">
      <alignment horizontal="center" vertical="center"/>
    </xf>
    <xf numFmtId="228" fontId="0" fillId="0" borderId="7" xfId="0" applyNumberFormat="1" applyFill="1" applyBorder="1" applyAlignment="1">
      <alignment horizontal="right" vertical="center"/>
    </xf>
    <xf numFmtId="43" fontId="65" fillId="0" borderId="0" xfId="1" applyNumberFormat="1" applyFont="1" applyFill="1" applyAlignment="1">
      <alignment horizontal="right" wrapText="1"/>
    </xf>
    <xf numFmtId="187" fontId="65" fillId="0" borderId="0" xfId="1" quotePrefix="1" applyNumberFormat="1" applyFont="1" applyFill="1" applyBorder="1" applyAlignment="1">
      <alignment horizontal="right"/>
    </xf>
    <xf numFmtId="0" fontId="92" fillId="0" borderId="0" xfId="0" applyFont="1" applyFill="1"/>
    <xf numFmtId="0" fontId="93" fillId="0" borderId="12" xfId="0" applyFont="1" applyFill="1" applyBorder="1" applyAlignment="1">
      <alignment horizontal="left"/>
    </xf>
    <xf numFmtId="0" fontId="93" fillId="0" borderId="13" xfId="0" applyFont="1" applyFill="1" applyBorder="1" applyAlignment="1">
      <alignment horizontal="left"/>
    </xf>
    <xf numFmtId="165" fontId="93" fillId="0" borderId="57" xfId="1" applyNumberFormat="1" applyFont="1" applyFill="1" applyBorder="1" applyAlignment="1">
      <alignment horizontal="right"/>
    </xf>
    <xf numFmtId="165" fontId="93" fillId="0" borderId="56" xfId="1" applyNumberFormat="1" applyFont="1" applyFill="1" applyBorder="1" applyAlignment="1">
      <alignment horizontal="right"/>
    </xf>
    <xf numFmtId="0" fontId="92" fillId="0" borderId="3" xfId="0" applyFont="1" applyBorder="1" applyAlignment="1">
      <alignment horizontal="left"/>
    </xf>
    <xf numFmtId="0" fontId="92" fillId="0" borderId="4" xfId="0" applyFont="1" applyBorder="1" applyAlignment="1"/>
    <xf numFmtId="165" fontId="94" fillId="0" borderId="0" xfId="1" applyNumberFormat="1" applyFont="1" applyFill="1" applyBorder="1" applyAlignment="1">
      <alignment horizontal="right"/>
    </xf>
    <xf numFmtId="165" fontId="94" fillId="0" borderId="5" xfId="1" applyNumberFormat="1" applyFont="1" applyFill="1" applyBorder="1" applyAlignment="1">
      <alignment horizontal="right"/>
    </xf>
    <xf numFmtId="165" fontId="94" fillId="0" borderId="5" xfId="1" applyNumberFormat="1" applyFont="1" applyBorder="1" applyAlignment="1">
      <alignment horizontal="right"/>
    </xf>
    <xf numFmtId="0" fontId="92" fillId="0" borderId="0" xfId="0" applyFont="1"/>
    <xf numFmtId="0" fontId="93" fillId="0" borderId="3" xfId="0" applyFont="1" applyBorder="1" applyAlignment="1">
      <alignment horizontal="left"/>
    </xf>
    <xf numFmtId="0" fontId="93" fillId="0" borderId="4" xfId="0" applyFont="1" applyBorder="1" applyAlignment="1"/>
    <xf numFmtId="165" fontId="93" fillId="0" borderId="0" xfId="1" applyNumberFormat="1" applyFont="1" applyFill="1" applyBorder="1" applyAlignment="1">
      <alignment horizontal="right"/>
    </xf>
    <xf numFmtId="165" fontId="93" fillId="0" borderId="5" xfId="1" applyNumberFormat="1" applyFont="1" applyFill="1" applyBorder="1" applyAlignment="1">
      <alignment horizontal="right"/>
    </xf>
    <xf numFmtId="165" fontId="93" fillId="0" borderId="5" xfId="1" applyNumberFormat="1" applyFont="1" applyBorder="1" applyAlignment="1">
      <alignment horizontal="right"/>
    </xf>
    <xf numFmtId="0" fontId="93" fillId="0" borderId="4" xfId="0" applyFont="1" applyBorder="1" applyAlignment="1">
      <alignment horizontal="left"/>
    </xf>
    <xf numFmtId="165" fontId="95" fillId="0" borderId="0" xfId="1" applyNumberFormat="1" applyFont="1" applyFill="1" applyBorder="1" applyAlignment="1">
      <alignment horizontal="right"/>
    </xf>
    <xf numFmtId="165" fontId="95" fillId="0" borderId="5" xfId="1" applyNumberFormat="1" applyFont="1" applyFill="1" applyBorder="1" applyAlignment="1">
      <alignment horizontal="right"/>
    </xf>
    <xf numFmtId="165" fontId="95" fillId="0" borderId="0" xfId="1" applyNumberFormat="1" applyFont="1" applyBorder="1" applyAlignment="1">
      <alignment horizontal="right"/>
    </xf>
    <xf numFmtId="165" fontId="95" fillId="0" borderId="5" xfId="1" applyNumberFormat="1" applyFont="1" applyBorder="1" applyAlignment="1">
      <alignment horizontal="right"/>
    </xf>
    <xf numFmtId="165" fontId="93" fillId="0" borderId="0" xfId="1" applyNumberFormat="1" applyFont="1" applyBorder="1" applyAlignment="1">
      <alignment horizontal="right"/>
    </xf>
    <xf numFmtId="0" fontId="93" fillId="0" borderId="4" xfId="0" applyFont="1" applyFill="1" applyBorder="1" applyAlignment="1">
      <alignment horizontal="left"/>
    </xf>
    <xf numFmtId="43" fontId="93" fillId="0" borderId="0" xfId="1" applyNumberFormat="1" applyFont="1" applyFill="1" applyBorder="1" applyAlignment="1">
      <alignment horizontal="right"/>
    </xf>
    <xf numFmtId="43" fontId="93" fillId="0" borderId="5" xfId="1" applyNumberFormat="1" applyFont="1" applyFill="1" applyBorder="1" applyAlignment="1">
      <alignment horizontal="right"/>
    </xf>
    <xf numFmtId="43" fontId="93" fillId="9" borderId="0" xfId="1" applyNumberFormat="1" applyFont="1" applyFill="1" applyBorder="1" applyAlignment="1">
      <alignment horizontal="right"/>
    </xf>
    <xf numFmtId="43" fontId="93" fillId="11" borderId="5" xfId="1" applyNumberFormat="1" applyFont="1" applyFill="1" applyBorder="1" applyAlignment="1">
      <alignment horizontal="right"/>
    </xf>
    <xf numFmtId="43" fontId="93" fillId="9" borderId="5" xfId="1" applyNumberFormat="1" applyFont="1" applyFill="1" applyBorder="1" applyAlignment="1">
      <alignment horizontal="right"/>
    </xf>
    <xf numFmtId="0" fontId="65" fillId="0" borderId="3" xfId="0" applyFont="1" applyFill="1" applyBorder="1" applyAlignment="1">
      <alignment horizontal="left"/>
    </xf>
    <xf numFmtId="0" fontId="65" fillId="0" borderId="4" xfId="0" applyFont="1" applyFill="1" applyBorder="1" applyAlignment="1">
      <alignment horizontal="left"/>
    </xf>
    <xf numFmtId="0" fontId="65" fillId="12" borderId="3" xfId="0" applyFont="1" applyFill="1" applyBorder="1" applyAlignment="1">
      <alignment horizontal="left"/>
    </xf>
    <xf numFmtId="0" fontId="65" fillId="12" borderId="4" xfId="0" applyFont="1" applyFill="1" applyBorder="1" applyAlignment="1">
      <alignment horizontal="left"/>
    </xf>
    <xf numFmtId="164" fontId="6" fillId="2" borderId="44" xfId="1" quotePrefix="1" applyNumberFormat="1" applyFont="1" applyFill="1" applyBorder="1" applyAlignment="1">
      <alignment horizontal="left" vertical="center" wrapText="1"/>
    </xf>
    <xf numFmtId="164" fontId="6" fillId="2" borderId="45" xfId="1" quotePrefix="1" applyNumberFormat="1" applyFont="1" applyFill="1" applyBorder="1" applyAlignment="1">
      <alignment horizontal="left" vertical="center" wrapText="1"/>
    </xf>
    <xf numFmtId="164" fontId="6" fillId="2" borderId="77" xfId="1" quotePrefix="1" applyNumberFormat="1" applyFont="1" applyFill="1" applyBorder="1" applyAlignment="1">
      <alignment horizontal="center" vertical="center" wrapText="1"/>
    </xf>
    <xf numFmtId="165" fontId="65" fillId="0" borderId="0" xfId="1" applyNumberFormat="1" applyFont="1" applyFill="1" applyAlignment="1">
      <alignment horizontal="left"/>
    </xf>
    <xf numFmtId="43" fontId="65" fillId="0" borderId="0" xfId="1" applyFont="1" applyFill="1" applyAlignment="1">
      <alignment horizontal="left"/>
    </xf>
    <xf numFmtId="9" fontId="65" fillId="0" borderId="0" xfId="1" applyNumberFormat="1" applyFont="1" applyFill="1" applyAlignment="1">
      <alignment horizontal="right"/>
    </xf>
    <xf numFmtId="43" fontId="65" fillId="0" borderId="0" xfId="1" applyNumberFormat="1" applyFont="1" applyFill="1" applyAlignment="1">
      <alignment horizontal="left"/>
    </xf>
    <xf numFmtId="0" fontId="0" fillId="0" borderId="0" xfId="0" applyFill="1"/>
    <xf numFmtId="0" fontId="2" fillId="0" borderId="0" xfId="0" applyFont="1" applyFill="1" applyAlignment="1">
      <alignment horizontal="left"/>
    </xf>
    <xf numFmtId="0" fontId="0" fillId="0" borderId="0" xfId="0" applyFill="1" applyAlignment="1">
      <alignment wrapText="1"/>
    </xf>
    <xf numFmtId="0" fontId="2" fillId="0" borderId="0" xfId="0" applyFont="1"/>
    <xf numFmtId="164" fontId="6" fillId="2" borderId="125" xfId="1" quotePrefix="1" applyNumberFormat="1" applyFont="1" applyFill="1" applyBorder="1" applyAlignment="1">
      <alignment horizontal="center" vertical="center" wrapText="1"/>
    </xf>
    <xf numFmtId="164" fontId="6" fillId="2" borderId="124" xfId="1" quotePrefix="1" applyNumberFormat="1" applyFont="1" applyFill="1" applyBorder="1" applyAlignment="1">
      <alignment horizontal="center" vertical="center" wrapText="1"/>
    </xf>
    <xf numFmtId="0" fontId="0" fillId="0" borderId="133" xfId="0" applyBorder="1"/>
    <xf numFmtId="0" fontId="0" fillId="0" borderId="134" xfId="0" applyBorder="1"/>
    <xf numFmtId="0" fontId="0" fillId="0" borderId="130" xfId="0" applyBorder="1"/>
    <xf numFmtId="0" fontId="0" fillId="0" borderId="131" xfId="0" applyBorder="1"/>
    <xf numFmtId="0" fontId="0" fillId="0" borderId="132" xfId="0" applyBorder="1"/>
    <xf numFmtId="228" fontId="0" fillId="0" borderId="135" xfId="0" applyNumberFormat="1" applyBorder="1" applyAlignment="1">
      <alignment horizontal="right" vertical="center"/>
    </xf>
    <xf numFmtId="228" fontId="0" fillId="0" borderId="136" xfId="0" applyNumberFormat="1" applyBorder="1" applyAlignment="1">
      <alignment horizontal="right" vertical="center"/>
    </xf>
    <xf numFmtId="166" fontId="0" fillId="0" borderId="136" xfId="2" applyNumberFormat="1" applyFont="1" applyFill="1" applyBorder="1" applyAlignment="1">
      <alignment horizontal="right" vertical="center"/>
    </xf>
    <xf numFmtId="226" fontId="0" fillId="0" borderId="136" xfId="0" applyNumberFormat="1" applyBorder="1" applyAlignment="1">
      <alignment horizontal="right" vertical="center"/>
    </xf>
    <xf numFmtId="164" fontId="2" fillId="3" borderId="137" xfId="1" quotePrefix="1" applyNumberFormat="1" applyFont="1" applyFill="1" applyBorder="1" applyAlignment="1">
      <alignment horizontal="center" vertical="center"/>
    </xf>
    <xf numFmtId="164" fontId="2" fillId="3" borderId="138" xfId="1" quotePrefix="1" applyNumberFormat="1" applyFont="1" applyFill="1" applyBorder="1" applyAlignment="1">
      <alignment horizontal="center" vertical="center"/>
    </xf>
    <xf numFmtId="228" fontId="0" fillId="0" borderId="139" xfId="0" applyNumberFormat="1" applyBorder="1" applyAlignment="1">
      <alignment horizontal="right" vertical="center"/>
    </xf>
    <xf numFmtId="228" fontId="0" fillId="0" borderId="140" xfId="0" applyNumberFormat="1" applyBorder="1" applyAlignment="1">
      <alignment horizontal="right" vertical="center"/>
    </xf>
    <xf numFmtId="164" fontId="2" fillId="3" borderId="38" xfId="1" quotePrefix="1" applyNumberFormat="1" applyFont="1" applyFill="1" applyBorder="1" applyAlignment="1">
      <alignment horizontal="right" vertical="center"/>
    </xf>
    <xf numFmtId="164" fontId="2" fillId="3" borderId="39" xfId="1" quotePrefix="1" applyNumberFormat="1" applyFont="1" applyFill="1" applyBorder="1" applyAlignment="1">
      <alignment horizontal="right" vertical="center"/>
    </xf>
    <xf numFmtId="164" fontId="2" fillId="3" borderId="142" xfId="1" quotePrefix="1" applyNumberFormat="1" applyFont="1" applyFill="1" applyBorder="1" applyAlignment="1">
      <alignment vertical="center"/>
    </xf>
    <xf numFmtId="1" fontId="65" fillId="0" borderId="0" xfId="0" applyNumberFormat="1" applyFont="1" applyBorder="1" applyAlignment="1">
      <alignment horizontal="center" vertical="center"/>
    </xf>
    <xf numFmtId="228" fontId="65" fillId="0" borderId="41" xfId="0" applyNumberFormat="1" applyFont="1" applyBorder="1" applyAlignment="1">
      <alignment horizontal="right" vertical="center"/>
    </xf>
    <xf numFmtId="1" fontId="65" fillId="0" borderId="40" xfId="0" applyNumberFormat="1" applyFont="1" applyBorder="1" applyAlignment="1">
      <alignment horizontal="center" vertical="center"/>
    </xf>
    <xf numFmtId="228" fontId="65" fillId="0" borderId="134" xfId="0" applyNumberFormat="1" applyFont="1" applyBorder="1" applyAlignment="1">
      <alignment horizontal="right" vertical="center"/>
    </xf>
    <xf numFmtId="166" fontId="65" fillId="0" borderId="41" xfId="2" applyNumberFormat="1" applyFont="1" applyFill="1" applyBorder="1" applyAlignment="1">
      <alignment horizontal="right" vertical="center"/>
    </xf>
    <xf numFmtId="166" fontId="65" fillId="0" borderId="134" xfId="2" applyNumberFormat="1" applyFont="1" applyFill="1" applyBorder="1" applyAlignment="1">
      <alignment horizontal="right" vertical="center"/>
    </xf>
    <xf numFmtId="226" fontId="65" fillId="0" borderId="41" xfId="0" applyNumberFormat="1" applyFont="1" applyBorder="1" applyAlignment="1">
      <alignment horizontal="right" vertical="center"/>
    </xf>
    <xf numFmtId="226" fontId="65" fillId="0" borderId="134" xfId="0" applyNumberFormat="1" applyFont="1" applyBorder="1" applyAlignment="1">
      <alignment horizontal="right" vertical="center"/>
    </xf>
    <xf numFmtId="1" fontId="65" fillId="0" borderId="131" xfId="0" applyNumberFormat="1" applyFont="1" applyBorder="1" applyAlignment="1">
      <alignment horizontal="center" vertical="center"/>
    </xf>
    <xf numFmtId="228" fontId="65" fillId="0" borderId="140" xfId="0" applyNumberFormat="1" applyFont="1" applyBorder="1" applyAlignment="1">
      <alignment horizontal="right" vertical="center"/>
    </xf>
    <xf numFmtId="1" fontId="65" fillId="0" borderId="141" xfId="0" applyNumberFormat="1" applyFont="1" applyBorder="1" applyAlignment="1">
      <alignment horizontal="center" vertical="center"/>
    </xf>
    <xf numFmtId="228" fontId="65" fillId="0" borderId="132" xfId="0" applyNumberFormat="1" applyFont="1" applyBorder="1" applyAlignment="1">
      <alignment horizontal="right" vertical="center"/>
    </xf>
    <xf numFmtId="164" fontId="96" fillId="3" borderId="137" xfId="1" quotePrefix="1" applyNumberFormat="1" applyFont="1" applyFill="1" applyBorder="1" applyAlignment="1">
      <alignment horizontal="center" vertical="center"/>
    </xf>
    <xf numFmtId="1" fontId="65" fillId="0" borderId="38" xfId="0" applyNumberFormat="1" applyFont="1" applyBorder="1" applyAlignment="1">
      <alignment horizontal="center" vertical="center"/>
    </xf>
    <xf numFmtId="228" fontId="65" fillId="0" borderId="0" xfId="0" applyNumberFormat="1" applyFont="1" applyFill="1" applyBorder="1" applyAlignment="1">
      <alignment horizontal="right" vertical="center"/>
    </xf>
    <xf numFmtId="0" fontId="0" fillId="0" borderId="0" xfId="0" applyAlignment="1">
      <alignment horizontal="center"/>
    </xf>
    <xf numFmtId="10" fontId="0" fillId="0" borderId="0" xfId="2" applyNumberFormat="1" applyFont="1"/>
    <xf numFmtId="14" fontId="0" fillId="0" borderId="133" xfId="0" applyNumberFormat="1" applyBorder="1"/>
    <xf numFmtId="10" fontId="0" fillId="0" borderId="0" xfId="2" applyNumberFormat="1" applyFont="1" applyBorder="1"/>
    <xf numFmtId="10" fontId="0" fillId="0" borderId="0" xfId="0" applyNumberFormat="1" applyBorder="1"/>
    <xf numFmtId="14" fontId="0" fillId="0" borderId="130" xfId="0" applyNumberFormat="1" applyBorder="1"/>
    <xf numFmtId="10" fontId="0" fillId="0" borderId="131" xfId="2" applyNumberFormat="1" applyFont="1" applyBorder="1"/>
    <xf numFmtId="10" fontId="0" fillId="0" borderId="131" xfId="0" applyNumberFormat="1" applyBorder="1"/>
    <xf numFmtId="43" fontId="0" fillId="0" borderId="0" xfId="1" applyFont="1" applyBorder="1"/>
    <xf numFmtId="43" fontId="0" fillId="0" borderId="131" xfId="1" applyFont="1" applyBorder="1"/>
    <xf numFmtId="0" fontId="0" fillId="0" borderId="127" xfId="0" applyBorder="1"/>
    <xf numFmtId="0" fontId="2" fillId="0" borderId="128" xfId="0" applyFont="1" applyBorder="1" applyAlignment="1">
      <alignment horizontal="right"/>
    </xf>
    <xf numFmtId="10" fontId="2" fillId="0" borderId="128" xfId="0" applyNumberFormat="1" applyFont="1" applyFill="1" applyBorder="1"/>
    <xf numFmtId="0" fontId="0" fillId="0" borderId="128" xfId="0" applyBorder="1"/>
    <xf numFmtId="0" fontId="0" fillId="0" borderId="129" xfId="0" applyBorder="1"/>
    <xf numFmtId="0" fontId="2" fillId="0" borderId="0" xfId="0" applyFont="1" applyBorder="1" applyAlignment="1">
      <alignment horizontal="right"/>
    </xf>
    <xf numFmtId="0" fontId="2" fillId="0" borderId="134" xfId="0" applyFont="1" applyBorder="1"/>
    <xf numFmtId="0" fontId="0" fillId="16" borderId="0" xfId="0" applyFill="1" applyBorder="1"/>
    <xf numFmtId="0" fontId="2" fillId="16" borderId="0" xfId="0" applyFont="1" applyFill="1" applyBorder="1" applyAlignment="1">
      <alignment horizontal="right"/>
    </xf>
    <xf numFmtId="10" fontId="2" fillId="16" borderId="134" xfId="2" applyNumberFormat="1" applyFont="1" applyFill="1" applyBorder="1"/>
    <xf numFmtId="10" fontId="97" fillId="0" borderId="134" xfId="1" applyNumberFormat="1" applyFont="1" applyBorder="1"/>
    <xf numFmtId="0" fontId="0" fillId="16" borderId="130" xfId="0" applyFill="1" applyBorder="1"/>
    <xf numFmtId="0" fontId="0" fillId="16" borderId="131" xfId="0" applyFill="1" applyBorder="1"/>
    <xf numFmtId="0" fontId="2" fillId="16" borderId="131" xfId="0" applyFont="1" applyFill="1" applyBorder="1" applyAlignment="1">
      <alignment horizontal="right"/>
    </xf>
    <xf numFmtId="10" fontId="2" fillId="16" borderId="132" xfId="2" applyNumberFormat="1" applyFont="1" applyFill="1" applyBorder="1"/>
    <xf numFmtId="0" fontId="97" fillId="0" borderId="0" xfId="0" applyFont="1" applyBorder="1" applyAlignment="1">
      <alignment horizontal="right"/>
    </xf>
    <xf numFmtId="0" fontId="0" fillId="0" borderId="134" xfId="0" applyBorder="1" applyAlignment="1">
      <alignment horizontal="right" vertical="center"/>
    </xf>
    <xf numFmtId="0" fontId="0" fillId="0" borderId="132" xfId="0" applyBorder="1" applyAlignment="1">
      <alignment horizontal="right" vertical="center"/>
    </xf>
    <xf numFmtId="0" fontId="0" fillId="0" borderId="0" xfId="0" applyBorder="1" applyAlignment="1">
      <alignment horizontal="center" vertical="center"/>
    </xf>
    <xf numFmtId="0" fontId="0" fillId="0" borderId="131" xfId="0" applyBorder="1" applyAlignment="1">
      <alignment horizontal="center" vertical="center"/>
    </xf>
    <xf numFmtId="43" fontId="0" fillId="0" borderId="0" xfId="1" applyFont="1" applyBorder="1" applyAlignment="1">
      <alignment horizontal="center"/>
    </xf>
    <xf numFmtId="0" fontId="0" fillId="0" borderId="0" xfId="0" applyBorder="1" applyAlignment="1">
      <alignment horizontal="center"/>
    </xf>
    <xf numFmtId="0" fontId="0" fillId="0" borderId="131" xfId="0" applyBorder="1" applyAlignment="1">
      <alignment horizontal="center"/>
    </xf>
    <xf numFmtId="164" fontId="6" fillId="2" borderId="143" xfId="1" quotePrefix="1" applyNumberFormat="1" applyFont="1" applyFill="1" applyBorder="1" applyAlignment="1">
      <alignment horizontal="center" vertical="center" wrapText="1"/>
    </xf>
    <xf numFmtId="2" fontId="0" fillId="0" borderId="0" xfId="0" applyNumberFormat="1" applyBorder="1" applyAlignment="1">
      <alignment horizontal="center"/>
    </xf>
    <xf numFmtId="2" fontId="0" fillId="0" borderId="131" xfId="0" applyNumberFormat="1" applyBorder="1" applyAlignment="1">
      <alignment horizontal="center"/>
    </xf>
    <xf numFmtId="166" fontId="0" fillId="0" borderId="0" xfId="0" applyNumberFormat="1" applyBorder="1"/>
    <xf numFmtId="7" fontId="0" fillId="0" borderId="134" xfId="0" applyNumberFormat="1" applyBorder="1"/>
    <xf numFmtId="10" fontId="0" fillId="0" borderId="132" xfId="0" applyNumberFormat="1" applyBorder="1"/>
    <xf numFmtId="43" fontId="87" fillId="10" borderId="4" xfId="1" applyNumberFormat="1" applyFont="1" applyFill="1" applyBorder="1" applyAlignment="1">
      <alignment horizontal="right"/>
    </xf>
    <xf numFmtId="43" fontId="91" fillId="0" borderId="0" xfId="0" applyNumberFormat="1" applyFont="1" applyFill="1" applyBorder="1"/>
    <xf numFmtId="166" fontId="0" fillId="0" borderId="96" xfId="2" applyNumberFormat="1" applyFont="1" applyFill="1" applyBorder="1" applyAlignment="1">
      <alignment horizontal="center" vertical="center"/>
    </xf>
    <xf numFmtId="166" fontId="0" fillId="0" borderId="106" xfId="2" applyNumberFormat="1" applyFont="1" applyFill="1" applyBorder="1" applyAlignment="1">
      <alignment horizontal="center" vertical="center"/>
    </xf>
    <xf numFmtId="166" fontId="0" fillId="0" borderId="104" xfId="2" applyNumberFormat="1" applyFont="1" applyFill="1" applyBorder="1" applyAlignment="1">
      <alignment horizontal="center" vertical="center"/>
    </xf>
    <xf numFmtId="166" fontId="0" fillId="0" borderId="111" xfId="2" applyNumberFormat="1" applyFont="1" applyFill="1" applyBorder="1" applyAlignment="1">
      <alignment horizontal="center" vertical="center"/>
    </xf>
    <xf numFmtId="166" fontId="0" fillId="0" borderId="84" xfId="2" applyNumberFormat="1" applyFont="1" applyFill="1" applyBorder="1" applyAlignment="1">
      <alignment horizontal="right" vertical="center"/>
    </xf>
    <xf numFmtId="7" fontId="0" fillId="0" borderId="86" xfId="0" applyNumberFormat="1" applyFill="1" applyBorder="1" applyAlignment="1">
      <alignment horizontal="center"/>
    </xf>
    <xf numFmtId="7" fontId="0" fillId="0" borderId="91" xfId="0" applyNumberFormat="1" applyFill="1" applyBorder="1" applyAlignment="1">
      <alignment horizontal="center"/>
    </xf>
    <xf numFmtId="7" fontId="0" fillId="0" borderId="87" xfId="0" applyNumberFormat="1" applyFill="1" applyBorder="1" applyAlignment="1">
      <alignment horizontal="center"/>
    </xf>
    <xf numFmtId="7" fontId="0" fillId="0" borderId="93" xfId="0" applyNumberFormat="1" applyFill="1" applyBorder="1" applyAlignment="1">
      <alignment horizontal="center"/>
    </xf>
    <xf numFmtId="7" fontId="0" fillId="0" borderId="90" xfId="0" applyNumberFormat="1" applyFill="1" applyBorder="1" applyAlignment="1">
      <alignment horizontal="center"/>
    </xf>
    <xf numFmtId="7" fontId="0" fillId="0" borderId="113" xfId="0" applyNumberFormat="1" applyFill="1" applyBorder="1" applyAlignment="1">
      <alignment horizontal="center"/>
    </xf>
    <xf numFmtId="166" fontId="0" fillId="0" borderId="98" xfId="2" applyNumberFormat="1" applyFont="1" applyFill="1" applyBorder="1" applyAlignment="1">
      <alignment horizontal="right" vertical="center"/>
    </xf>
    <xf numFmtId="7" fontId="0" fillId="0" borderId="92" xfId="0" applyNumberFormat="1" applyFill="1" applyBorder="1" applyAlignment="1">
      <alignment horizontal="center"/>
    </xf>
    <xf numFmtId="166" fontId="0" fillId="0" borderId="99" xfId="2" applyNumberFormat="1" applyFont="1" applyFill="1" applyBorder="1" applyAlignment="1">
      <alignment horizontal="right" vertical="center"/>
    </xf>
    <xf numFmtId="166" fontId="0" fillId="0" borderId="106" xfId="2" applyNumberFormat="1" applyFont="1" applyFill="1" applyBorder="1" applyAlignment="1">
      <alignment horizontal="right" vertical="center"/>
    </xf>
    <xf numFmtId="7" fontId="0" fillId="0" borderId="94" xfId="0" applyNumberFormat="1" applyFill="1" applyBorder="1" applyAlignment="1">
      <alignment horizontal="center"/>
    </xf>
    <xf numFmtId="7" fontId="0" fillId="0" borderId="106" xfId="0" applyNumberFormat="1" applyFill="1" applyBorder="1" applyAlignment="1">
      <alignment horizontal="center"/>
    </xf>
    <xf numFmtId="7" fontId="0" fillId="0" borderId="100" xfId="0" applyNumberFormat="1" applyFill="1" applyBorder="1" applyAlignment="1">
      <alignment horizontal="center"/>
    </xf>
    <xf numFmtId="7" fontId="0" fillId="0" borderId="101" xfId="0" applyNumberFormat="1" applyFill="1" applyBorder="1" applyAlignment="1">
      <alignment horizontal="center"/>
    </xf>
    <xf numFmtId="7" fontId="0" fillId="0" borderId="102" xfId="0" applyNumberFormat="1" applyFill="1" applyBorder="1" applyAlignment="1">
      <alignment horizontal="center"/>
    </xf>
    <xf numFmtId="7" fontId="0" fillId="0" borderId="103" xfId="0" applyNumberFormat="1" applyFill="1" applyBorder="1" applyAlignment="1">
      <alignment horizontal="center"/>
    </xf>
    <xf numFmtId="7" fontId="0" fillId="0" borderId="115" xfId="0" applyNumberFormat="1" applyFill="1" applyBorder="1" applyAlignment="1">
      <alignment horizontal="center"/>
    </xf>
    <xf numFmtId="166" fontId="0" fillId="0" borderId="85" xfId="2" applyNumberFormat="1" applyFont="1" applyFill="1" applyBorder="1" applyAlignment="1">
      <alignment horizontal="right" vertical="center"/>
    </xf>
    <xf numFmtId="7" fontId="0" fillId="0" borderId="88" xfId="0" applyNumberFormat="1" applyFill="1" applyBorder="1" applyAlignment="1">
      <alignment horizontal="center"/>
    </xf>
    <xf numFmtId="7" fontId="0" fillId="0" borderId="95" xfId="0" applyNumberFormat="1" applyFill="1" applyBorder="1" applyAlignment="1">
      <alignment horizontal="center"/>
    </xf>
    <xf numFmtId="7" fontId="0" fillId="0" borderId="89" xfId="0" applyNumberFormat="1" applyFill="1" applyBorder="1" applyAlignment="1">
      <alignment horizontal="center"/>
    </xf>
    <xf numFmtId="7" fontId="0" fillId="0" borderId="97" xfId="0" applyNumberFormat="1" applyFill="1" applyBorder="1" applyAlignment="1">
      <alignment horizontal="center"/>
    </xf>
    <xf numFmtId="7" fontId="0" fillId="0" borderId="116" xfId="0" applyNumberFormat="1" applyFill="1" applyBorder="1" applyAlignment="1">
      <alignment horizontal="center"/>
    </xf>
    <xf numFmtId="5" fontId="4" fillId="0" borderId="0" xfId="0" applyNumberFormat="1" applyFont="1" applyAlignment="1">
      <alignment horizontal="right"/>
    </xf>
    <xf numFmtId="0" fontId="98" fillId="0" borderId="0" xfId="0" applyFont="1" applyAlignment="1">
      <alignment horizontal="right"/>
    </xf>
    <xf numFmtId="165" fontId="99" fillId="0" borderId="0" xfId="1" applyNumberFormat="1" applyFont="1" applyAlignment="1">
      <alignment horizontal="right"/>
    </xf>
    <xf numFmtId="0" fontId="65" fillId="0" borderId="3" xfId="0" applyFont="1" applyBorder="1" applyAlignment="1">
      <alignment horizontal="left"/>
    </xf>
    <xf numFmtId="0" fontId="65" fillId="0" borderId="4" xfId="0" applyFont="1" applyBorder="1" applyAlignment="1">
      <alignment horizontal="left"/>
    </xf>
    <xf numFmtId="0" fontId="63" fillId="2" borderId="1" xfId="0" applyFont="1" applyFill="1" applyBorder="1" applyAlignment="1">
      <alignment horizontal="left"/>
    </xf>
    <xf numFmtId="0" fontId="63" fillId="2" borderId="2" xfId="0" applyFont="1" applyFill="1" applyBorder="1" applyAlignment="1">
      <alignment horizontal="left"/>
    </xf>
    <xf numFmtId="0" fontId="69" fillId="0" borderId="27" xfId="0" applyFont="1" applyBorder="1" applyAlignment="1">
      <alignment horizontal="left"/>
    </xf>
    <xf numFmtId="0" fontId="69" fillId="0" borderId="28" xfId="0" applyFont="1" applyBorder="1" applyAlignment="1">
      <alignment horizontal="left"/>
    </xf>
    <xf numFmtId="0" fontId="67" fillId="0" borderId="3" xfId="0" applyFont="1" applyBorder="1" applyAlignment="1">
      <alignment horizontal="left" indent="2"/>
    </xf>
    <xf numFmtId="0" fontId="67" fillId="0" borderId="4" xfId="0" applyFont="1" applyBorder="1" applyAlignment="1">
      <alignment horizontal="left" indent="2"/>
    </xf>
    <xf numFmtId="0" fontId="64" fillId="0" borderId="55" xfId="0" applyFont="1" applyFill="1" applyBorder="1" applyAlignment="1">
      <alignment horizontal="center" wrapText="1"/>
    </xf>
    <xf numFmtId="0" fontId="64" fillId="0" borderId="5" xfId="0" applyFont="1" applyFill="1" applyBorder="1" applyAlignment="1">
      <alignment horizontal="center" wrapText="1"/>
    </xf>
    <xf numFmtId="0" fontId="63" fillId="2" borderId="11" xfId="0" applyFont="1" applyFill="1" applyBorder="1" applyAlignment="1">
      <alignment horizontal="left"/>
    </xf>
    <xf numFmtId="0" fontId="69" fillId="12" borderId="27" xfId="0" applyFont="1" applyFill="1" applyBorder="1" applyAlignment="1">
      <alignment horizontal="left"/>
    </xf>
    <xf numFmtId="0" fontId="69" fillId="12" borderId="28" xfId="0" applyFont="1" applyFill="1" applyBorder="1" applyAlignment="1">
      <alignment horizontal="left"/>
    </xf>
    <xf numFmtId="0" fontId="67" fillId="0" borderId="3" xfId="0" applyFont="1" applyBorder="1" applyAlignment="1">
      <alignment horizontal="left" indent="1"/>
    </xf>
    <xf numFmtId="0" fontId="67" fillId="0" borderId="4" xfId="0" applyFont="1" applyBorder="1" applyAlignment="1">
      <alignment horizontal="left" indent="1"/>
    </xf>
    <xf numFmtId="0" fontId="69" fillId="0" borderId="3" xfId="0" applyFont="1" applyBorder="1" applyAlignment="1">
      <alignment horizontal="left"/>
    </xf>
    <xf numFmtId="0" fontId="69" fillId="0" borderId="4" xfId="0" applyFont="1" applyBorder="1" applyAlignment="1">
      <alignment horizontal="left"/>
    </xf>
    <xf numFmtId="0" fontId="65" fillId="0" borderId="3" xfId="0" applyFont="1" applyFill="1" applyBorder="1" applyAlignment="1">
      <alignment horizontal="left"/>
    </xf>
    <xf numFmtId="0" fontId="65" fillId="0" borderId="4" xfId="0" applyFont="1" applyFill="1" applyBorder="1" applyAlignment="1">
      <alignment horizontal="left"/>
    </xf>
    <xf numFmtId="0" fontId="67" fillId="12" borderId="3" xfId="0" applyFont="1" applyFill="1" applyBorder="1" applyAlignment="1">
      <alignment horizontal="left" indent="1"/>
    </xf>
    <xf numFmtId="0" fontId="67" fillId="12" borderId="4" xfId="0" applyFont="1" applyFill="1" applyBorder="1" applyAlignment="1">
      <alignment horizontal="left" indent="1"/>
    </xf>
    <xf numFmtId="0" fontId="65" fillId="12" borderId="3" xfId="0" applyFont="1" applyFill="1" applyBorder="1" applyAlignment="1">
      <alignment horizontal="left"/>
    </xf>
    <xf numFmtId="0" fontId="65" fillId="12" borderId="4" xfId="0" applyFont="1" applyFill="1" applyBorder="1" applyAlignment="1">
      <alignment horizontal="left"/>
    </xf>
    <xf numFmtId="0" fontId="64" fillId="2" borderId="3" xfId="0" applyFont="1" applyFill="1" applyBorder="1" applyAlignment="1">
      <alignment horizontal="left"/>
    </xf>
    <xf numFmtId="0" fontId="64" fillId="2" borderId="4" xfId="0" applyFont="1" applyFill="1" applyBorder="1" applyAlignment="1">
      <alignment horizontal="left"/>
    </xf>
    <xf numFmtId="0" fontId="67" fillId="0" borderId="6" xfId="0" applyFont="1" applyBorder="1" applyAlignment="1">
      <alignment horizontal="left" indent="2"/>
    </xf>
    <xf numFmtId="0" fontId="67" fillId="0" borderId="10" xfId="0" applyFont="1" applyBorder="1" applyAlignment="1">
      <alignment horizontal="left" indent="2"/>
    </xf>
    <xf numFmtId="0" fontId="65" fillId="12" borderId="27" xfId="0" applyFont="1" applyFill="1" applyBorder="1" applyAlignment="1">
      <alignment horizontal="left"/>
    </xf>
    <xf numFmtId="0" fontId="65" fillId="12" borderId="28" xfId="0" applyFont="1" applyFill="1" applyBorder="1" applyAlignment="1">
      <alignment horizontal="left"/>
    </xf>
    <xf numFmtId="0" fontId="65" fillId="0" borderId="27" xfId="0" applyFont="1" applyFill="1" applyBorder="1" applyAlignment="1">
      <alignment horizontal="left" vertical="top" wrapText="1"/>
    </xf>
    <xf numFmtId="0" fontId="65" fillId="0" borderId="28" xfId="0" applyFont="1" applyFill="1" applyBorder="1" applyAlignment="1">
      <alignment horizontal="left" vertical="top" wrapText="1"/>
    </xf>
    <xf numFmtId="0" fontId="65" fillId="0" borderId="3" xfId="0" applyFont="1" applyFill="1" applyBorder="1" applyAlignment="1">
      <alignment horizontal="left" vertical="top" wrapText="1"/>
    </xf>
    <xf numFmtId="0" fontId="65" fillId="0" borderId="4" xfId="0" applyFont="1" applyFill="1" applyBorder="1" applyAlignment="1">
      <alignment horizontal="left" vertical="top" wrapText="1"/>
    </xf>
    <xf numFmtId="0" fontId="65" fillId="0" borderId="6"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2" xfId="0" applyFont="1" applyFill="1" applyBorder="1" applyAlignment="1">
      <alignment horizontal="left" vertical="top" wrapText="1"/>
    </xf>
    <xf numFmtId="0" fontId="65" fillId="0" borderId="13" xfId="0" applyFont="1" applyFill="1" applyBorder="1" applyAlignment="1">
      <alignment horizontal="left" vertical="top" wrapText="1"/>
    </xf>
    <xf numFmtId="0" fontId="65" fillId="0" borderId="25" xfId="0" applyFont="1" applyFill="1" applyBorder="1" applyAlignment="1">
      <alignment horizontal="left" vertical="top" wrapText="1"/>
    </xf>
    <xf numFmtId="0" fontId="65" fillId="0" borderId="26" xfId="0" applyFont="1" applyFill="1" applyBorder="1" applyAlignment="1">
      <alignment horizontal="left" vertical="top" wrapText="1"/>
    </xf>
    <xf numFmtId="0" fontId="65" fillId="0" borderId="29" xfId="0" applyFont="1" applyBorder="1" applyAlignment="1">
      <alignment horizontal="left" vertical="top" wrapText="1"/>
    </xf>
    <xf numFmtId="0" fontId="65" fillId="0" borderId="30" xfId="0" applyFont="1" applyBorder="1" applyAlignment="1">
      <alignment horizontal="left" vertical="top" wrapText="1"/>
    </xf>
    <xf numFmtId="0" fontId="87"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2" xfId="0" applyFont="1" applyFill="1" applyBorder="1" applyAlignment="1">
      <alignment horizontal="left"/>
    </xf>
    <xf numFmtId="0" fontId="65" fillId="12" borderId="14" xfId="0" applyFont="1" applyFill="1" applyBorder="1" applyAlignment="1">
      <alignment horizontal="left"/>
    </xf>
    <xf numFmtId="0" fontId="65" fillId="12" borderId="15" xfId="0" applyFont="1" applyFill="1" applyBorder="1" applyAlignment="1">
      <alignment horizontal="left"/>
    </xf>
    <xf numFmtId="0" fontId="69" fillId="12" borderId="3" xfId="0" applyFont="1" applyFill="1" applyBorder="1" applyAlignment="1">
      <alignment horizontal="left"/>
    </xf>
    <xf numFmtId="0" fontId="69" fillId="12" borderId="4" xfId="0" applyFont="1" applyFill="1" applyBorder="1" applyAlignment="1">
      <alignment horizontal="left"/>
    </xf>
    <xf numFmtId="0" fontId="65" fillId="0" borderId="6" xfId="0" applyFont="1" applyBorder="1" applyAlignment="1">
      <alignment horizontal="left"/>
    </xf>
    <xf numFmtId="0" fontId="65" fillId="0" borderId="10" xfId="0" applyFont="1" applyBorder="1" applyAlignment="1">
      <alignment horizontal="left"/>
    </xf>
    <xf numFmtId="0" fontId="67" fillId="0" borderId="3" xfId="0" applyFont="1" applyBorder="1" applyAlignment="1">
      <alignment horizontal="left"/>
    </xf>
    <xf numFmtId="0" fontId="67" fillId="0" borderId="4" xfId="0" applyFont="1" applyBorder="1" applyAlignment="1">
      <alignment horizontal="left"/>
    </xf>
    <xf numFmtId="0" fontId="65" fillId="0" borderId="6" xfId="0" applyFont="1" applyFill="1" applyBorder="1" applyAlignment="1">
      <alignment horizontal="left"/>
    </xf>
    <xf numFmtId="0" fontId="65" fillId="0" borderId="10" xfId="0" applyFont="1" applyFill="1" applyBorder="1" applyAlignment="1">
      <alignment horizontal="left"/>
    </xf>
    <xf numFmtId="0" fontId="67" fillId="0" borderId="3" xfId="3" applyFont="1" applyBorder="1" applyAlignment="1">
      <alignment horizontal="left" vertical="top" indent="2"/>
    </xf>
    <xf numFmtId="0" fontId="67" fillId="0" borderId="4" xfId="3" applyFont="1" applyBorder="1" applyAlignment="1">
      <alignment horizontal="left" vertical="top" indent="2"/>
    </xf>
    <xf numFmtId="0" fontId="65" fillId="0" borderId="3" xfId="3" applyFont="1" applyFill="1" applyBorder="1" applyAlignment="1">
      <alignment horizontal="left" vertical="top"/>
    </xf>
    <xf numFmtId="0" fontId="65"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5" fillId="10" borderId="1" xfId="0" applyFont="1" applyFill="1" applyBorder="1" applyAlignment="1">
      <alignment horizontal="left"/>
    </xf>
    <xf numFmtId="0" fontId="65" fillId="10" borderId="11" xfId="0" applyFont="1" applyFill="1" applyBorder="1" applyAlignment="1">
      <alignment horizontal="left"/>
    </xf>
    <xf numFmtId="0" fontId="65" fillId="11" borderId="3" xfId="0" applyFont="1" applyFill="1" applyBorder="1" applyAlignment="1">
      <alignment horizontal="left"/>
    </xf>
    <xf numFmtId="0" fontId="65" fillId="11" borderId="4" xfId="0" applyFont="1" applyFill="1" applyBorder="1" applyAlignment="1">
      <alignment horizontal="left"/>
    </xf>
    <xf numFmtId="0" fontId="65" fillId="9" borderId="6" xfId="0" applyFont="1" applyFill="1" applyBorder="1" applyAlignment="1">
      <alignment horizontal="left"/>
    </xf>
    <xf numFmtId="0" fontId="65" fillId="9" borderId="10" xfId="0" applyFont="1" applyFill="1" applyBorder="1" applyAlignment="1">
      <alignment horizontal="left"/>
    </xf>
    <xf numFmtId="0" fontId="67" fillId="0" borderId="3" xfId="0" applyFont="1" applyFill="1" applyBorder="1" applyAlignment="1">
      <alignment horizontal="left" indent="1"/>
    </xf>
    <xf numFmtId="0" fontId="67" fillId="0" borderId="4" xfId="0" applyFont="1" applyFill="1" applyBorder="1" applyAlignment="1">
      <alignment horizontal="left" indent="1"/>
    </xf>
    <xf numFmtId="0" fontId="65" fillId="0" borderId="3" xfId="0" applyFont="1" applyBorder="1" applyAlignment="1">
      <alignment horizontal="left" indent="2"/>
    </xf>
    <xf numFmtId="0" fontId="65" fillId="0" borderId="4" xfId="0" applyFont="1" applyBorder="1" applyAlignment="1">
      <alignment horizontal="left" indent="2"/>
    </xf>
    <xf numFmtId="0" fontId="69" fillId="0" borderId="48" xfId="0" applyFont="1" applyBorder="1" applyAlignment="1">
      <alignment horizontal="left"/>
    </xf>
    <xf numFmtId="0" fontId="69" fillId="0" borderId="49" xfId="0" applyFont="1" applyBorder="1" applyAlignment="1">
      <alignment horizontal="left"/>
    </xf>
    <xf numFmtId="0" fontId="65" fillId="0" borderId="14" xfId="0" applyFont="1" applyFill="1" applyBorder="1" applyAlignment="1">
      <alignment horizontal="left" indent="1"/>
    </xf>
    <xf numFmtId="0" fontId="65" fillId="0" borderId="15" xfId="0" applyFont="1" applyFill="1" applyBorder="1" applyAlignment="1">
      <alignment horizontal="left" indent="1"/>
    </xf>
    <xf numFmtId="0" fontId="65" fillId="12" borderId="3" xfId="0" applyFont="1" applyFill="1" applyBorder="1" applyAlignment="1">
      <alignment horizontal="left" indent="5"/>
    </xf>
    <xf numFmtId="0" fontId="65" fillId="12" borderId="4" xfId="0" applyFont="1" applyFill="1" applyBorder="1" applyAlignment="1">
      <alignment horizontal="left" indent="5"/>
    </xf>
    <xf numFmtId="0" fontId="65" fillId="12" borderId="3" xfId="0" applyFont="1" applyFill="1" applyBorder="1" applyAlignment="1">
      <alignment horizontal="left" indent="2"/>
    </xf>
    <xf numFmtId="0" fontId="65" fillId="12" borderId="4" xfId="0" applyFont="1" applyFill="1" applyBorder="1" applyAlignment="1">
      <alignment horizontal="left" indent="2"/>
    </xf>
    <xf numFmtId="0" fontId="67" fillId="0" borderId="14" xfId="0" applyFont="1" applyBorder="1" applyAlignment="1">
      <alignment horizontal="left" indent="1"/>
    </xf>
    <xf numFmtId="0" fontId="67" fillId="0" borderId="15" xfId="0" applyFont="1" applyBorder="1" applyAlignment="1">
      <alignment horizontal="left" indent="1"/>
    </xf>
    <xf numFmtId="0" fontId="2" fillId="0" borderId="107" xfId="0" applyFont="1" applyBorder="1" applyAlignment="1">
      <alignment horizontal="center"/>
    </xf>
    <xf numFmtId="0" fontId="2" fillId="0" borderId="108" xfId="0" applyFont="1" applyBorder="1" applyAlignment="1">
      <alignment horizontal="center"/>
    </xf>
    <xf numFmtId="0" fontId="2" fillId="0" borderId="109" xfId="0" applyFont="1" applyBorder="1" applyAlignment="1">
      <alignment horizontal="center"/>
    </xf>
    <xf numFmtId="164" fontId="61" fillId="2" borderId="83" xfId="1" quotePrefix="1" applyNumberFormat="1" applyFont="1" applyFill="1" applyBorder="1" applyAlignment="1">
      <alignment horizontal="center" vertical="center" wrapText="1"/>
    </xf>
    <xf numFmtId="164" fontId="61" fillId="2" borderId="105" xfId="1" quotePrefix="1" applyNumberFormat="1" applyFont="1" applyFill="1" applyBorder="1" applyAlignment="1">
      <alignment horizontal="center" vertical="center" wrapText="1"/>
    </xf>
    <xf numFmtId="164" fontId="61" fillId="2" borderId="110" xfId="1" quotePrefix="1" applyNumberFormat="1" applyFont="1" applyFill="1" applyBorder="1" applyAlignment="1">
      <alignment horizontal="center" vertical="center" wrapText="1"/>
    </xf>
    <xf numFmtId="164" fontId="61" fillId="2" borderId="112" xfId="1" quotePrefix="1" applyNumberFormat="1" applyFont="1" applyFill="1" applyBorder="1" applyAlignment="1">
      <alignment horizontal="center" vertical="center" wrapText="1"/>
    </xf>
    <xf numFmtId="164" fontId="61" fillId="2" borderId="114" xfId="1" quotePrefix="1" applyNumberFormat="1" applyFont="1" applyFill="1" applyBorder="1" applyAlignment="1">
      <alignment horizontal="center" vertical="center" wrapText="1"/>
    </xf>
    <xf numFmtId="0" fontId="65" fillId="0" borderId="27" xfId="0" applyFont="1" applyFill="1" applyBorder="1" applyAlignment="1">
      <alignment horizontal="left"/>
    </xf>
    <xf numFmtId="0" fontId="65" fillId="0" borderId="28" xfId="0" applyFont="1" applyFill="1" applyBorder="1" applyAlignment="1">
      <alignment horizontal="left"/>
    </xf>
    <xf numFmtId="0" fontId="65" fillId="12" borderId="3" xfId="3" applyFont="1" applyFill="1" applyBorder="1" applyAlignment="1">
      <alignment horizontal="left" vertical="top"/>
    </xf>
    <xf numFmtId="0" fontId="65" fillId="12" borderId="4" xfId="3" applyFont="1" applyFill="1" applyBorder="1" applyAlignment="1">
      <alignment horizontal="left" vertical="top"/>
    </xf>
    <xf numFmtId="0" fontId="2" fillId="0" borderId="0" xfId="0" applyFont="1" applyFill="1" applyAlignment="1">
      <alignment horizontal="center" vertical="top" wrapText="1"/>
    </xf>
    <xf numFmtId="0" fontId="85" fillId="0" borderId="73" xfId="0" applyFont="1" applyFill="1" applyBorder="1" applyAlignment="1">
      <alignment horizontal="center" vertical="center" wrapText="1"/>
    </xf>
    <xf numFmtId="0" fontId="85" fillId="0" borderId="71" xfId="0" applyFont="1" applyFill="1" applyBorder="1" applyAlignment="1">
      <alignment horizontal="center" vertical="center" wrapText="1"/>
    </xf>
    <xf numFmtId="0" fontId="85" fillId="0" borderId="72" xfId="0" applyFont="1" applyFill="1" applyBorder="1" applyAlignment="1">
      <alignment horizontal="center" vertical="center" wrapText="1"/>
    </xf>
    <xf numFmtId="0" fontId="81" fillId="2" borderId="67" xfId="0" applyFont="1" applyFill="1" applyBorder="1" applyAlignment="1">
      <alignment horizontal="center" vertical="center" wrapText="1"/>
    </xf>
    <xf numFmtId="0" fontId="81" fillId="2" borderId="61" xfId="0" applyFont="1" applyFill="1" applyBorder="1" applyAlignment="1">
      <alignment horizontal="center" vertical="center" wrapText="1"/>
    </xf>
    <xf numFmtId="0" fontId="81" fillId="2" borderId="68" xfId="0" applyFont="1" applyFill="1" applyBorder="1" applyAlignment="1">
      <alignment horizontal="center" vertical="center" wrapText="1"/>
    </xf>
    <xf numFmtId="0" fontId="81" fillId="2" borderId="69" xfId="0" applyFont="1" applyFill="1" applyBorder="1" applyAlignment="1">
      <alignment horizontal="center" vertical="center" wrapText="1"/>
    </xf>
    <xf numFmtId="0" fontId="80" fillId="14" borderId="58" xfId="0" applyFont="1" applyFill="1" applyBorder="1" applyAlignment="1">
      <alignment horizontal="center" vertical="center" wrapText="1"/>
    </xf>
    <xf numFmtId="0" fontId="80" fillId="14" borderId="59" xfId="0" applyFont="1" applyFill="1" applyBorder="1" applyAlignment="1">
      <alignment horizontal="center" vertical="center" wrapText="1"/>
    </xf>
    <xf numFmtId="0" fontId="80" fillId="14" borderId="60" xfId="0" applyFont="1" applyFill="1" applyBorder="1" applyAlignment="1">
      <alignment horizontal="center" vertical="center" wrapText="1"/>
    </xf>
    <xf numFmtId="0" fontId="83" fillId="0" borderId="121" xfId="0" applyFont="1" applyFill="1" applyBorder="1" applyAlignment="1">
      <alignment horizontal="left" vertical="top" wrapText="1"/>
    </xf>
    <xf numFmtId="0" fontId="83" fillId="0" borderId="122" xfId="0" applyFont="1" applyFill="1" applyBorder="1" applyAlignment="1">
      <alignment horizontal="left" vertical="top" wrapText="1"/>
    </xf>
    <xf numFmtId="0" fontId="83" fillId="0" borderId="123" xfId="0" applyFont="1" applyFill="1" applyBorder="1" applyAlignment="1">
      <alignment horizontal="left" vertical="top" wrapText="1"/>
    </xf>
    <xf numFmtId="0" fontId="85" fillId="0" borderId="74" xfId="0" applyFont="1" applyFill="1" applyBorder="1" applyAlignment="1">
      <alignment horizontal="center" vertical="center" wrapText="1"/>
    </xf>
    <xf numFmtId="14" fontId="84" fillId="0" borderId="117" xfId="0" applyNumberFormat="1" applyFont="1" applyFill="1" applyBorder="1" applyAlignment="1">
      <alignment horizontal="center" vertical="center" wrapText="1"/>
    </xf>
    <xf numFmtId="14" fontId="84" fillId="0" borderId="118" xfId="0" applyNumberFormat="1" applyFont="1" applyFill="1" applyBorder="1" applyAlignment="1">
      <alignment horizontal="center" vertical="center" wrapText="1"/>
    </xf>
    <xf numFmtId="14" fontId="84" fillId="0" borderId="75" xfId="0" applyNumberFormat="1" applyFont="1" applyFill="1" applyBorder="1" applyAlignment="1">
      <alignment horizontal="center" vertical="center" wrapText="1"/>
    </xf>
    <xf numFmtId="0" fontId="81" fillId="2" borderId="119" xfId="0" applyFont="1" applyFill="1" applyBorder="1" applyAlignment="1">
      <alignment horizontal="center" vertical="center" wrapText="1"/>
    </xf>
    <xf numFmtId="0" fontId="81" fillId="2" borderId="120" xfId="0" applyFont="1" applyFill="1" applyBorder="1" applyAlignment="1">
      <alignment horizontal="center" vertical="center" wrapText="1"/>
    </xf>
    <xf numFmtId="0" fontId="86" fillId="13" borderId="66" xfId="0" applyFont="1" applyFill="1" applyBorder="1" applyAlignment="1">
      <alignment horizontal="center" vertical="center" wrapText="1"/>
    </xf>
    <xf numFmtId="0" fontId="86" fillId="13" borderId="59" xfId="0" applyFont="1" applyFill="1" applyBorder="1" applyAlignment="1">
      <alignment horizontal="center" vertical="center" wrapText="1"/>
    </xf>
    <xf numFmtId="164" fontId="61" fillId="2" borderId="127" xfId="1" quotePrefix="1" applyNumberFormat="1" applyFont="1" applyFill="1" applyBorder="1" applyAlignment="1">
      <alignment horizontal="left"/>
    </xf>
    <xf numFmtId="164" fontId="61" fillId="2" borderId="128" xfId="1" quotePrefix="1" applyNumberFormat="1" applyFont="1" applyFill="1" applyBorder="1" applyAlignment="1">
      <alignment horizontal="left"/>
    </xf>
    <xf numFmtId="164" fontId="61" fillId="2" borderId="129" xfId="1" quotePrefix="1" applyNumberFormat="1" applyFont="1" applyFill="1" applyBorder="1" applyAlignment="1">
      <alignment horizontal="left"/>
    </xf>
    <xf numFmtId="164" fontId="6" fillId="2" borderId="125" xfId="1" quotePrefix="1" applyNumberFormat="1" applyFont="1" applyFill="1" applyBorder="1" applyAlignment="1">
      <alignment horizontal="center" vertical="center" wrapText="1"/>
    </xf>
    <xf numFmtId="164" fontId="6" fillId="2" borderId="128" xfId="1" quotePrefix="1" applyNumberFormat="1" applyFont="1" applyFill="1" applyBorder="1" applyAlignment="1">
      <alignment horizontal="center" vertical="center" wrapText="1"/>
    </xf>
    <xf numFmtId="164" fontId="6" fillId="2" borderId="129" xfId="1" quotePrefix="1" applyNumberFormat="1" applyFont="1" applyFill="1" applyBorder="1" applyAlignment="1">
      <alignment horizontal="center" vertical="center" wrapText="1"/>
    </xf>
    <xf numFmtId="164" fontId="61" fillId="2" borderId="130" xfId="1" quotePrefix="1" applyNumberFormat="1" applyFont="1" applyFill="1" applyBorder="1" applyAlignment="1">
      <alignment horizontal="left"/>
    </xf>
    <xf numFmtId="164" fontId="2" fillId="3" borderId="38" xfId="1" quotePrefix="1" applyNumberFormat="1" applyFont="1" applyFill="1" applyBorder="1" applyAlignment="1">
      <alignment horizontal="center" vertical="center"/>
    </xf>
    <xf numFmtId="164" fontId="2" fillId="3" borderId="39" xfId="1" quotePrefix="1" applyNumberFormat="1" applyFont="1" applyFill="1" applyBorder="1" applyAlignment="1">
      <alignment horizontal="center" vertical="center"/>
    </xf>
    <xf numFmtId="164" fontId="2" fillId="3" borderId="142" xfId="1" quotePrefix="1" applyNumberFormat="1" applyFont="1" applyFill="1" applyBorder="1" applyAlignment="1">
      <alignment horizontal="center" vertical="center"/>
    </xf>
    <xf numFmtId="164" fontId="6" fillId="2" borderId="126" xfId="1" quotePrefix="1" applyNumberFormat="1" applyFont="1" applyFill="1" applyBorder="1" applyAlignment="1">
      <alignment horizontal="center" vertical="center" wrapText="1"/>
    </xf>
    <xf numFmtId="164" fontId="61" fillId="2" borderId="127" xfId="1" quotePrefix="1" applyNumberFormat="1" applyFont="1" applyFill="1" applyBorder="1" applyAlignment="1">
      <alignment horizontal="center"/>
    </xf>
    <xf numFmtId="164" fontId="61" fillId="2" borderId="128" xfId="1" quotePrefix="1" applyNumberFormat="1" applyFont="1" applyFill="1" applyBorder="1" applyAlignment="1">
      <alignment horizontal="center"/>
    </xf>
    <xf numFmtId="0" fontId="2" fillId="0" borderId="0" xfId="0" applyFont="1" applyAlignment="1">
      <alignment horizontal="center" vertical="top" wrapText="1"/>
    </xf>
    <xf numFmtId="164" fontId="6" fillId="2" borderId="81" xfId="1" quotePrefix="1" applyNumberFormat="1" applyFont="1" applyFill="1" applyBorder="1" applyAlignment="1">
      <alignment horizontal="center" vertical="center" wrapText="1"/>
    </xf>
    <xf numFmtId="164" fontId="6" fillId="2" borderId="78" xfId="1" quotePrefix="1" applyNumberFormat="1" applyFont="1" applyFill="1" applyBorder="1" applyAlignment="1">
      <alignment horizontal="center" vertical="center" wrapText="1"/>
    </xf>
    <xf numFmtId="164" fontId="6" fillId="2" borderId="79" xfId="1" quotePrefix="1" applyNumberFormat="1" applyFont="1" applyFill="1" applyBorder="1" applyAlignment="1">
      <alignment horizontal="center" vertical="center" wrapText="1"/>
    </xf>
    <xf numFmtId="164" fontId="88" fillId="13" borderId="81" xfId="1" quotePrefix="1" applyNumberFormat="1" applyFont="1" applyFill="1" applyBorder="1" applyAlignment="1">
      <alignment horizontal="center" vertical="center" wrapText="1"/>
    </xf>
    <xf numFmtId="164" fontId="88" fillId="13" borderId="78" xfId="1" quotePrefix="1" applyNumberFormat="1" applyFont="1" applyFill="1" applyBorder="1" applyAlignment="1">
      <alignment horizontal="center" vertical="center" wrapText="1"/>
    </xf>
    <xf numFmtId="164" fontId="88" fillId="13" borderId="79" xfId="1" quotePrefix="1" applyNumberFormat="1" applyFont="1" applyFill="1" applyBorder="1" applyAlignment="1">
      <alignment horizontal="center" vertical="center" wrapText="1"/>
    </xf>
    <xf numFmtId="164" fontId="6" fillId="2" borderId="76" xfId="1" quotePrefix="1" applyNumberFormat="1" applyFont="1" applyFill="1" applyBorder="1" applyAlignment="1">
      <alignment horizontal="center" vertical="center" wrapText="1"/>
    </xf>
    <xf numFmtId="164" fontId="6" fillId="2" borderId="77" xfId="1" quotePrefix="1" applyNumberFormat="1" applyFont="1" applyFill="1" applyBorder="1" applyAlignment="1">
      <alignment horizontal="center" vertical="center" wrapText="1"/>
    </xf>
    <xf numFmtId="164" fontId="6" fillId="2" borderId="82" xfId="1" quotePrefix="1" applyNumberFormat="1" applyFont="1" applyFill="1" applyBorder="1" applyAlignment="1">
      <alignment horizontal="center" vertical="center" wrapText="1"/>
    </xf>
    <xf numFmtId="164" fontId="6" fillId="2" borderId="80" xfId="1" quotePrefix="1" applyNumberFormat="1" applyFont="1" applyFill="1" applyBorder="1" applyAlignment="1">
      <alignment horizontal="center" vertical="center" wrapText="1"/>
    </xf>
    <xf numFmtId="164" fontId="88" fillId="15" borderId="81" xfId="1" quotePrefix="1" applyNumberFormat="1" applyFont="1" applyFill="1" applyBorder="1" applyAlignment="1">
      <alignment horizontal="center" vertical="center" wrapText="1"/>
    </xf>
    <xf numFmtId="164" fontId="88" fillId="15" borderId="78" xfId="1" quotePrefix="1" applyNumberFormat="1" applyFont="1" applyFill="1" applyBorder="1" applyAlignment="1">
      <alignment horizontal="center" vertical="center" wrapText="1"/>
    </xf>
    <xf numFmtId="164" fontId="88" fillId="15" borderId="79" xfId="1" quotePrefix="1" applyNumberFormat="1" applyFont="1" applyFill="1" applyBorder="1" applyAlignment="1">
      <alignment horizontal="center" vertical="center" wrapText="1"/>
    </xf>
    <xf numFmtId="164" fontId="88" fillId="15" borderId="35" xfId="1" quotePrefix="1" applyNumberFormat="1" applyFont="1" applyFill="1" applyBorder="1" applyAlignment="1">
      <alignment horizontal="center" vertical="center" wrapText="1"/>
    </xf>
    <xf numFmtId="164" fontId="88" fillId="15" borderId="36" xfId="1" quotePrefix="1" applyNumberFormat="1" applyFont="1" applyFill="1" applyBorder="1" applyAlignment="1">
      <alignment horizontal="center" vertical="center" wrapText="1"/>
    </xf>
    <xf numFmtId="164" fontId="88" fillId="15" borderId="37" xfId="1" quotePrefix="1" applyNumberFormat="1" applyFont="1" applyFill="1" applyBorder="1" applyAlignment="1">
      <alignment horizontal="center" vertical="center" wrapText="1"/>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Model'!$B$145</c:f>
              <c:strCache>
                <c:ptCount val="1"/>
                <c:pt idx="0">
                  <c:v>FedEx Ground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F710-426D-8A80-7E881865C2F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F710-426D-8A80-7E881865C2F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F710-426D-8A80-7E881865C2F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F710-426D-8A80-7E881865C2F6}"/>
              </c:ext>
            </c:extLst>
          </c:dPt>
          <c:dPt>
            <c:idx val="9"/>
            <c:invertIfNegative val="0"/>
            <c:bubble3D val="0"/>
            <c:extLst>
              <c:ext xmlns:c16="http://schemas.microsoft.com/office/drawing/2014/chart" uri="{C3380CC4-5D6E-409C-BE32-E72D297353CC}">
                <c16:uniqueId val="{00000008-F710-426D-8A80-7E881865C2F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Model'!$O$145,'FedEx Earnings Model'!$P$145,'FedEx Earnings Model'!$Q$145,'FedEx Earnings Model'!$S$145,'FedEx Earnings Model'!$T$145,'FedEx Earnings Model'!$U$145,'FedEx Earnings Model'!$V$145,'FedEx Earnings Model'!$X$145)</c:f>
              <c:numCache>
                <c:formatCode>_(* #,##0_);_(* \(#,##0\);_(* "-"_);_(@_)</c:formatCode>
                <c:ptCount val="5"/>
                <c:pt idx="0">
                  <c:v>4798.9104000000007</c:v>
                </c:pt>
                <c:pt idx="1">
                  <c:v>5128.9784383519791</c:v>
                </c:pt>
                <c:pt idx="2">
                  <c:v>5483.0775932334418</c:v>
                </c:pt>
                <c:pt idx="3">
                  <c:v>5461.1941900543716</c:v>
                </c:pt>
                <c:pt idx="4">
                  <c:v>5242.0524675442348</c:v>
                </c:pt>
              </c:numCache>
            </c:numRef>
          </c:val>
          <c:extLst>
            <c:ext xmlns:c16="http://schemas.microsoft.com/office/drawing/2014/chart" uri="{C3380CC4-5D6E-409C-BE32-E72D297353CC}">
              <c16:uniqueId val="{00000009-F710-426D-8A80-7E881865C2F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Model'!$B$152</c:f>
              <c:strCache>
                <c:ptCount val="1"/>
                <c:pt idx="0">
                  <c:v>Ground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F710-426D-8A80-7E881865C2F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F710-426D-8A80-7E881865C2F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F710-426D-8A80-7E881865C2F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F710-426D-8A80-7E881865C2F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Model'!$O$152,'FedEx Earnings Model'!$P$152,'FedEx Earnings Model'!$Q$152,'FedEx Earnings Model'!$S$152,'FedEx Earnings Model'!$T$152,'FedEx Earnings Model'!$U$152,'FedEx Earnings Model'!$V$152,'FedEx Earnings Model'!$X$152)</c:f>
              <c:numCache>
                <c:formatCode>0.0%</c:formatCode>
                <c:ptCount val="5"/>
                <c:pt idx="0">
                  <c:v>0.13897121313204777</c:v>
                </c:pt>
                <c:pt idx="1">
                  <c:v>0.11054680297470856</c:v>
                </c:pt>
                <c:pt idx="2">
                  <c:v>0.13218180552189174</c:v>
                </c:pt>
                <c:pt idx="3">
                  <c:v>0.17589024712019918</c:v>
                </c:pt>
                <c:pt idx="4">
                  <c:v>0.14975722140854081</c:v>
                </c:pt>
              </c:numCache>
            </c:numRef>
          </c:val>
          <c:smooth val="0"/>
          <c:extLst>
            <c:ext xmlns:c16="http://schemas.microsoft.com/office/drawing/2014/chart" uri="{C3380CC4-5D6E-409C-BE32-E72D297353CC}">
              <c16:uniqueId val="{00000012-F710-426D-8A80-7E881865C2F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Model'!$B$155</c:f>
              <c:strCache>
                <c:ptCount val="1"/>
                <c:pt idx="0">
                  <c:v>Shipments per day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52F8-4E5D-832E-C041FF0FAE7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52F8-4E5D-832E-C041FF0FAE7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52F8-4E5D-832E-C041FF0FAE7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52F8-4E5D-832E-C041FF0FAE72}"/>
              </c:ext>
            </c:extLst>
          </c:dPt>
          <c:dPt>
            <c:idx val="9"/>
            <c:invertIfNegative val="0"/>
            <c:bubble3D val="0"/>
            <c:extLst>
              <c:ext xmlns:c16="http://schemas.microsoft.com/office/drawing/2014/chart" uri="{C3380CC4-5D6E-409C-BE32-E72D297353CC}">
                <c16:uniqueId val="{00000008-52F8-4E5D-832E-C041FF0FAE7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Model'!$O$155,'FedEx Earnings Model'!$P$155,'FedEx Earnings Model'!$Q$155,'FedEx Earnings Model'!$S$155,'FedEx Earnings Model'!$T$155,'FedEx Earnings Model'!$U$155,'FedEx Earnings Model'!$V$155,'FedEx Earnings Model'!$X$155)</c:f>
              <c:numCache>
                <c:formatCode>_(* #,##0_);_(* \(#,##0\);_(* "-"_);_(@_)</c:formatCode>
                <c:ptCount val="5"/>
                <c:pt idx="0" formatCode="_(* #,##0.000_);_(* \(#,##0.000\);_(* &quot;-&quot;_);_(@_)">
                  <c:v>115.745</c:v>
                </c:pt>
                <c:pt idx="1">
                  <c:v>116.01884004901586</c:v>
                </c:pt>
                <c:pt idx="2">
                  <c:v>107.77410735927364</c:v>
                </c:pt>
                <c:pt idx="3">
                  <c:v>119.11675463792866</c:v>
                </c:pt>
                <c:pt idx="4">
                  <c:v>122.41579194806145</c:v>
                </c:pt>
              </c:numCache>
            </c:numRef>
          </c:val>
          <c:extLst>
            <c:ext xmlns:c16="http://schemas.microsoft.com/office/drawing/2014/chart" uri="{C3380CC4-5D6E-409C-BE32-E72D297353CC}">
              <c16:uniqueId val="{00000009-52F8-4E5D-832E-C041FF0FAE7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Model'!$B$159</c:f>
              <c:strCache>
                <c:ptCount val="1"/>
                <c:pt idx="0">
                  <c:v>Revenue per Shipment</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2F8-4E5D-832E-C041FF0FAE7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52F8-4E5D-832E-C041FF0FAE7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52F8-4E5D-832E-C041FF0FAE7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52F8-4E5D-832E-C041FF0FAE7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Model'!$O$159,'FedEx Earnings Model'!$P$159,'FedEx Earnings Model'!$Q$159,'FedEx Earnings Model'!$S$159,'FedEx Earnings Model'!$T$159,'FedEx Earnings Model'!$U$159,'FedEx Earnings Model'!$V$159,'FedEx Earnings Model'!$X$159)</c:f>
              <c:numCache>
                <c:formatCode>"$"#,##0.00_);\("$"#,##0.00\)</c:formatCode>
                <c:ptCount val="5"/>
                <c:pt idx="0">
                  <c:v>260.39</c:v>
                </c:pt>
                <c:pt idx="1">
                  <c:v>267.50209942420463</c:v>
                </c:pt>
                <c:pt idx="2">
                  <c:v>279.8111347368349</c:v>
                </c:pt>
                <c:pt idx="3">
                  <c:v>279.67882724233283</c:v>
                </c:pt>
                <c:pt idx="4">
                  <c:v>275.66979813752278</c:v>
                </c:pt>
              </c:numCache>
            </c:numRef>
          </c:val>
          <c:smooth val="0"/>
          <c:extLst>
            <c:ext xmlns:c16="http://schemas.microsoft.com/office/drawing/2014/chart" uri="{C3380CC4-5D6E-409C-BE32-E72D297353CC}">
              <c16:uniqueId val="{00000012-52F8-4E5D-832E-C041FF0FAE7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30"/>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Freight</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Model'!$B$162</c:f>
              <c:strCache>
                <c:ptCount val="1"/>
                <c:pt idx="0">
                  <c:v>FedEx Freight Total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D4C-4EC4-9CAF-2FB973AC6CA5}"/>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D4C-4EC4-9CAF-2FB973AC6CA5}"/>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D4C-4EC4-9CAF-2FB973AC6CA5}"/>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D4C-4EC4-9CAF-2FB973AC6CA5}"/>
              </c:ext>
            </c:extLst>
          </c:dPt>
          <c:dPt>
            <c:idx val="9"/>
            <c:invertIfNegative val="0"/>
            <c:bubble3D val="0"/>
            <c:extLst>
              <c:ext xmlns:c16="http://schemas.microsoft.com/office/drawing/2014/chart" uri="{C3380CC4-5D6E-409C-BE32-E72D297353CC}">
                <c16:uniqueId val="{00000008-4D4C-4EC4-9CAF-2FB973AC6CA5}"/>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Model'!$O$162,'FedEx Earnings Model'!$P$162,'FedEx Earnings Model'!$Q$162,'FedEx Earnings Model'!$S$162,'FedEx Earnings Model'!$T$162,'FedEx Earnings Model'!$U$162,'FedEx Earnings Model'!$V$162,'FedEx Earnings Model'!$X$162)</c:f>
              <c:numCache>
                <c:formatCode>_(* #,##0_);_(* \(#,##0\);_(* "-"??_);_(@_)</c:formatCode>
                <c:ptCount val="5"/>
                <c:pt idx="0">
                  <c:v>1959.0246357499998</c:v>
                </c:pt>
                <c:pt idx="1">
                  <c:v>1924.1875637241094</c:v>
                </c:pt>
                <c:pt idx="2">
                  <c:v>1869.6965070777651</c:v>
                </c:pt>
                <c:pt idx="3">
                  <c:v>2165.4382257331586</c:v>
                </c:pt>
                <c:pt idx="4">
                  <c:v>2193.5118825858608</c:v>
                </c:pt>
              </c:numCache>
            </c:numRef>
          </c:val>
          <c:extLst>
            <c:ext xmlns:c16="http://schemas.microsoft.com/office/drawing/2014/chart" uri="{C3380CC4-5D6E-409C-BE32-E72D297353CC}">
              <c16:uniqueId val="{00000009-4D4C-4EC4-9CAF-2FB973AC6CA5}"/>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Model'!$B$169</c:f>
              <c:strCache>
                <c:ptCount val="1"/>
                <c:pt idx="0">
                  <c:v>Freight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D4C-4EC4-9CAF-2FB973AC6CA5}"/>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D4C-4EC4-9CAF-2FB973AC6CA5}"/>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D4C-4EC4-9CAF-2FB973AC6CA5}"/>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D4C-4EC4-9CAF-2FB973AC6CA5}"/>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Model'!$O$152,'FedEx Earnings Model'!$P$152,'FedEx Earnings Model'!$Q$152,'FedEx Earnings Model'!$S$152,'FedEx Earnings Model'!$T$152,'FedEx Earnings Model'!$U$152,'FedEx Earnings Model'!$V$152,'FedEx Earnings Model'!$X$152)</c:f>
              <c:numCache>
                <c:formatCode>0.0%</c:formatCode>
                <c:ptCount val="5"/>
                <c:pt idx="0">
                  <c:v>0.13897121313204777</c:v>
                </c:pt>
                <c:pt idx="1">
                  <c:v>0.11054680297470856</c:v>
                </c:pt>
                <c:pt idx="2">
                  <c:v>0.13218180552189174</c:v>
                </c:pt>
                <c:pt idx="3">
                  <c:v>0.17589024712019918</c:v>
                </c:pt>
                <c:pt idx="4">
                  <c:v>0.14975722140854081</c:v>
                </c:pt>
              </c:numCache>
            </c:numRef>
          </c:val>
          <c:smooth val="0"/>
          <c:extLst>
            <c:ext xmlns:c16="http://schemas.microsoft.com/office/drawing/2014/chart" uri="{C3380CC4-5D6E-409C-BE32-E72D297353CC}">
              <c16:uniqueId val="{00000012-4D4C-4EC4-9CAF-2FB973AC6CA5}"/>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Revenue &amp; Margin Forecast</a:t>
            </a:r>
            <a:endParaRPr lang="en-US" sz="1200" b="0"/>
          </a:p>
        </c:rich>
      </c:tx>
      <c:layout>
        <c:manualLayout>
          <c:xMode val="edge"/>
          <c:yMode val="edge"/>
          <c:x val="0.23481738794463503"/>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B9EA-484B-8D09-104C99D2C10F}"/>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B9EA-484B-8D09-104C99D2C10F}"/>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B9EA-484B-8D09-104C99D2C10F}"/>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B9EA-484B-8D09-104C99D2C10F}"/>
              </c:ext>
            </c:extLst>
          </c:dPt>
          <c:dPt>
            <c:idx val="9"/>
            <c:invertIfNegative val="0"/>
            <c:bubble3D val="0"/>
            <c:extLst>
              <c:ext xmlns:c16="http://schemas.microsoft.com/office/drawing/2014/chart" uri="{C3380CC4-5D6E-409C-BE32-E72D297353CC}">
                <c16:uniqueId val="{00000008-B9EA-484B-8D09-104C99D2C10F}"/>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Model'!$O$13,'FedEx Earnings Model'!$P$13,'FedEx Earnings Model'!$Q$13,'FedEx Earnings Model'!$S$13,'FedEx Earnings Model'!$T$13,'FedEx Earnings Model'!$U$13,'FedEx Earnings Model'!$V$13,'FedEx Earnings Model'!$X$13)</c:f>
              <c:numCache>
                <c:formatCode>_(* #,##0_);_(* \(#,##0\);_(* "-"??_);_(@_)</c:formatCode>
                <c:ptCount val="5"/>
                <c:pt idx="0">
                  <c:v>17052</c:v>
                </c:pt>
                <c:pt idx="1">
                  <c:v>17772.5</c:v>
                </c:pt>
                <c:pt idx="2">
                  <c:v>17888.8</c:v>
                </c:pt>
                <c:pt idx="3">
                  <c:v>18692.299999999996</c:v>
                </c:pt>
                <c:pt idx="4">
                  <c:v>18024.890000000003</c:v>
                </c:pt>
              </c:numCache>
            </c:numRef>
          </c:val>
          <c:extLst>
            <c:ext xmlns:c16="http://schemas.microsoft.com/office/drawing/2014/chart" uri="{C3380CC4-5D6E-409C-BE32-E72D297353CC}">
              <c16:uniqueId val="{00000009-B9EA-484B-8D09-104C99D2C10F}"/>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Model'!$B$221:$C$221</c:f>
              <c:strCache>
                <c:ptCount val="2"/>
                <c:pt idx="0">
                  <c:v>Operating margin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B9EA-484B-8D09-104C99D2C10F}"/>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B9EA-484B-8D09-104C99D2C10F}"/>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B9EA-484B-8D09-104C99D2C10F}"/>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B9EA-484B-8D09-104C99D2C10F}"/>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Model'!$O$221,'FedEx Earnings Model'!$P$221,'FedEx Earnings Model'!$Q$221,'FedEx Earnings Model'!$S$221,'FedEx Earnings Model'!$T$221,'FedEx Earnings Model'!$U$221,'FedEx Earnings Model'!$V$221,'FedEx Earnings Model'!$X$221)</c:f>
              <c:numCache>
                <c:formatCode>0.0%</c:formatCode>
                <c:ptCount val="5"/>
                <c:pt idx="0">
                  <c:v>6.9903823598404885E-2</c:v>
                </c:pt>
                <c:pt idx="1">
                  <c:v>7.9985420648134076E-2</c:v>
                </c:pt>
                <c:pt idx="2">
                  <c:v>7.679468304580063E-2</c:v>
                </c:pt>
                <c:pt idx="3">
                  <c:v>0.11597057942752362</c:v>
                </c:pt>
                <c:pt idx="4">
                  <c:v>8.8369426391857936E-2</c:v>
                </c:pt>
              </c:numCache>
            </c:numRef>
          </c:val>
          <c:smooth val="0"/>
          <c:extLst>
            <c:ext xmlns:c16="http://schemas.microsoft.com/office/drawing/2014/chart" uri="{C3380CC4-5D6E-409C-BE32-E72D297353CC}">
              <c16:uniqueId val="{00000012-B9EA-484B-8D09-104C99D2C10F}"/>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Capex to Revenue Forecast</a:t>
            </a:r>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Model'!$B$13:$C$13</c:f>
              <c:strCache>
                <c:ptCount val="2"/>
                <c:pt idx="0">
                  <c:v>Total Revenue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32C5-404C-9A9E-65A6B95DAF16}"/>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32C5-404C-9A9E-65A6B95DAF16}"/>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32C5-404C-9A9E-65A6B95DAF16}"/>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32C5-404C-9A9E-65A6B95DAF16}"/>
              </c:ext>
            </c:extLst>
          </c:dPt>
          <c:dPt>
            <c:idx val="9"/>
            <c:invertIfNegative val="0"/>
            <c:bubble3D val="0"/>
            <c:extLst>
              <c:ext xmlns:c16="http://schemas.microsoft.com/office/drawing/2014/chart" uri="{C3380CC4-5D6E-409C-BE32-E72D297353CC}">
                <c16:uniqueId val="{00000008-32C5-404C-9A9E-65A6B95DAF1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Model'!$O$13,'FedEx Earnings Model'!$P$13,'FedEx Earnings Model'!$Q$13,'FedEx Earnings Model'!$S$13,'FedEx Earnings Model'!$T$13,'FedEx Earnings Model'!$U$13,'FedEx Earnings Model'!$V$13,'FedEx Earnings Model'!$X$13)</c:f>
              <c:numCache>
                <c:formatCode>_(* #,##0_);_(* \(#,##0\);_(* "-"??_);_(@_)</c:formatCode>
                <c:ptCount val="5"/>
                <c:pt idx="0">
                  <c:v>17052</c:v>
                </c:pt>
                <c:pt idx="1">
                  <c:v>17772.5</c:v>
                </c:pt>
                <c:pt idx="2">
                  <c:v>17888.8</c:v>
                </c:pt>
                <c:pt idx="3">
                  <c:v>18692.299999999996</c:v>
                </c:pt>
                <c:pt idx="4">
                  <c:v>18024.890000000003</c:v>
                </c:pt>
              </c:numCache>
            </c:numRef>
          </c:val>
          <c:extLst>
            <c:ext xmlns:c16="http://schemas.microsoft.com/office/drawing/2014/chart" uri="{C3380CC4-5D6E-409C-BE32-E72D297353CC}">
              <c16:uniqueId val="{00000009-32C5-404C-9A9E-65A6B95DAF16}"/>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Model'!$B$359</c:f>
              <c:strCache>
                <c:ptCount val="1"/>
                <c:pt idx="0">
                  <c:v>Capex to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32C5-404C-9A9E-65A6B95DAF16}"/>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32C5-404C-9A9E-65A6B95DAF16}"/>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32C5-404C-9A9E-65A6B95DAF16}"/>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32C5-404C-9A9E-65A6B95DAF16}"/>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Model'!$O$359,'FedEx Earnings Model'!$P$359,'FedEx Earnings Model'!$Q$359,'FedEx Earnings Model'!$S$359,'FedEx Earnings Model'!$T$359,'FedEx Earnings Model'!$U$359,'FedEx Earnings Model'!$V$359,'FedEx Earnings Model'!$X$359)</c:f>
              <c:numCache>
                <c:formatCode>0.0%</c:formatCode>
                <c:ptCount val="5"/>
                <c:pt idx="0">
                  <c:v>6.9141449683321601E-2</c:v>
                </c:pt>
                <c:pt idx="1">
                  <c:v>8.1000000000000003E-2</c:v>
                </c:pt>
                <c:pt idx="2">
                  <c:v>8.1000000000000003E-2</c:v>
                </c:pt>
                <c:pt idx="3">
                  <c:v>8.1982137029686014E-2</c:v>
                </c:pt>
                <c:pt idx="4">
                  <c:v>7.8280896678251916E-2</c:v>
                </c:pt>
              </c:numCache>
            </c:numRef>
          </c:val>
          <c:smooth val="0"/>
          <c:extLst>
            <c:ext xmlns:c16="http://schemas.microsoft.com/office/drawing/2014/chart" uri="{C3380CC4-5D6E-409C-BE32-E72D297353CC}">
              <c16:uniqueId val="{00000012-32C5-404C-9A9E-65A6B95DAF16}"/>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75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Fuel Expense Projections</a:t>
            </a:r>
            <a:endParaRPr lang="en-US" sz="1200" b="0"/>
          </a:p>
        </c:rich>
      </c:tx>
      <c:layout>
        <c:manualLayout>
          <c:xMode val="edge"/>
          <c:yMode val="edge"/>
          <c:x val="0.26813557664674015"/>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Model'!$B$19</c:f>
              <c:strCache>
                <c:ptCount val="1"/>
                <c:pt idx="0">
                  <c:v>Fuel expense</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1F4B-40FB-AE75-E89B082418EC}"/>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1F4B-40FB-AE75-E89B082418EC}"/>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1F4B-40FB-AE75-E89B082418EC}"/>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1F4B-40FB-AE75-E89B082418EC}"/>
              </c:ext>
            </c:extLst>
          </c:dPt>
          <c:dPt>
            <c:idx val="9"/>
            <c:invertIfNegative val="0"/>
            <c:bubble3D val="0"/>
            <c:extLst>
              <c:ext xmlns:c16="http://schemas.microsoft.com/office/drawing/2014/chart" uri="{C3380CC4-5D6E-409C-BE32-E72D297353CC}">
                <c16:uniqueId val="{00000008-1F4B-40FB-AE75-E89B082418EC}"/>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Model'!$O$19,'FedEx Earnings Model'!$P$19,'FedEx Earnings Model'!$Q$19,'FedEx Earnings Model'!$S$19,'FedEx Earnings Model'!$T$19,'FedEx Earnings Model'!$U$19,'FedEx Earnings Model'!$V$19,'FedEx Earnings Model'!$X$19)</c:f>
              <c:numCache>
                <c:formatCode>_(* #,##0_);_(* \(#,##0\);_(* "-"??_);_(@_)</c:formatCode>
                <c:ptCount val="5"/>
                <c:pt idx="0">
                  <c:v>986</c:v>
                </c:pt>
                <c:pt idx="1">
                  <c:v>991.28961950791449</c:v>
                </c:pt>
                <c:pt idx="2">
                  <c:v>921.47443802062378</c:v>
                </c:pt>
                <c:pt idx="3">
                  <c:v>1019.9694004064801</c:v>
                </c:pt>
                <c:pt idx="4">
                  <c:v>938.17237635259744</c:v>
                </c:pt>
              </c:numCache>
            </c:numRef>
          </c:val>
          <c:extLst>
            <c:ext xmlns:c16="http://schemas.microsoft.com/office/drawing/2014/chart" uri="{C3380CC4-5D6E-409C-BE32-E72D297353CC}">
              <c16:uniqueId val="{00000009-1F4B-40FB-AE75-E89B082418EC}"/>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Model'!$B$225</c:f>
              <c:strCache>
                <c:ptCount val="1"/>
                <c:pt idx="0">
                  <c:v>Fuel expense as a % of revenue</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1F4B-40FB-AE75-E89B082418EC}"/>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1F4B-40FB-AE75-E89B082418EC}"/>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1F4B-40FB-AE75-E89B082418EC}"/>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1F4B-40FB-AE75-E89B082418EC}"/>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Model'!$O$359,'FedEx Earnings Model'!$P$359,'FedEx Earnings Model'!$Q$359,'FedEx Earnings Model'!$S$359,'FedEx Earnings Model'!$T$359,'FedEx Earnings Model'!$U$359,'FedEx Earnings Model'!$V$359,'FedEx Earnings Model'!$X$359)</c:f>
              <c:numCache>
                <c:formatCode>0.0%</c:formatCode>
                <c:ptCount val="5"/>
                <c:pt idx="0">
                  <c:v>6.9141449683321601E-2</c:v>
                </c:pt>
                <c:pt idx="1">
                  <c:v>8.1000000000000003E-2</c:v>
                </c:pt>
                <c:pt idx="2">
                  <c:v>8.1000000000000003E-2</c:v>
                </c:pt>
                <c:pt idx="3">
                  <c:v>8.1982137029686014E-2</c:v>
                </c:pt>
                <c:pt idx="4">
                  <c:v>7.8280896678251916E-2</c:v>
                </c:pt>
              </c:numCache>
            </c:numRef>
          </c:val>
          <c:smooth val="0"/>
          <c:extLst>
            <c:ext xmlns:c16="http://schemas.microsoft.com/office/drawing/2014/chart" uri="{C3380CC4-5D6E-409C-BE32-E72D297353CC}">
              <c16:uniqueId val="{00000012-1F4B-40FB-AE75-E89B082418EC}"/>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a:t>
            </a:r>
            <a:r>
              <a:rPr lang="en-US" sz="1200" b="0" baseline="0"/>
              <a:t> Express Segment Fuel Efficiency Projections</a:t>
            </a:r>
            <a:endParaRPr lang="en-US" sz="1200" b="0"/>
          </a:p>
        </c:rich>
      </c:tx>
      <c:layout>
        <c:manualLayout>
          <c:xMode val="edge"/>
          <c:yMode val="edge"/>
          <c:x val="0.10938955211243753"/>
          <c:y val="0"/>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Model'!$B$66</c:f>
              <c:strCache>
                <c:ptCount val="1"/>
                <c:pt idx="0">
                  <c:v>Jet fuel expense ($ in millions)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805C-499A-A36A-970CE342AB2A}"/>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805C-499A-A36A-970CE342AB2A}"/>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805C-499A-A36A-970CE342AB2A}"/>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805C-499A-A36A-970CE342AB2A}"/>
              </c:ext>
            </c:extLst>
          </c:dPt>
          <c:dPt>
            <c:idx val="9"/>
            <c:invertIfNegative val="0"/>
            <c:bubble3D val="0"/>
            <c:extLst>
              <c:ext xmlns:c16="http://schemas.microsoft.com/office/drawing/2014/chart" uri="{C3380CC4-5D6E-409C-BE32-E72D297353CC}">
                <c16:uniqueId val="{00000008-805C-499A-A36A-970CE342AB2A}"/>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Model'!$O$66,'FedEx Earnings Model'!$P$66,'FedEx Earnings Model'!$Q$66,'FedEx Earnings Model'!$S$66,'FedEx Earnings Model'!$T$66,'FedEx Earnings Model'!$U$66,'FedEx Earnings Model'!$V$66,'FedEx Earnings Model'!$X$66)</c:f>
              <c:numCache>
                <c:formatCode>_(* #,##0_);_(* \(#,##0\);_(* "-"??_);_(@_)</c:formatCode>
                <c:ptCount val="5"/>
                <c:pt idx="0" formatCode="_(* #,##0_);_(* \(#,##0\);_(* &quot;-&quot;_);_(@_)">
                  <c:v>726.40383599999996</c:v>
                </c:pt>
                <c:pt idx="1">
                  <c:v>721.40240137384353</c:v>
                </c:pt>
                <c:pt idx="2">
                  <c:v>663.23918226794126</c:v>
                </c:pt>
                <c:pt idx="3">
                  <c:v>747.84287544076994</c:v>
                </c:pt>
                <c:pt idx="4">
                  <c:v>664.20453610093989</c:v>
                </c:pt>
              </c:numCache>
            </c:numRef>
          </c:val>
          <c:extLst>
            <c:ext xmlns:c16="http://schemas.microsoft.com/office/drawing/2014/chart" uri="{C3380CC4-5D6E-409C-BE32-E72D297353CC}">
              <c16:uniqueId val="{00000009-805C-499A-A36A-970CE342AB2A}"/>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Model'!$B$64</c:f>
              <c:strCache>
                <c:ptCount val="1"/>
                <c:pt idx="0">
                  <c:v>Express segment revenue produced per gallon of jet fuel</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805C-499A-A36A-970CE342AB2A}"/>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805C-499A-A36A-970CE342AB2A}"/>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805C-499A-A36A-970CE342AB2A}"/>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805C-499A-A36A-970CE342AB2A}"/>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Model'!$O$64,'FedEx Earnings Model'!$P$64,'FedEx Earnings Model'!$Q$64,'FedEx Earnings Model'!$S$64,'FedEx Earnings Model'!$T$64,'FedEx Earnings Model'!$U$64,'FedEx Earnings Model'!$V$64,'FedEx Earnings Model'!$X$64)</c:f>
              <c:numCache>
                <c:formatCode>_(* #,##0_);_(* \(#,##0\);_(* "-"??_);_(@_)</c:formatCode>
                <c:ptCount val="5"/>
                <c:pt idx="0">
                  <c:v>29.273403209780138</c:v>
                </c:pt>
                <c:pt idx="1">
                  <c:v>29.492010929844163</c:v>
                </c:pt>
                <c:pt idx="2">
                  <c:v>28.662663874695145</c:v>
                </c:pt>
                <c:pt idx="3">
                  <c:v>30.707423711057281</c:v>
                </c:pt>
                <c:pt idx="4">
                  <c:v>30.119316460858943</c:v>
                </c:pt>
              </c:numCache>
            </c:numRef>
          </c:val>
          <c:smooth val="0"/>
          <c:extLst>
            <c:ext xmlns:c16="http://schemas.microsoft.com/office/drawing/2014/chart" uri="{C3380CC4-5D6E-409C-BE32-E72D297353CC}">
              <c16:uniqueId val="{00000012-805C-499A-A36A-970CE342AB2A}"/>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Quarterly Consensus Revenue</a:t>
            </a:r>
            <a:r>
              <a:rPr lang="en-US" sz="1200" b="0" baseline="0"/>
              <a:t> &amp; Margin Estimates</a:t>
            </a:r>
            <a:endParaRPr lang="en-US" sz="1200" b="0"/>
          </a:p>
        </c:rich>
      </c:tx>
      <c:layout>
        <c:manualLayout>
          <c:xMode val="edge"/>
          <c:yMode val="edge"/>
          <c:x val="0.14115438058930416"/>
          <c:y val="6.0111912762497053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'Consensus (Before F2Q19)'!$B$7</c:f>
              <c:strCache>
                <c:ptCount val="1"/>
                <c:pt idx="0">
                  <c:v>Revenue ($M)</c:v>
                </c:pt>
              </c:strCache>
            </c:strRef>
          </c:tx>
          <c:spPr>
            <a:solidFill>
              <a:schemeClr val="bg1">
                <a:lumMod val="75000"/>
              </a:schemeClr>
            </a:solidFill>
            <a:ln>
              <a:solidFill>
                <a:schemeClr val="tx1">
                  <a:lumMod val="75000"/>
                  <a:lumOff val="25000"/>
                </a:schemeClr>
              </a:solidFill>
            </a:ln>
          </c:spPr>
          <c:invertIfNegative val="0"/>
          <c:dPt>
            <c:idx val="0"/>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4-7620-40BF-9AD1-D83C7ADDB36B}"/>
              </c:ext>
            </c:extLst>
          </c:dPt>
          <c:dPt>
            <c:idx val="1"/>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5-7620-40BF-9AD1-D83C7ADDB36B}"/>
              </c:ext>
            </c:extLst>
          </c:dPt>
          <c:dPt>
            <c:idx val="2"/>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6-7620-40BF-9AD1-D83C7ADDB36B}"/>
              </c:ext>
            </c:extLst>
          </c:dPt>
          <c:dPt>
            <c:idx val="3"/>
            <c:invertIfNegative val="0"/>
            <c:bubble3D val="0"/>
            <c:spPr>
              <a:solidFill>
                <a:schemeClr val="tx1">
                  <a:lumMod val="65000"/>
                  <a:lumOff val="35000"/>
                </a:schemeClr>
              </a:solidFill>
              <a:ln>
                <a:solidFill>
                  <a:schemeClr val="tx1">
                    <a:lumMod val="75000"/>
                    <a:lumOff val="25000"/>
                  </a:schemeClr>
                </a:solidFill>
              </a:ln>
            </c:spPr>
            <c:extLst>
              <c:ext xmlns:c16="http://schemas.microsoft.com/office/drawing/2014/chart" uri="{C3380CC4-5D6E-409C-BE32-E72D297353CC}">
                <c16:uniqueId val="{00000017-7620-40BF-9AD1-D83C7ADDB36B}"/>
              </c:ext>
            </c:extLst>
          </c:dPt>
          <c:dPt>
            <c:idx val="4"/>
            <c:invertIfNegative val="0"/>
            <c:bubble3D val="0"/>
            <c:extLst>
              <c:ext xmlns:c16="http://schemas.microsoft.com/office/drawing/2014/chart" uri="{C3380CC4-5D6E-409C-BE32-E72D297353CC}">
                <c16:uniqueId val="{00000001-7620-40BF-9AD1-D83C7ADDB36B}"/>
              </c:ext>
            </c:extLst>
          </c:dPt>
          <c:dPt>
            <c:idx val="5"/>
            <c:invertIfNegative val="0"/>
            <c:bubble3D val="0"/>
            <c:extLst>
              <c:ext xmlns:c16="http://schemas.microsoft.com/office/drawing/2014/chart" uri="{C3380CC4-5D6E-409C-BE32-E72D297353CC}">
                <c16:uniqueId val="{00000003-7620-40BF-9AD1-D83C7ADDB36B}"/>
              </c:ext>
            </c:extLst>
          </c:dPt>
          <c:dPt>
            <c:idx val="6"/>
            <c:invertIfNegative val="0"/>
            <c:bubble3D val="0"/>
            <c:extLst>
              <c:ext xmlns:c16="http://schemas.microsoft.com/office/drawing/2014/chart" uri="{C3380CC4-5D6E-409C-BE32-E72D297353CC}">
                <c16:uniqueId val="{00000005-7620-40BF-9AD1-D83C7ADDB36B}"/>
              </c:ext>
            </c:extLst>
          </c:dPt>
          <c:dPt>
            <c:idx val="7"/>
            <c:invertIfNegative val="0"/>
            <c:bubble3D val="0"/>
            <c:extLst>
              <c:ext xmlns:c16="http://schemas.microsoft.com/office/drawing/2014/chart" uri="{C3380CC4-5D6E-409C-BE32-E72D297353CC}">
                <c16:uniqueId val="{00000007-7620-40BF-9AD1-D83C7ADDB36B}"/>
              </c:ext>
            </c:extLst>
          </c:dPt>
          <c:dPt>
            <c:idx val="9"/>
            <c:invertIfNegative val="0"/>
            <c:bubble3D val="0"/>
            <c:extLst>
              <c:ext xmlns:c16="http://schemas.microsoft.com/office/drawing/2014/chart" uri="{C3380CC4-5D6E-409C-BE32-E72D297353CC}">
                <c16:uniqueId val="{00000008-7620-40BF-9AD1-D83C7ADDB36B}"/>
              </c:ext>
            </c:extLst>
          </c:dPt>
          <c:cat>
            <c:strRef>
              <c:f>('Consensus (Before F2Q19)'!$C$6,'Consensus (Before F2Q19)'!$D$6,'Consensus (Before F2Q19)'!$E$6,'Consensus (Before F2Q19)'!$F$6,'Consensus (Before F2Q19)'!$G$5,'Consensus (Before F2Q19)'!$I$5,'Consensus (Before F2Q19)'!$K$5,'Consensus (Before F2Q19)'!$M$5)</c:f>
              <c:strCache>
                <c:ptCount val="8"/>
                <c:pt idx="0">
                  <c:v> F2Q18 </c:v>
                </c:pt>
                <c:pt idx="1">
                  <c:v> F3Q18 </c:v>
                </c:pt>
                <c:pt idx="2">
                  <c:v> F4Q18 </c:v>
                </c:pt>
                <c:pt idx="3">
                  <c:v> F1Q19 </c:v>
                </c:pt>
                <c:pt idx="4">
                  <c:v> F2Q19E </c:v>
                </c:pt>
                <c:pt idx="5">
                  <c:v> F3Q19E </c:v>
                </c:pt>
                <c:pt idx="6">
                  <c:v> F4Q19E </c:v>
                </c:pt>
                <c:pt idx="7">
                  <c:v> F1Q20E </c:v>
                </c:pt>
              </c:strCache>
            </c:strRef>
          </c:cat>
          <c:val>
            <c:numRef>
              <c:f>('Consensus (Before F2Q19)'!$C$7,'Consensus (Before F2Q19)'!$D$7,'Consensus (Before F2Q19)'!$E$7,'Consensus (Before F2Q19)'!$F$7,'Consensus (Before F2Q19)'!$H$7,'Consensus (Before F2Q19)'!$J$7,'Consensus (Before F2Q19)'!$L$7,'Consensus (Before F2Q19)'!$N$7)</c:f>
              <c:numCache>
                <c:formatCode>"$"#,##0</c:formatCode>
                <c:ptCount val="8"/>
                <c:pt idx="0">
                  <c:v>16313</c:v>
                </c:pt>
                <c:pt idx="1">
                  <c:v>16526</c:v>
                </c:pt>
                <c:pt idx="2">
                  <c:v>17314</c:v>
                </c:pt>
                <c:pt idx="3">
                  <c:v>17052</c:v>
                </c:pt>
                <c:pt idx="4">
                  <c:v>17773</c:v>
                </c:pt>
                <c:pt idx="5">
                  <c:v>17889</c:v>
                </c:pt>
                <c:pt idx="6">
                  <c:v>18692</c:v>
                </c:pt>
                <c:pt idx="7">
                  <c:v>18026</c:v>
                </c:pt>
              </c:numCache>
            </c:numRef>
          </c:val>
          <c:extLst>
            <c:ext xmlns:c16="http://schemas.microsoft.com/office/drawing/2014/chart" uri="{C3380CC4-5D6E-409C-BE32-E72D297353CC}">
              <c16:uniqueId val="{00000009-7620-40BF-9AD1-D83C7ADDB36B}"/>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'Consensus (Before F2Q19)'!$B$9</c:f>
              <c:strCache>
                <c:ptCount val="1"/>
                <c:pt idx="0">
                  <c:v>Implied Operating Margin (%, non-GAAP)</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olid"/>
              </a:ln>
            </c:spPr>
            <c:extLst>
              <c:ext xmlns:c16="http://schemas.microsoft.com/office/drawing/2014/chart" uri="{C3380CC4-5D6E-409C-BE32-E72D297353CC}">
                <c16:uniqueId val="{0000000B-7620-40BF-9AD1-D83C7ADDB36B}"/>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7620-40BF-9AD1-D83C7ADDB36B}"/>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7620-40BF-9AD1-D83C7ADDB36B}"/>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7620-40BF-9AD1-D83C7ADDB36B}"/>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('Consensus (Before F2Q19)'!$C$9,'Consensus (Before F2Q19)'!$D$9,'Consensus (Before F2Q19)'!$E$9,'Consensus (Before F2Q19)'!$F$9,'Consensus (Before F2Q19)'!$H$9,'Consensus (Before F2Q19)'!$J$9,'Consensus (Before F2Q19)'!$L$9,'Consensus (Before F2Q19)'!$N$9)</c:f>
              <c:numCache>
                <c:formatCode>0.0%</c:formatCode>
                <c:ptCount val="8"/>
                <c:pt idx="0">
                  <c:v>7.5829093361123034E-2</c:v>
                </c:pt>
                <c:pt idx="1">
                  <c:v>5.8332324821493406E-2</c:v>
                </c:pt>
                <c:pt idx="2">
                  <c:v>0.10598359708906088</c:v>
                </c:pt>
                <c:pt idx="3">
                  <c:v>6.9903823598404885E-2</c:v>
                </c:pt>
                <c:pt idx="4">
                  <c:v>8.0606609230592527E-2</c:v>
                </c:pt>
                <c:pt idx="5">
                  <c:v>7.7306183069722617E-2</c:v>
                </c:pt>
                <c:pt idx="6">
                  <c:v>0.11591675084731336</c:v>
                </c:pt>
                <c:pt idx="7">
                  <c:v>9.0559518148676438E-2</c:v>
                </c:pt>
              </c:numCache>
            </c:numRef>
          </c:val>
          <c:smooth val="0"/>
          <c:extLst>
            <c:ext xmlns:c16="http://schemas.microsoft.com/office/drawing/2014/chart" uri="{C3380CC4-5D6E-409C-BE32-E72D297353CC}">
              <c16:uniqueId val="{00000012-7620-40BF-9AD1-D83C7ADDB36B}"/>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Express-Package</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Model'!$B$52</c:f>
              <c:strCache>
                <c:ptCount val="1"/>
                <c:pt idx="0">
                  <c:v>Packages: Total Average Daily Volume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9-5C55-4DB1-A25C-6A7A09C8C7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A-5C55-4DB1-A25C-6A7A09C8C7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E-2462-4DF9-A2F7-046938A175E7}"/>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F-2462-4DF9-A2F7-046938A175E7}"/>
              </c:ext>
            </c:extLst>
          </c:dPt>
          <c:dPt>
            <c:idx val="9"/>
            <c:invertIfNegative val="0"/>
            <c:bubble3D val="0"/>
            <c:extLst>
              <c:ext xmlns:c16="http://schemas.microsoft.com/office/drawing/2014/chart" uri="{C3380CC4-5D6E-409C-BE32-E72D297353CC}">
                <c16:uniqueId val="{00000000-2462-4DF9-A2F7-046938A175E7}"/>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Model'!$O$52,'FedEx Earnings Model'!$P$52,'FedEx Earnings Model'!$Q$52,'FedEx Earnings Model'!$S$52,'FedEx Earnings Model'!$T$52,'FedEx Earnings Model'!$U$52,'FedEx Earnings Model'!$V$52,'FedEx Earnings Model'!$X$52)</c:f>
              <c:numCache>
                <c:formatCode>_(* #,##0_);_(* \(#,##0\);_(* "-"_);_(@_)</c:formatCode>
                <c:ptCount val="5"/>
                <c:pt idx="0">
                  <c:v>5886.7000000000007</c:v>
                </c:pt>
                <c:pt idx="1">
                  <c:v>6265.6798350492227</c:v>
                </c:pt>
                <c:pt idx="2">
                  <c:v>6074.5968026164828</c:v>
                </c:pt>
                <c:pt idx="3">
                  <c:v>5836.3060898172589</c:v>
                </c:pt>
                <c:pt idx="4">
                  <c:v>5859.8152375647442</c:v>
                </c:pt>
              </c:numCache>
            </c:numRef>
          </c:val>
          <c:extLst>
            <c:ext xmlns:c16="http://schemas.microsoft.com/office/drawing/2014/chart" uri="{C3380CC4-5D6E-409C-BE32-E72D297353CC}">
              <c16:uniqueId val="{00000001-2462-4DF9-A2F7-046938A175E7}"/>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Model'!$B$53</c:f>
              <c:strCache>
                <c:ptCount val="1"/>
                <c:pt idx="0">
                  <c:v>Packages: Composite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5C55-4DB1-A25C-6A7A09C8C7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C-5C55-4DB1-A25C-6A7A09C8C7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10-2462-4DF9-A2F7-046938A175E7}"/>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462-4DF9-A2F7-046938A175E7}"/>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Model'!$O$53,'FedEx Earnings Model'!$P$53,'FedEx Earnings Model'!$Q$53,'FedEx Earnings Model'!$S$53,'FedEx Earnings Model'!$T$53,'FedEx Earnings Model'!$U$53,'FedEx Earnings Model'!$V$53,'FedEx Earnings Model'!$X$53)</c:f>
              <c:numCache>
                <c:formatCode>"$"#,##0.00_);\("$"#,##0.00\)</c:formatCode>
                <c:ptCount val="5"/>
                <c:pt idx="0">
                  <c:v>18.636935991302426</c:v>
                </c:pt>
                <c:pt idx="1">
                  <c:v>18.6497792807371</c:v>
                </c:pt>
                <c:pt idx="2">
                  <c:v>19.122682138283686</c:v>
                </c:pt>
                <c:pt idx="3">
                  <c:v>19.810413116031182</c:v>
                </c:pt>
                <c:pt idx="4">
                  <c:v>18.977040648532263</c:v>
                </c:pt>
              </c:numCache>
            </c:numRef>
          </c:val>
          <c:smooth val="0"/>
          <c:extLst>
            <c:ext xmlns:c16="http://schemas.microsoft.com/office/drawing/2014/chart" uri="{C3380CC4-5D6E-409C-BE32-E72D297353CC}">
              <c16:uniqueId val="{00000002-2462-4DF9-A2F7-046938A175E7}"/>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Express-Freight</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Model'!$B$55</c:f>
              <c:strCache>
                <c:ptCount val="1"/>
                <c:pt idx="0">
                  <c:v>Freight: Total Average Daily Freight LBS (ADV, in thousands)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4F9E-4ACC-AA79-DAD70449E7B9}"/>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4F9E-4ACC-AA79-DAD70449E7B9}"/>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4F9E-4ACC-AA79-DAD70449E7B9}"/>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4F9E-4ACC-AA79-DAD70449E7B9}"/>
              </c:ext>
            </c:extLst>
          </c:dPt>
          <c:dPt>
            <c:idx val="9"/>
            <c:invertIfNegative val="0"/>
            <c:bubble3D val="0"/>
            <c:extLst>
              <c:ext xmlns:c16="http://schemas.microsoft.com/office/drawing/2014/chart" uri="{C3380CC4-5D6E-409C-BE32-E72D297353CC}">
                <c16:uniqueId val="{00000008-4F9E-4ACC-AA79-DAD70449E7B9}"/>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Model'!$O$55,'FedEx Earnings Model'!$P$55,'FedEx Earnings Model'!$Q$55,'FedEx Earnings Model'!$S$55,'FedEx Earnings Model'!$T$55,'FedEx Earnings Model'!$U$55,'FedEx Earnings Model'!$V$55,'FedEx Earnings Model'!$X$55)</c:f>
              <c:numCache>
                <c:formatCode>_(* #,##0_);_(* \(#,##0\);_(* "-"_);_(@_)</c:formatCode>
                <c:ptCount val="5"/>
                <c:pt idx="0">
                  <c:v>28800</c:v>
                </c:pt>
                <c:pt idx="1">
                  <c:v>31450.941233548532</c:v>
                </c:pt>
                <c:pt idx="2">
                  <c:v>30948.817739181177</c:v>
                </c:pt>
                <c:pt idx="3">
                  <c:v>31450.849293927851</c:v>
                </c:pt>
                <c:pt idx="4">
                  <c:v>30801.082485197276</c:v>
                </c:pt>
              </c:numCache>
            </c:numRef>
          </c:val>
          <c:extLst>
            <c:ext xmlns:c16="http://schemas.microsoft.com/office/drawing/2014/chart" uri="{C3380CC4-5D6E-409C-BE32-E72D297353CC}">
              <c16:uniqueId val="{00000009-4F9E-4ACC-AA79-DAD70449E7B9}"/>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Model'!$B$56</c:f>
              <c:strCache>
                <c:ptCount val="1"/>
                <c:pt idx="0">
                  <c:v>Freight: Composite Freight Yield (Revenue per package,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4F9E-4ACC-AA79-DAD70449E7B9}"/>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4F9E-4ACC-AA79-DAD70449E7B9}"/>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4F9E-4ACC-AA79-DAD70449E7B9}"/>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4F9E-4ACC-AA79-DAD70449E7B9}"/>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Model'!$O$56,'FedEx Earnings Model'!$P$56,'FedEx Earnings Model'!$Q$56,'FedEx Earnings Model'!$S$56,'FedEx Earnings Model'!$T$56,'FedEx Earnings Model'!$U$56,'FedEx Earnings Model'!$V$56,'FedEx Earnings Model'!$X$56)</c:f>
              <c:numCache>
                <c:formatCode>"$"#,##0.00_);\("$"#,##0.00\)</c:formatCode>
                <c:ptCount val="5"/>
                <c:pt idx="0">
                  <c:v>1.0062736805555557</c:v>
                </c:pt>
                <c:pt idx="1">
                  <c:v>1.0500027556633098</c:v>
                </c:pt>
                <c:pt idx="2">
                  <c:v>1.0879721091619341</c:v>
                </c:pt>
                <c:pt idx="3">
                  <c:v>1.1013223094277984</c:v>
                </c:pt>
                <c:pt idx="4">
                  <c:v>1.0500686303653748</c:v>
                </c:pt>
              </c:numCache>
            </c:numRef>
          </c:val>
          <c:smooth val="0"/>
          <c:extLst>
            <c:ext xmlns:c16="http://schemas.microsoft.com/office/drawing/2014/chart" uri="{C3380CC4-5D6E-409C-BE32-E72D297353CC}">
              <c16:uniqueId val="{00000012-4F9E-4ACC-AA79-DAD70449E7B9}"/>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majorUnit val="1500"/>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Express</a:t>
            </a:r>
            <a:r>
              <a:rPr lang="en-US" sz="1200" b="0" baseline="0"/>
              <a:t> Segment-Revenue &amp; Margin Forecast</a:t>
            </a:r>
            <a:endParaRPr lang="en-US" sz="1200" b="0"/>
          </a:p>
        </c:rich>
      </c:tx>
      <c:layout>
        <c:manualLayout>
          <c:xMode val="edge"/>
          <c:yMode val="edge"/>
          <c:x val="0.12577604310138199"/>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Model'!$B$60</c:f>
              <c:strCache>
                <c:ptCount val="1"/>
                <c:pt idx="0">
                  <c:v>Express Segment Revenue ($M)</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752-4AAF-A23C-0D86086CE154}"/>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752-4AAF-A23C-0D86086CE154}"/>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752-4AAF-A23C-0D86086CE154}"/>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752-4AAF-A23C-0D86086CE154}"/>
              </c:ext>
            </c:extLst>
          </c:dPt>
          <c:dPt>
            <c:idx val="9"/>
            <c:invertIfNegative val="0"/>
            <c:bubble3D val="0"/>
            <c:extLst>
              <c:ext xmlns:c16="http://schemas.microsoft.com/office/drawing/2014/chart" uri="{C3380CC4-5D6E-409C-BE32-E72D297353CC}">
                <c16:uniqueId val="{00000008-2752-4AAF-A23C-0D86086CE154}"/>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Model'!$O$60,'FedEx Earnings Model'!$P$60,'FedEx Earnings Model'!$Q$60,'FedEx Earnings Model'!$S$60,'FedEx Earnings Model'!$T$60,'FedEx Earnings Model'!$U$60,'FedEx Earnings Model'!$V$60,'FedEx Earnings Model'!$X$60)</c:f>
              <c:numCache>
                <c:formatCode>_(* #,##0_);_(* \(#,##0\);_(* "-"_);_(@_)</c:formatCode>
                <c:ptCount val="5"/>
                <c:pt idx="0">
                  <c:v>9221.2976515000009</c:v>
                </c:pt>
                <c:pt idx="1">
                  <c:v>9670.7306846060092</c:v>
                </c:pt>
                <c:pt idx="2">
                  <c:v>9505.1008749368339</c:v>
                </c:pt>
                <c:pt idx="3">
                  <c:v>9984.4904545457211</c:v>
                </c:pt>
                <c:pt idx="4">
                  <c:v>9526.3745797915308</c:v>
                </c:pt>
              </c:numCache>
            </c:numRef>
          </c:val>
          <c:extLst>
            <c:ext xmlns:c16="http://schemas.microsoft.com/office/drawing/2014/chart" uri="{C3380CC4-5D6E-409C-BE32-E72D297353CC}">
              <c16:uniqueId val="{00000009-2752-4AAF-A23C-0D86086CE154}"/>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Model'!$B$73</c:f>
              <c:strCache>
                <c:ptCount val="1"/>
                <c:pt idx="0">
                  <c:v>Express operating margin</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752-4AAF-A23C-0D86086CE154}"/>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752-4AAF-A23C-0D86086CE154}"/>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752-4AAF-A23C-0D86086CE154}"/>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752-4AAF-A23C-0D86086CE154}"/>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Model'!$O$73,'FedEx Earnings Model'!$P$73,'FedEx Earnings Model'!$Q$73,'FedEx Earnings Model'!$S$73,'FedEx Earnings Model'!$T$73,'FedEx Earnings Model'!$U$73,'FedEx Earnings Model'!$V$73,'FedEx Earnings Model'!$X$73)</c:f>
              <c:numCache>
                <c:formatCode>0.0%</c:formatCode>
                <c:ptCount val="5"/>
                <c:pt idx="0">
                  <c:v>3.9777227171528651E-2</c:v>
                </c:pt>
                <c:pt idx="1">
                  <c:v>7.6903742572724934E-2</c:v>
                </c:pt>
                <c:pt idx="2">
                  <c:v>6.078697865675723E-2</c:v>
                </c:pt>
                <c:pt idx="3">
                  <c:v>9.9776499676110436E-2</c:v>
                </c:pt>
                <c:pt idx="4">
                  <c:v>6.8442062249729096E-2</c:v>
                </c:pt>
              </c:numCache>
            </c:numRef>
          </c:val>
          <c:smooth val="0"/>
          <c:extLst>
            <c:ext xmlns:c16="http://schemas.microsoft.com/office/drawing/2014/chart" uri="{C3380CC4-5D6E-409C-BE32-E72D297353CC}">
              <c16:uniqueId val="{00000012-2752-4AAF-A23C-0D86086CE154}"/>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quot;$&quot;#,##0" sourceLinked="0"/>
        <c:majorTickMark val="out"/>
        <c:minorTickMark val="none"/>
        <c:tickLblPos val="nextTo"/>
        <c:spPr>
          <a:ln>
            <a:noFill/>
          </a:ln>
        </c:spPr>
        <c:crossAx val="145722368"/>
        <c:crosses val="autoZero"/>
        <c:crossBetween val="between"/>
        <c:majorUnit val="400"/>
      </c:valAx>
      <c:valAx>
        <c:axId val="145729792"/>
        <c:scaling>
          <c:orientation val="minMax"/>
        </c:scaling>
        <c:delete val="0"/>
        <c:axPos val="r"/>
        <c:numFmt formatCode="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6542468765688701E-2"/>
          <c:y val="0.82587988043424243"/>
          <c:w val="0.92529856984596603"/>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lgn="ctr">
              <a:defRPr/>
            </a:pPr>
            <a:r>
              <a:rPr lang="en-US" sz="1200" b="0"/>
              <a:t>FedEx Ground</a:t>
            </a:r>
            <a:r>
              <a:rPr lang="en-US" sz="1200" b="0" baseline="0"/>
              <a:t> </a:t>
            </a:r>
            <a:r>
              <a:rPr lang="en-US" sz="1200" b="0"/>
              <a:t>Segment Forecast</a:t>
            </a:r>
          </a:p>
        </c:rich>
      </c:tx>
      <c:layout>
        <c:manualLayout>
          <c:xMode val="edge"/>
          <c:yMode val="edge"/>
          <c:x val="0.18029671552300852"/>
          <c:y val="6.0114217012323416E-3"/>
        </c:manualLayout>
      </c:layout>
      <c:overlay val="1"/>
    </c:title>
    <c:autoTitleDeleted val="0"/>
    <c:plotArea>
      <c:layout>
        <c:manualLayout>
          <c:layoutTarget val="inner"/>
          <c:xMode val="edge"/>
          <c:yMode val="edge"/>
          <c:x val="7.5259906105276539E-2"/>
          <c:y val="9.884433967845993E-2"/>
          <c:w val="0.78454722918835507"/>
          <c:h val="0.62550120820109401"/>
        </c:manualLayout>
      </c:layout>
      <c:barChart>
        <c:barDir val="col"/>
        <c:grouping val="clustered"/>
        <c:varyColors val="0"/>
        <c:ser>
          <c:idx val="0"/>
          <c:order val="0"/>
          <c:tx>
            <c:strRef>
              <c:f>'FedEx Earnings Model'!$B$138:$C$138</c:f>
              <c:strCache>
                <c:ptCount val="2"/>
                <c:pt idx="0">
                  <c:v>Ground Average Daily Freight LB (in thousands LBS)</c:v>
                </c:pt>
              </c:strCache>
            </c:strRef>
          </c:tx>
          <c:spPr>
            <a:solidFill>
              <a:schemeClr val="tx1">
                <a:lumMod val="65000"/>
                <a:lumOff val="35000"/>
              </a:schemeClr>
            </a:solidFill>
          </c:spPr>
          <c:invertIfNegative val="0"/>
          <c:dPt>
            <c:idx val="4"/>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1-2832-41C1-BD10-54F7E649F542}"/>
              </c:ext>
            </c:extLst>
          </c:dPt>
          <c:dPt>
            <c:idx val="5"/>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3-2832-41C1-BD10-54F7E649F542}"/>
              </c:ext>
            </c:extLst>
          </c:dPt>
          <c:dPt>
            <c:idx val="6"/>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5-2832-41C1-BD10-54F7E649F542}"/>
              </c:ext>
            </c:extLst>
          </c:dPt>
          <c:dPt>
            <c:idx val="7"/>
            <c:invertIfNegative val="0"/>
            <c:bubble3D val="0"/>
            <c:spPr>
              <a:solidFill>
                <a:schemeClr val="bg1">
                  <a:lumMod val="75000"/>
                </a:schemeClr>
              </a:solidFill>
              <a:ln>
                <a:solidFill>
                  <a:schemeClr val="tx1">
                    <a:lumMod val="75000"/>
                    <a:lumOff val="25000"/>
                  </a:schemeClr>
                </a:solidFill>
              </a:ln>
            </c:spPr>
            <c:extLst>
              <c:ext xmlns:c16="http://schemas.microsoft.com/office/drawing/2014/chart" uri="{C3380CC4-5D6E-409C-BE32-E72D297353CC}">
                <c16:uniqueId val="{00000007-2832-41C1-BD10-54F7E649F542}"/>
              </c:ext>
            </c:extLst>
          </c:dPt>
          <c:dPt>
            <c:idx val="9"/>
            <c:invertIfNegative val="0"/>
            <c:bubble3D val="0"/>
            <c:extLst>
              <c:ext xmlns:c16="http://schemas.microsoft.com/office/drawing/2014/chart" uri="{C3380CC4-5D6E-409C-BE32-E72D297353CC}">
                <c16:uniqueId val="{00000008-2832-41C1-BD10-54F7E649F54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Model'!$O$138,'FedEx Earnings Model'!$P$138,'FedEx Earnings Model'!$Q$138,'FedEx Earnings Model'!$S$138,'FedEx Earnings Model'!$T$138,'FedEx Earnings Model'!$U$138,'FedEx Earnings Model'!$V$138,'FedEx Earnings Model'!$X$138)</c:f>
              <c:numCache>
                <c:formatCode>_(* #,##0_);_(* \(#,##0\);_(* "-"_);_(@_)</c:formatCode>
                <c:ptCount val="5"/>
                <c:pt idx="0">
                  <c:v>8221</c:v>
                </c:pt>
                <c:pt idx="1">
                  <c:v>9200.4576839048786</c:v>
                </c:pt>
                <c:pt idx="2">
                  <c:v>9651.032881217925</c:v>
                </c:pt>
                <c:pt idx="3">
                  <c:v>8755.8367845207613</c:v>
                </c:pt>
                <c:pt idx="4">
                  <c:v>8658.2545636973482</c:v>
                </c:pt>
              </c:numCache>
            </c:numRef>
          </c:val>
          <c:extLst>
            <c:ext xmlns:c16="http://schemas.microsoft.com/office/drawing/2014/chart" uri="{C3380CC4-5D6E-409C-BE32-E72D297353CC}">
              <c16:uniqueId val="{00000009-2832-41C1-BD10-54F7E649F542}"/>
            </c:ext>
          </c:extLst>
        </c:ser>
        <c:dLbls>
          <c:showLegendKey val="0"/>
          <c:showVal val="0"/>
          <c:showCatName val="0"/>
          <c:showSerName val="0"/>
          <c:showPercent val="0"/>
          <c:showBubbleSize val="0"/>
        </c:dLbls>
        <c:gapWidth val="150"/>
        <c:axId val="145722368"/>
        <c:axId val="145728256"/>
      </c:barChart>
      <c:lineChart>
        <c:grouping val="standard"/>
        <c:varyColors val="0"/>
        <c:ser>
          <c:idx val="1"/>
          <c:order val="1"/>
          <c:tx>
            <c:strRef>
              <c:f>'FedEx Earnings Model'!$B$140</c:f>
              <c:strCache>
                <c:ptCount val="1"/>
                <c:pt idx="0">
                  <c:v>Ground Yield (Revenue per Freight LB, in $)</c:v>
                </c:pt>
              </c:strCache>
            </c:strRef>
          </c:tx>
          <c:spPr>
            <a:ln>
              <a:solidFill>
                <a:schemeClr val="accent1">
                  <a:lumMod val="60000"/>
                  <a:lumOff val="40000"/>
                </a:schemeClr>
              </a:solidFill>
            </a:ln>
          </c:spPr>
          <c:marker>
            <c:symbol val="none"/>
          </c:marker>
          <c:dPt>
            <c:idx val="4"/>
            <c:bubble3D val="0"/>
            <c:spPr>
              <a:ln>
                <a:solidFill>
                  <a:schemeClr val="accent1">
                    <a:lumMod val="60000"/>
                    <a:lumOff val="40000"/>
                  </a:schemeClr>
                </a:solidFill>
                <a:prstDash val="sysDash"/>
              </a:ln>
            </c:spPr>
            <c:extLst>
              <c:ext xmlns:c16="http://schemas.microsoft.com/office/drawing/2014/chart" uri="{C3380CC4-5D6E-409C-BE32-E72D297353CC}">
                <c16:uniqueId val="{0000000B-2832-41C1-BD10-54F7E649F542}"/>
              </c:ext>
            </c:extLst>
          </c:dPt>
          <c:dPt>
            <c:idx val="5"/>
            <c:bubble3D val="0"/>
            <c:spPr>
              <a:ln>
                <a:solidFill>
                  <a:schemeClr val="accent1">
                    <a:lumMod val="60000"/>
                    <a:lumOff val="40000"/>
                  </a:schemeClr>
                </a:solidFill>
                <a:prstDash val="sysDash"/>
              </a:ln>
            </c:spPr>
            <c:extLst>
              <c:ext xmlns:c16="http://schemas.microsoft.com/office/drawing/2014/chart" uri="{C3380CC4-5D6E-409C-BE32-E72D297353CC}">
                <c16:uniqueId val="{0000000D-2832-41C1-BD10-54F7E649F542}"/>
              </c:ext>
            </c:extLst>
          </c:dPt>
          <c:dPt>
            <c:idx val="6"/>
            <c:bubble3D val="0"/>
            <c:spPr>
              <a:ln>
                <a:solidFill>
                  <a:schemeClr val="accent1">
                    <a:lumMod val="60000"/>
                    <a:lumOff val="40000"/>
                  </a:schemeClr>
                </a:solidFill>
                <a:prstDash val="sysDash"/>
              </a:ln>
            </c:spPr>
            <c:extLst>
              <c:ext xmlns:c16="http://schemas.microsoft.com/office/drawing/2014/chart" uri="{C3380CC4-5D6E-409C-BE32-E72D297353CC}">
                <c16:uniqueId val="{0000000F-2832-41C1-BD10-54F7E649F542}"/>
              </c:ext>
            </c:extLst>
          </c:dPt>
          <c:dPt>
            <c:idx val="7"/>
            <c:bubble3D val="0"/>
            <c:spPr>
              <a:ln>
                <a:solidFill>
                  <a:schemeClr val="accent1">
                    <a:lumMod val="60000"/>
                    <a:lumOff val="40000"/>
                  </a:schemeClr>
                </a:solidFill>
                <a:prstDash val="sysDash"/>
              </a:ln>
            </c:spPr>
            <c:extLst>
              <c:ext xmlns:c16="http://schemas.microsoft.com/office/drawing/2014/chart" uri="{C3380CC4-5D6E-409C-BE32-E72D297353CC}">
                <c16:uniqueId val="{00000011-2832-41C1-BD10-54F7E649F542}"/>
              </c:ext>
            </c:extLst>
          </c:dPt>
          <c:cat>
            <c:strRef>
              <c:f>('FedEx Earnings Model'!$O$12,'FedEx Earnings Model'!$P$12,'FedEx Earnings Model'!$Q$12,'FedEx Earnings Model'!$S$12,'FedEx Earnings Model'!$T$12,'FedEx Earnings Model'!$U$12,'FedEx Earnings Model'!$V$12,'FedEx Earnings Model'!$X$12)</c:f>
              <c:strCache>
                <c:ptCount val="5"/>
                <c:pt idx="0">
                  <c:v> F1Q19 </c:v>
                </c:pt>
                <c:pt idx="1">
                  <c:v> F2Q19E </c:v>
                </c:pt>
                <c:pt idx="2">
                  <c:v> F3Q19E </c:v>
                </c:pt>
                <c:pt idx="3">
                  <c:v> F4Q19E </c:v>
                </c:pt>
                <c:pt idx="4">
                  <c:v> F1Q20E </c:v>
                </c:pt>
              </c:strCache>
            </c:strRef>
          </c:cat>
          <c:val>
            <c:numRef>
              <c:f>('FedEx Earnings Model'!$O$140,'FedEx Earnings Model'!$P$140,'FedEx Earnings Model'!$Q$140,'FedEx Earnings Model'!$S$140,'FedEx Earnings Model'!$T$140,'FedEx Earnings Model'!$U$140,'FedEx Earnings Model'!$V$140,'FedEx Earnings Model'!$X$140)</c:f>
              <c:numCache>
                <c:formatCode>"$"#,##0.00_);\("$"#,##0.00\)</c:formatCode>
                <c:ptCount val="5"/>
                <c:pt idx="0">
                  <c:v>8.9600000000000009</c:v>
                </c:pt>
                <c:pt idx="1">
                  <c:v>8.829751277681531</c:v>
                </c:pt>
                <c:pt idx="2">
                  <c:v>9.150077945390267</c:v>
                </c:pt>
                <c:pt idx="3">
                  <c:v>9.5658285729144623</c:v>
                </c:pt>
                <c:pt idx="4">
                  <c:v>9.2948161230430468</c:v>
                </c:pt>
              </c:numCache>
            </c:numRef>
          </c:val>
          <c:smooth val="0"/>
          <c:extLst>
            <c:ext xmlns:c16="http://schemas.microsoft.com/office/drawing/2014/chart" uri="{C3380CC4-5D6E-409C-BE32-E72D297353CC}">
              <c16:uniqueId val="{00000012-2832-41C1-BD10-54F7E649F542}"/>
            </c:ext>
          </c:extLst>
        </c:ser>
        <c:dLbls>
          <c:showLegendKey val="0"/>
          <c:showVal val="0"/>
          <c:showCatName val="0"/>
          <c:showSerName val="0"/>
          <c:showPercent val="0"/>
          <c:showBubbleSize val="0"/>
        </c:dLbls>
        <c:marker val="1"/>
        <c:smooth val="0"/>
        <c:axId val="145731584"/>
        <c:axId val="145729792"/>
      </c:lineChart>
      <c:catAx>
        <c:axId val="145722368"/>
        <c:scaling>
          <c:orientation val="minMax"/>
        </c:scaling>
        <c:delete val="0"/>
        <c:axPos val="b"/>
        <c:numFmt formatCode="[$-409]mmmm\-yy;@" sourceLinked="0"/>
        <c:majorTickMark val="none"/>
        <c:minorTickMark val="none"/>
        <c:tickLblPos val="low"/>
        <c:txPr>
          <a:bodyPr rot="0"/>
          <a:lstStyle/>
          <a:p>
            <a:pPr>
              <a:defRPr sz="800" baseline="0"/>
            </a:pPr>
            <a:endParaRPr lang="en-US"/>
          </a:p>
        </c:txPr>
        <c:crossAx val="145728256"/>
        <c:crosses val="autoZero"/>
        <c:auto val="1"/>
        <c:lblAlgn val="ctr"/>
        <c:lblOffset val="100"/>
        <c:noMultiLvlLbl val="0"/>
      </c:catAx>
      <c:valAx>
        <c:axId val="145728256"/>
        <c:scaling>
          <c:orientation val="minMax"/>
        </c:scaling>
        <c:delete val="0"/>
        <c:axPos val="l"/>
        <c:majorGridlines>
          <c:spPr>
            <a:ln>
              <a:prstDash val="dash"/>
            </a:ln>
          </c:spPr>
        </c:majorGridlines>
        <c:numFmt formatCode="#,##0" sourceLinked="0"/>
        <c:majorTickMark val="out"/>
        <c:minorTickMark val="none"/>
        <c:tickLblPos val="nextTo"/>
        <c:spPr>
          <a:ln>
            <a:noFill/>
          </a:ln>
        </c:spPr>
        <c:crossAx val="145722368"/>
        <c:crosses val="autoZero"/>
        <c:crossBetween val="between"/>
      </c:valAx>
      <c:valAx>
        <c:axId val="145729792"/>
        <c:scaling>
          <c:orientation val="minMax"/>
        </c:scaling>
        <c:delete val="0"/>
        <c:axPos val="r"/>
        <c:numFmt formatCode="&quot;$&quot;#,##0.0" sourceLinked="0"/>
        <c:majorTickMark val="out"/>
        <c:minorTickMark val="none"/>
        <c:tickLblPos val="nextTo"/>
        <c:crossAx val="145731584"/>
        <c:crosses val="max"/>
        <c:crossBetween val="between"/>
      </c:valAx>
      <c:catAx>
        <c:axId val="145731584"/>
        <c:scaling>
          <c:orientation val="minMax"/>
        </c:scaling>
        <c:delete val="1"/>
        <c:axPos val="b"/>
        <c:numFmt formatCode="General" sourceLinked="1"/>
        <c:majorTickMark val="out"/>
        <c:minorTickMark val="none"/>
        <c:tickLblPos val="nextTo"/>
        <c:crossAx val="145729792"/>
        <c:crosses val="autoZero"/>
        <c:auto val="1"/>
        <c:lblAlgn val="ctr"/>
        <c:lblOffset val="100"/>
        <c:noMultiLvlLbl val="0"/>
      </c:catAx>
      <c:spPr>
        <a:solidFill>
          <a:schemeClr val="bg1">
            <a:lumMod val="95000"/>
          </a:schemeClr>
        </a:solidFill>
      </c:spPr>
    </c:plotArea>
    <c:legend>
      <c:legendPos val="b"/>
      <c:legendEntry>
        <c:idx val="0"/>
        <c:txPr>
          <a:bodyPr/>
          <a:lstStyle/>
          <a:p>
            <a:pPr>
              <a:defRPr sz="800" baseline="0"/>
            </a:pPr>
            <a:endParaRPr lang="en-US"/>
          </a:p>
        </c:txPr>
      </c:legendEntry>
      <c:legendEntry>
        <c:idx val="1"/>
        <c:txPr>
          <a:bodyPr/>
          <a:lstStyle/>
          <a:p>
            <a:pPr>
              <a:defRPr sz="800" baseline="0"/>
            </a:pPr>
            <a:endParaRPr lang="en-US"/>
          </a:p>
        </c:txPr>
      </c:legendEntry>
      <c:layout>
        <c:manualLayout>
          <c:xMode val="edge"/>
          <c:yMode val="edge"/>
          <c:x val="1.3513527834592681E-2"/>
          <c:y val="0.83189130213547469"/>
          <c:w val="0.9707324175718911"/>
          <c:h val="0.15834984107599712"/>
        </c:manualLayout>
      </c:layout>
      <c:overlay val="0"/>
    </c:legend>
    <c:plotVisOnly val="1"/>
    <c:dispBlanksAs val="gap"/>
    <c:showDLblsOverMax val="0"/>
  </c:chart>
  <c:spPr>
    <a:solidFill>
      <a:schemeClr val="bg1">
        <a:lumMod val="95000"/>
      </a:schemeClr>
    </a:solid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236802</xdr:colOff>
      <xdr:row>246</xdr:row>
      <xdr:rowOff>0</xdr:rowOff>
    </xdr:from>
    <xdr:to>
      <xdr:col>6</xdr:col>
      <xdr:colOff>718343</xdr:colOff>
      <xdr:row>246</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308</xdr:row>
      <xdr:rowOff>0</xdr:rowOff>
    </xdr:from>
    <xdr:to>
      <xdr:col>6</xdr:col>
      <xdr:colOff>718343</xdr:colOff>
      <xdr:row>308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353</xdr:row>
      <xdr:rowOff>0</xdr:rowOff>
    </xdr:from>
    <xdr:to>
      <xdr:col>6</xdr:col>
      <xdr:colOff>718343</xdr:colOff>
      <xdr:row>353</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49</xdr:row>
      <xdr:rowOff>0</xdr:rowOff>
    </xdr:from>
    <xdr:to>
      <xdr:col>6</xdr:col>
      <xdr:colOff>718343</xdr:colOff>
      <xdr:row>49</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291</xdr:row>
      <xdr:rowOff>0</xdr:rowOff>
    </xdr:from>
    <xdr:to>
      <xdr:col>6</xdr:col>
      <xdr:colOff>718343</xdr:colOff>
      <xdr:row>291</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3.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xdr:from>
      <xdr:col>5</xdr:col>
      <xdr:colOff>245745</xdr:colOff>
      <xdr:row>16</xdr:row>
      <xdr:rowOff>20955</xdr:rowOff>
    </xdr:from>
    <xdr:to>
      <xdr:col>10</xdr:col>
      <xdr:colOff>729615</xdr:colOff>
      <xdr:row>25</xdr:row>
      <xdr:rowOff>247650</xdr:rowOff>
    </xdr:to>
    <xdr:graphicFrame macro="">
      <xdr:nvGraphicFramePr>
        <xdr:cNvPr id="4" name="Chart 3">
          <a:extLst>
            <a:ext uri="{FF2B5EF4-FFF2-40B4-BE49-F238E27FC236}">
              <a16:creationId xmlns:a16="http://schemas.microsoft.com/office/drawing/2014/main" id="{EC22233B-26C4-4673-B47F-AD01A6B56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1</xdr:col>
      <xdr:colOff>59055</xdr:colOff>
      <xdr:row>3</xdr:row>
      <xdr:rowOff>127635</xdr:rowOff>
    </xdr:from>
    <xdr:to>
      <xdr:col>5</xdr:col>
      <xdr:colOff>160020</xdr:colOff>
      <xdr:row>12</xdr:row>
      <xdr:rowOff>30480</xdr:rowOff>
    </xdr:to>
    <xdr:graphicFrame macro="">
      <xdr:nvGraphicFramePr>
        <xdr:cNvPr id="2" name="Chart 1">
          <a:extLst>
            <a:ext uri="{FF2B5EF4-FFF2-40B4-BE49-F238E27FC236}">
              <a16:creationId xmlns:a16="http://schemas.microsoft.com/office/drawing/2014/main" id="{822A172C-7B75-4C02-A74C-56608478D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3</xdr:row>
      <xdr:rowOff>144780</xdr:rowOff>
    </xdr:from>
    <xdr:to>
      <xdr:col>11</xdr:col>
      <xdr:colOff>207645</xdr:colOff>
      <xdr:row>12</xdr:row>
      <xdr:rowOff>47625</xdr:rowOff>
    </xdr:to>
    <xdr:graphicFrame macro="">
      <xdr:nvGraphicFramePr>
        <xdr:cNvPr id="9" name="Chart 8">
          <a:extLst>
            <a:ext uri="{FF2B5EF4-FFF2-40B4-BE49-F238E27FC236}">
              <a16:creationId xmlns:a16="http://schemas.microsoft.com/office/drawing/2014/main" id="{85BA668F-E677-4692-80D9-486D07A95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350520</xdr:colOff>
      <xdr:row>3</xdr:row>
      <xdr:rowOff>137160</xdr:rowOff>
    </xdr:from>
    <xdr:to>
      <xdr:col>15</xdr:col>
      <xdr:colOff>451485</xdr:colOff>
      <xdr:row>12</xdr:row>
      <xdr:rowOff>40005</xdr:rowOff>
    </xdr:to>
    <xdr:graphicFrame macro="">
      <xdr:nvGraphicFramePr>
        <xdr:cNvPr id="10" name="Chart 9">
          <a:extLst>
            <a:ext uri="{FF2B5EF4-FFF2-40B4-BE49-F238E27FC236}">
              <a16:creationId xmlns:a16="http://schemas.microsoft.com/office/drawing/2014/main" id="{571F820B-8C79-45BB-8C87-EFAF93396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xdr:colOff>
      <xdr:row>14</xdr:row>
      <xdr:rowOff>45720</xdr:rowOff>
    </xdr:from>
    <xdr:to>
      <xdr:col>5</xdr:col>
      <xdr:colOff>139065</xdr:colOff>
      <xdr:row>24</xdr:row>
      <xdr:rowOff>161925</xdr:rowOff>
    </xdr:to>
    <xdr:graphicFrame macro="">
      <xdr:nvGraphicFramePr>
        <xdr:cNvPr id="11" name="Chart 10">
          <a:extLst>
            <a:ext uri="{FF2B5EF4-FFF2-40B4-BE49-F238E27FC236}">
              <a16:creationId xmlns:a16="http://schemas.microsoft.com/office/drawing/2014/main" id="{DDC05A7B-34F3-475A-AB09-B6BE27051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320040</xdr:colOff>
      <xdr:row>14</xdr:row>
      <xdr:rowOff>45720</xdr:rowOff>
    </xdr:from>
    <xdr:to>
      <xdr:col>11</xdr:col>
      <xdr:colOff>207645</xdr:colOff>
      <xdr:row>24</xdr:row>
      <xdr:rowOff>161925</xdr:rowOff>
    </xdr:to>
    <xdr:graphicFrame macro="">
      <xdr:nvGraphicFramePr>
        <xdr:cNvPr id="12" name="Chart 11">
          <a:extLst>
            <a:ext uri="{FF2B5EF4-FFF2-40B4-BE49-F238E27FC236}">
              <a16:creationId xmlns:a16="http://schemas.microsoft.com/office/drawing/2014/main" id="{C815B346-C5C4-43B2-BDE7-BE29A1573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60960</xdr:colOff>
      <xdr:row>27</xdr:row>
      <xdr:rowOff>60960</xdr:rowOff>
    </xdr:from>
    <xdr:to>
      <xdr:col>5</xdr:col>
      <xdr:colOff>161925</xdr:colOff>
      <xdr:row>38</xdr:row>
      <xdr:rowOff>161925</xdr:rowOff>
    </xdr:to>
    <xdr:graphicFrame macro="">
      <xdr:nvGraphicFramePr>
        <xdr:cNvPr id="13" name="Chart 12">
          <a:extLst>
            <a:ext uri="{FF2B5EF4-FFF2-40B4-BE49-F238E27FC236}">
              <a16:creationId xmlns:a16="http://schemas.microsoft.com/office/drawing/2014/main" id="{5DDEF399-0C93-4589-8A57-1A8106A7D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342900</xdr:colOff>
      <xdr:row>27</xdr:row>
      <xdr:rowOff>60960</xdr:rowOff>
    </xdr:from>
    <xdr:to>
      <xdr:col>11</xdr:col>
      <xdr:colOff>230505</xdr:colOff>
      <xdr:row>38</xdr:row>
      <xdr:rowOff>161925</xdr:rowOff>
    </xdr:to>
    <xdr:graphicFrame macro="">
      <xdr:nvGraphicFramePr>
        <xdr:cNvPr id="14" name="Chart 13">
          <a:extLst>
            <a:ext uri="{FF2B5EF4-FFF2-40B4-BE49-F238E27FC236}">
              <a16:creationId xmlns:a16="http://schemas.microsoft.com/office/drawing/2014/main" id="{F2E23934-9C31-43DE-81A8-E8674DDF4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41</xdr:row>
      <xdr:rowOff>0</xdr:rowOff>
    </xdr:from>
    <xdr:to>
      <xdr:col>5</xdr:col>
      <xdr:colOff>100965</xdr:colOff>
      <xdr:row>52</xdr:row>
      <xdr:rowOff>100965</xdr:rowOff>
    </xdr:to>
    <xdr:graphicFrame macro="">
      <xdr:nvGraphicFramePr>
        <xdr:cNvPr id="15" name="Chart 14">
          <a:extLst>
            <a:ext uri="{FF2B5EF4-FFF2-40B4-BE49-F238E27FC236}">
              <a16:creationId xmlns:a16="http://schemas.microsoft.com/office/drawing/2014/main" id="{71CF30AC-62E0-4E64-A938-CCECAAEB4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274320</xdr:colOff>
      <xdr:row>41</xdr:row>
      <xdr:rowOff>0</xdr:rowOff>
    </xdr:from>
    <xdr:to>
      <xdr:col>11</xdr:col>
      <xdr:colOff>161925</xdr:colOff>
      <xdr:row>52</xdr:row>
      <xdr:rowOff>100965</xdr:rowOff>
    </xdr:to>
    <xdr:graphicFrame macro="">
      <xdr:nvGraphicFramePr>
        <xdr:cNvPr id="17" name="Chart 16">
          <a:extLst>
            <a:ext uri="{FF2B5EF4-FFF2-40B4-BE49-F238E27FC236}">
              <a16:creationId xmlns:a16="http://schemas.microsoft.com/office/drawing/2014/main" id="{E91E359A-B9F4-4C26-99B7-6066C375A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xdr:colOff>
      <xdr:row>53</xdr:row>
      <xdr:rowOff>129540</xdr:rowOff>
    </xdr:from>
    <xdr:to>
      <xdr:col>5</xdr:col>
      <xdr:colOff>108585</xdr:colOff>
      <xdr:row>65</xdr:row>
      <xdr:rowOff>47625</xdr:rowOff>
    </xdr:to>
    <xdr:graphicFrame macro="">
      <xdr:nvGraphicFramePr>
        <xdr:cNvPr id="18" name="Chart 17">
          <a:extLst>
            <a:ext uri="{FF2B5EF4-FFF2-40B4-BE49-F238E27FC236}">
              <a16:creationId xmlns:a16="http://schemas.microsoft.com/office/drawing/2014/main" id="{A106D42E-971B-4F41-9081-21D4CAB8A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525780</xdr:colOff>
      <xdr:row>3</xdr:row>
      <xdr:rowOff>144780</xdr:rowOff>
    </xdr:from>
    <xdr:to>
      <xdr:col>20</xdr:col>
      <xdr:colOff>489585</xdr:colOff>
      <xdr:row>12</xdr:row>
      <xdr:rowOff>47625</xdr:rowOff>
    </xdr:to>
    <xdr:graphicFrame macro="">
      <xdr:nvGraphicFramePr>
        <xdr:cNvPr id="19" name="Chart 18">
          <a:extLst>
            <a:ext uri="{FF2B5EF4-FFF2-40B4-BE49-F238E27FC236}">
              <a16:creationId xmlns:a16="http://schemas.microsoft.com/office/drawing/2014/main" id="{41FBF684-A623-42BF-B78F-07DB57503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0.89172</cdr:x>
      <cdr:y>0.91674</cdr:y>
    </cdr:from>
    <cdr:to>
      <cdr:x>0.99394</cdr:x>
      <cdr:y>0.99113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38880" y="1936750"/>
          <a:ext cx="428625" cy="15714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0.89232</cdr:x>
      <cdr:y>0.91975</cdr:y>
    </cdr:from>
    <cdr:to>
      <cdr:x>0.99455</cdr:x>
      <cdr:y>0.99413</cdr:y>
    </cdr:to>
    <cdr:pic>
      <cdr:nvPicPr>
        <cdr:cNvPr id="7" name="Picture 6">
          <a:extLst xmlns:a="http://schemas.openxmlformats.org/drawingml/2006/main">
            <a:ext uri="{FF2B5EF4-FFF2-40B4-BE49-F238E27FC236}">
              <a16:creationId xmlns:a16="http://schemas.microsoft.com/office/drawing/2014/main" id="{C37BFA11-7AA4-4942-B117-535411DB1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41420" y="1943101"/>
          <a:ext cx="428625" cy="157146"/>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0.89444</cdr:x>
      <cdr:y>0.91855</cdr:y>
    </cdr:from>
    <cdr:to>
      <cdr:x>0.99667</cdr:x>
      <cdr:y>0.99293</cdr:y>
    </cdr:to>
    <cdr:pic>
      <cdr:nvPicPr>
        <cdr:cNvPr id="2" name="Picture 1">
          <a:extLst xmlns:a="http://schemas.openxmlformats.org/drawingml/2006/main">
            <a:ext uri="{FF2B5EF4-FFF2-40B4-BE49-F238E27FC236}">
              <a16:creationId xmlns:a16="http://schemas.microsoft.com/office/drawing/2014/main" id="{6F68DD07-BE79-43B4-BF50-13544EC0079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750310" y="1940560"/>
          <a:ext cx="428625" cy="157146"/>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S435"/>
  <sheetViews>
    <sheetView showGridLines="0" tabSelected="1" zoomScaleNormal="100" workbookViewId="0">
      <selection activeCell="B2" sqref="B2:C2"/>
    </sheetView>
  </sheetViews>
  <sheetFormatPr defaultColWidth="8.88671875" defaultRowHeight="14.4" outlineLevelRow="2" outlineLevelCol="1" x14ac:dyDescent="0.3"/>
  <cols>
    <col min="1" max="1" width="3.6640625" style="4" customWidth="1"/>
    <col min="2" max="2" width="32.88671875" style="4" customWidth="1"/>
    <col min="3" max="3" width="19.6640625" style="4" customWidth="1"/>
    <col min="4" max="5" width="11.5546875" style="3" hidden="1" customWidth="1" outlineLevel="1"/>
    <col min="6" max="7" width="11.5546875" style="28" hidden="1" customWidth="1" outlineLevel="1"/>
    <col min="8" max="8" width="11.5546875" style="28" customWidth="1" collapsed="1"/>
    <col min="9" max="10" width="11.5546875" style="3" hidden="1" customWidth="1" outlineLevel="1"/>
    <col min="11" max="12" width="11.5546875" style="28" hidden="1" customWidth="1" outlineLevel="1"/>
    <col min="13" max="13" width="11.5546875" style="28" customWidth="1" collapsed="1"/>
    <col min="14" max="15" width="11.5546875" style="3" hidden="1" customWidth="1" outlineLevel="1"/>
    <col min="16" max="17" width="11.5546875" style="28" hidden="1" customWidth="1" outlineLevel="1"/>
    <col min="18" max="18" width="11.5546875" style="28" customWidth="1" collapsed="1"/>
    <col min="19" max="20" width="11.5546875" style="3" customWidth="1" outlineLevel="1"/>
    <col min="21" max="22" width="11.5546875" style="28" customWidth="1" outlineLevel="1"/>
    <col min="23" max="23" width="11.5546875" style="28" customWidth="1"/>
    <col min="24" max="25" width="11.5546875" style="3" customWidth="1" outlineLevel="1"/>
    <col min="26" max="27" width="11.5546875" style="28" customWidth="1" outlineLevel="1"/>
    <col min="28" max="28" width="11.5546875" style="28" customWidth="1"/>
    <col min="29" max="30" width="11.5546875" style="3" customWidth="1" outlineLevel="1"/>
    <col min="31" max="32" width="11.5546875" style="28" customWidth="1" outlineLevel="1"/>
    <col min="33" max="33" width="11.5546875" style="28" customWidth="1"/>
    <col min="34" max="35" width="11.5546875" style="3" customWidth="1" outlineLevel="1"/>
    <col min="36" max="37" width="11.5546875" style="28" customWidth="1" outlineLevel="1"/>
    <col min="38" max="38" width="11.5546875" style="28" customWidth="1"/>
    <col min="39" max="40" width="11.5546875" style="3" customWidth="1" outlineLevel="1"/>
    <col min="41" max="42" width="11.5546875" style="28" customWidth="1" outlineLevel="1"/>
    <col min="43" max="43" width="11.5546875" style="28" customWidth="1"/>
    <col min="44" max="46" width="8.88671875" style="4"/>
    <col min="47" max="47" width="10.44140625" style="4" bestFit="1" customWidth="1"/>
    <col min="48" max="16384" width="8.88671875" style="4"/>
  </cols>
  <sheetData>
    <row r="1" spans="1:71" ht="9" customHeight="1" x14ac:dyDescent="0.3"/>
    <row r="2" spans="1:71" ht="45" customHeight="1" x14ac:dyDescent="0.3">
      <c r="B2" s="742" t="s">
        <v>72</v>
      </c>
      <c r="C2" s="743"/>
      <c r="K2" s="29"/>
    </row>
    <row r="3" spans="1:71" x14ac:dyDescent="0.3">
      <c r="B3" s="763" t="s">
        <v>538</v>
      </c>
      <c r="C3" s="764"/>
      <c r="D3" s="30"/>
      <c r="G3" s="31"/>
      <c r="H3" s="31"/>
    </row>
    <row r="4" spans="1:71" x14ac:dyDescent="0.3">
      <c r="B4" s="765" t="s">
        <v>534</v>
      </c>
      <c r="C4" s="766"/>
      <c r="D4" s="30"/>
      <c r="G4" s="31"/>
      <c r="H4" s="31"/>
      <c r="BS4" s="4" t="s">
        <v>73</v>
      </c>
    </row>
    <row r="5" spans="1:71" x14ac:dyDescent="0.3">
      <c r="B5" s="767" t="s">
        <v>533</v>
      </c>
      <c r="C5" s="768"/>
      <c r="D5" s="32"/>
      <c r="E5" s="30"/>
      <c r="F5" s="30"/>
      <c r="G5" s="31"/>
      <c r="H5" s="31"/>
      <c r="I5" s="31"/>
      <c r="J5" s="31"/>
      <c r="K5" s="31"/>
      <c r="L5" s="31"/>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row>
    <row r="6" spans="1:71" ht="14.4" customHeight="1" x14ac:dyDescent="0.3">
      <c r="B6" s="520" t="s">
        <v>65</v>
      </c>
      <c r="C6" s="521">
        <f>C369</f>
        <v>234.65127190891971</v>
      </c>
      <c r="D6" s="30"/>
      <c r="E6" s="30"/>
      <c r="F6" s="30"/>
      <c r="G6" s="33"/>
      <c r="H6" s="33"/>
      <c r="I6" s="30"/>
      <c r="J6" s="30"/>
      <c r="K6" s="30"/>
      <c r="L6" s="34"/>
      <c r="M6" s="35"/>
      <c r="N6" s="30"/>
      <c r="O6" s="30"/>
      <c r="P6" s="30"/>
      <c r="Q6" s="30"/>
      <c r="R6" s="30"/>
      <c r="S6" s="30"/>
      <c r="T6" s="34"/>
      <c r="U6" s="590"/>
      <c r="V6" s="34"/>
      <c r="W6" s="591"/>
      <c r="X6" s="34"/>
      <c r="Y6" s="34"/>
      <c r="Z6" s="30"/>
      <c r="AA6" s="30"/>
      <c r="AB6" s="30"/>
      <c r="AC6" s="30"/>
      <c r="AD6" s="30"/>
      <c r="AE6" s="30"/>
      <c r="AF6" s="30"/>
      <c r="AG6" s="30"/>
      <c r="AH6" s="30"/>
      <c r="AI6" s="30"/>
      <c r="AJ6" s="30"/>
      <c r="AK6" s="30"/>
      <c r="AL6" s="30"/>
      <c r="AM6" s="30"/>
      <c r="AN6" s="30"/>
      <c r="AO6" s="30"/>
      <c r="AP6" s="30"/>
      <c r="AQ6" s="30"/>
    </row>
    <row r="7" spans="1:71" ht="14.4" customHeight="1" x14ac:dyDescent="0.3">
      <c r="B7" s="301" t="s">
        <v>66</v>
      </c>
      <c r="C7" s="495">
        <f>C398</f>
        <v>218.30000865490311</v>
      </c>
      <c r="D7" s="30"/>
      <c r="E7" s="30"/>
      <c r="F7" s="30"/>
      <c r="G7" s="34"/>
      <c r="H7" s="505"/>
      <c r="I7" s="505"/>
      <c r="J7" s="505"/>
      <c r="K7" s="505"/>
      <c r="L7" s="505"/>
      <c r="M7" s="505"/>
      <c r="N7" s="505"/>
      <c r="O7" s="505"/>
      <c r="P7" s="505"/>
      <c r="Q7" s="505"/>
      <c r="R7" s="505"/>
      <c r="S7" s="505"/>
      <c r="T7" s="591"/>
      <c r="U7" s="590"/>
      <c r="V7" s="505"/>
      <c r="W7" s="591"/>
      <c r="X7" s="505"/>
      <c r="Y7" s="505"/>
      <c r="Z7" s="505"/>
      <c r="AA7" s="505"/>
      <c r="AB7" s="505"/>
      <c r="AC7" s="505"/>
      <c r="AD7" s="505"/>
      <c r="AE7" s="505"/>
      <c r="AF7" s="505"/>
      <c r="AG7" s="505"/>
      <c r="AH7" s="505"/>
      <c r="AI7" s="505"/>
      <c r="AJ7" s="505"/>
      <c r="AK7" s="505"/>
      <c r="AL7" s="505"/>
      <c r="AM7" s="505"/>
      <c r="AN7" s="505"/>
      <c r="AO7" s="505"/>
      <c r="AP7" s="505"/>
      <c r="AQ7" s="507"/>
    </row>
    <row r="8" spans="1:71" ht="14.4" customHeight="1" x14ac:dyDescent="0.3">
      <c r="B8" s="301" t="s">
        <v>105</v>
      </c>
      <c r="C8" s="517">
        <f>(0.5*C6)+(0.5*C7)</f>
        <v>226.47564028191141</v>
      </c>
      <c r="D8" s="30"/>
      <c r="E8" s="30"/>
      <c r="F8" s="36"/>
      <c r="G8" s="34"/>
      <c r="H8" s="505"/>
      <c r="I8" s="505"/>
      <c r="J8" s="505"/>
      <c r="K8" s="505"/>
      <c r="L8" s="505"/>
      <c r="M8" s="505"/>
      <c r="N8" s="505"/>
      <c r="O8" s="509"/>
      <c r="P8" s="505"/>
      <c r="Q8" s="505"/>
      <c r="R8" s="505"/>
      <c r="S8" s="506"/>
      <c r="T8" s="506"/>
      <c r="U8" s="590"/>
      <c r="V8" s="506"/>
      <c r="W8" s="506"/>
      <c r="X8" s="506"/>
      <c r="Y8" s="506"/>
      <c r="Z8" s="506"/>
      <c r="AA8" s="506"/>
      <c r="AB8" s="506"/>
      <c r="AC8" s="506"/>
      <c r="AD8" s="506"/>
      <c r="AE8" s="506"/>
      <c r="AF8" s="506"/>
      <c r="AG8" s="506"/>
      <c r="AH8" s="506"/>
      <c r="AI8" s="506"/>
      <c r="AJ8" s="506"/>
      <c r="AK8" s="506"/>
      <c r="AL8" s="506"/>
      <c r="AM8" s="506"/>
      <c r="AN8" s="506"/>
      <c r="AO8" s="506"/>
      <c r="AP8" s="506"/>
      <c r="AQ8" s="510"/>
    </row>
    <row r="9" spans="1:71" ht="14.4" customHeight="1" x14ac:dyDescent="0.3">
      <c r="B9" s="518" t="s">
        <v>107</v>
      </c>
      <c r="C9" s="519" t="str">
        <f>TEXT(C410,"$0")&amp;" to "&amp;TEXT(C409,"$0")</f>
        <v>$202 to $252</v>
      </c>
      <c r="D9" s="30"/>
      <c r="E9" s="30"/>
      <c r="F9" s="36"/>
      <c r="G9" s="34"/>
      <c r="H9" s="507"/>
      <c r="I9" s="507"/>
      <c r="J9" s="507"/>
      <c r="K9" s="507"/>
      <c r="L9" s="507"/>
      <c r="M9" s="507"/>
      <c r="N9" s="507"/>
      <c r="O9" s="507"/>
      <c r="P9" s="507"/>
      <c r="Q9" s="507"/>
      <c r="R9" s="507"/>
      <c r="S9" s="553"/>
      <c r="T9" s="592"/>
      <c r="U9" s="593"/>
      <c r="V9" s="508"/>
      <c r="W9" s="508"/>
      <c r="X9" s="592"/>
      <c r="Y9" s="508"/>
      <c r="Z9" s="508"/>
      <c r="AA9" s="508"/>
      <c r="AB9" s="507"/>
      <c r="AC9" s="507"/>
      <c r="AD9" s="507"/>
      <c r="AE9" s="507"/>
      <c r="AF9" s="507"/>
      <c r="AG9" s="507"/>
      <c r="AH9" s="507"/>
      <c r="AI9" s="507"/>
      <c r="AJ9" s="507"/>
      <c r="AK9" s="507"/>
      <c r="AL9" s="507"/>
      <c r="AM9" s="507"/>
      <c r="AN9" s="507"/>
      <c r="AO9" s="507"/>
      <c r="AP9" s="507"/>
      <c r="AQ9" s="507"/>
    </row>
    <row r="10" spans="1:71" ht="5.25" customHeight="1" x14ac:dyDescent="0.3">
      <c r="D10" s="38"/>
      <c r="E10" s="38"/>
      <c r="F10" s="38"/>
      <c r="G10" s="38"/>
      <c r="H10" s="39"/>
      <c r="I10" s="38"/>
      <c r="J10" s="38"/>
      <c r="K10" s="38"/>
      <c r="L10" s="34"/>
      <c r="M10" s="34"/>
      <c r="N10" s="38"/>
      <c r="O10" s="40"/>
      <c r="P10" s="38"/>
      <c r="Q10" s="34"/>
      <c r="R10" s="34"/>
      <c r="S10" s="38"/>
      <c r="T10" s="38"/>
      <c r="U10" s="38"/>
      <c r="V10" s="34"/>
      <c r="W10" s="493"/>
      <c r="X10" s="71"/>
      <c r="Y10" s="71"/>
      <c r="Z10" s="71"/>
      <c r="AA10" s="30"/>
      <c r="AB10" s="30"/>
      <c r="AC10" s="71"/>
      <c r="AD10" s="71"/>
      <c r="AE10" s="71"/>
      <c r="AF10" s="30"/>
      <c r="AG10" s="30"/>
      <c r="AH10" s="71"/>
      <c r="AI10" s="71"/>
      <c r="AJ10" s="71"/>
      <c r="AK10" s="30"/>
      <c r="AL10" s="30"/>
      <c r="AM10" s="71"/>
      <c r="AN10" s="71"/>
      <c r="AO10" s="71"/>
      <c r="AP10" s="30"/>
      <c r="AQ10" s="30"/>
    </row>
    <row r="11" spans="1:71" ht="15.6" x14ac:dyDescent="0.3">
      <c r="A11" s="711"/>
      <c r="B11" s="705" t="s">
        <v>110</v>
      </c>
      <c r="C11" s="713"/>
      <c r="D11" s="90" t="s">
        <v>120</v>
      </c>
      <c r="E11" s="90" t="s">
        <v>121</v>
      </c>
      <c r="F11" s="90" t="s">
        <v>122</v>
      </c>
      <c r="G11" s="90" t="s">
        <v>123</v>
      </c>
      <c r="H11" s="403" t="s">
        <v>123</v>
      </c>
      <c r="I11" s="90" t="s">
        <v>124</v>
      </c>
      <c r="J11" s="90" t="s">
        <v>125</v>
      </c>
      <c r="K11" s="90" t="s">
        <v>126</v>
      </c>
      <c r="L11" s="90" t="s">
        <v>127</v>
      </c>
      <c r="M11" s="403" t="s">
        <v>127</v>
      </c>
      <c r="N11" s="90" t="s">
        <v>128</v>
      </c>
      <c r="O11" s="90" t="s">
        <v>129</v>
      </c>
      <c r="P11" s="90" t="s">
        <v>130</v>
      </c>
      <c r="Q11" s="90" t="s">
        <v>131</v>
      </c>
      <c r="R11" s="403" t="s">
        <v>131</v>
      </c>
      <c r="S11" s="90" t="s">
        <v>132</v>
      </c>
      <c r="T11" s="92" t="s">
        <v>133</v>
      </c>
      <c r="U11" s="92" t="s">
        <v>134</v>
      </c>
      <c r="V11" s="92" t="s">
        <v>135</v>
      </c>
      <c r="W11" s="407" t="s">
        <v>135</v>
      </c>
      <c r="X11" s="92" t="s">
        <v>136</v>
      </c>
      <c r="Y11" s="92" t="s">
        <v>137</v>
      </c>
      <c r="Z11" s="92" t="s">
        <v>138</v>
      </c>
      <c r="AA11" s="92" t="s">
        <v>139</v>
      </c>
      <c r="AB11" s="407" t="s">
        <v>139</v>
      </c>
      <c r="AC11" s="92" t="s">
        <v>140</v>
      </c>
      <c r="AD11" s="92" t="s">
        <v>141</v>
      </c>
      <c r="AE11" s="92" t="s">
        <v>142</v>
      </c>
      <c r="AF11" s="92" t="s">
        <v>143</v>
      </c>
      <c r="AG11" s="407" t="s">
        <v>143</v>
      </c>
      <c r="AH11" s="92" t="s">
        <v>144</v>
      </c>
      <c r="AI11" s="92" t="s">
        <v>145</v>
      </c>
      <c r="AJ11" s="92" t="s">
        <v>146</v>
      </c>
      <c r="AK11" s="92" t="s">
        <v>147</v>
      </c>
      <c r="AL11" s="407" t="s">
        <v>147</v>
      </c>
      <c r="AM11" s="92" t="s">
        <v>148</v>
      </c>
      <c r="AN11" s="92" t="s">
        <v>149</v>
      </c>
      <c r="AO11" s="92" t="s">
        <v>150</v>
      </c>
      <c r="AP11" s="92" t="s">
        <v>151</v>
      </c>
      <c r="AQ11" s="407" t="s">
        <v>151</v>
      </c>
    </row>
    <row r="12" spans="1:71" ht="17.399999999999999" customHeight="1" x14ac:dyDescent="0.45">
      <c r="A12" s="712"/>
      <c r="B12" s="726" t="s">
        <v>3</v>
      </c>
      <c r="C12" s="727"/>
      <c r="D12" s="91" t="s">
        <v>71</v>
      </c>
      <c r="E12" s="91" t="s">
        <v>74</v>
      </c>
      <c r="F12" s="91" t="s">
        <v>75</v>
      </c>
      <c r="G12" s="91" t="s">
        <v>78</v>
      </c>
      <c r="H12" s="404" t="s">
        <v>79</v>
      </c>
      <c r="I12" s="91" t="s">
        <v>80</v>
      </c>
      <c r="J12" s="91" t="s">
        <v>91</v>
      </c>
      <c r="K12" s="91" t="s">
        <v>109</v>
      </c>
      <c r="L12" s="91" t="s">
        <v>113</v>
      </c>
      <c r="M12" s="404" t="s">
        <v>114</v>
      </c>
      <c r="N12" s="91" t="s">
        <v>115</v>
      </c>
      <c r="O12" s="91" t="s">
        <v>116</v>
      </c>
      <c r="P12" s="91" t="s">
        <v>117</v>
      </c>
      <c r="Q12" s="91" t="s">
        <v>118</v>
      </c>
      <c r="R12" s="404" t="s">
        <v>119</v>
      </c>
      <c r="S12" s="91" t="s">
        <v>511</v>
      </c>
      <c r="T12" s="89" t="s">
        <v>377</v>
      </c>
      <c r="U12" s="89" t="s">
        <v>378</v>
      </c>
      <c r="V12" s="89" t="s">
        <v>379</v>
      </c>
      <c r="W12" s="408" t="s">
        <v>380</v>
      </c>
      <c r="X12" s="89" t="s">
        <v>381</v>
      </c>
      <c r="Y12" s="89" t="s">
        <v>382</v>
      </c>
      <c r="Z12" s="89" t="s">
        <v>383</v>
      </c>
      <c r="AA12" s="89" t="s">
        <v>384</v>
      </c>
      <c r="AB12" s="408" t="s">
        <v>385</v>
      </c>
      <c r="AC12" s="89" t="s">
        <v>386</v>
      </c>
      <c r="AD12" s="89" t="s">
        <v>387</v>
      </c>
      <c r="AE12" s="89" t="s">
        <v>388</v>
      </c>
      <c r="AF12" s="89" t="s">
        <v>389</v>
      </c>
      <c r="AG12" s="408" t="s">
        <v>390</v>
      </c>
      <c r="AH12" s="89" t="s">
        <v>391</v>
      </c>
      <c r="AI12" s="89" t="s">
        <v>392</v>
      </c>
      <c r="AJ12" s="89" t="s">
        <v>393</v>
      </c>
      <c r="AK12" s="89" t="s">
        <v>394</v>
      </c>
      <c r="AL12" s="408" t="s">
        <v>395</v>
      </c>
      <c r="AM12" s="89" t="s">
        <v>396</v>
      </c>
      <c r="AN12" s="89" t="s">
        <v>397</v>
      </c>
      <c r="AO12" s="89" t="s">
        <v>398</v>
      </c>
      <c r="AP12" s="89" t="s">
        <v>399</v>
      </c>
      <c r="AQ12" s="408" t="s">
        <v>400</v>
      </c>
    </row>
    <row r="13" spans="1:71" x14ac:dyDescent="0.3">
      <c r="B13" s="703" t="s">
        <v>152</v>
      </c>
      <c r="C13" s="704"/>
      <c r="D13" s="100">
        <v>12279</v>
      </c>
      <c r="E13" s="100">
        <v>12453</v>
      </c>
      <c r="F13" s="100">
        <v>12654</v>
      </c>
      <c r="G13" s="100">
        <v>12979</v>
      </c>
      <c r="H13" s="112">
        <f>SUM(D13:G13)</f>
        <v>50365</v>
      </c>
      <c r="I13" s="100">
        <v>14663</v>
      </c>
      <c r="J13" s="100">
        <v>14931</v>
      </c>
      <c r="K13" s="100">
        <v>14997</v>
      </c>
      <c r="L13" s="100">
        <v>15728</v>
      </c>
      <c r="M13" s="112">
        <f>SUM(I13:L13)</f>
        <v>60319</v>
      </c>
      <c r="N13" s="100">
        <v>15297</v>
      </c>
      <c r="O13" s="100">
        <v>16313</v>
      </c>
      <c r="P13" s="100">
        <v>16526</v>
      </c>
      <c r="Q13" s="100">
        <f>Q54+Q57+Q58+Q145+Q162+Q171+Q174</f>
        <v>17314.125785999997</v>
      </c>
      <c r="R13" s="112">
        <f>SUM(N13:Q13)</f>
        <v>65450.125785999997</v>
      </c>
      <c r="S13" s="100">
        <v>17052</v>
      </c>
      <c r="T13" s="546">
        <f>T54+T57+T58+T145+T162+T171+T174</f>
        <v>17772.5</v>
      </c>
      <c r="U13" s="546">
        <f>U54+U57+U58+U145+U162+U171+U174</f>
        <v>17888.8</v>
      </c>
      <c r="V13" s="546">
        <f>V54+V57+V58+V145+V162+V171+V174</f>
        <v>18692.299999999996</v>
      </c>
      <c r="W13" s="94">
        <f>SUM(S13:V13)</f>
        <v>71405.600000000006</v>
      </c>
      <c r="X13" s="546">
        <f>X54+X57+X58+X145+X162+X171+X174</f>
        <v>18024.890000000003</v>
      </c>
      <c r="Y13" s="100">
        <f>Y54+Y57+Y58+Y145+Y162+Y171+Y174</f>
        <v>18639.510413576987</v>
      </c>
      <c r="Z13" s="100">
        <f>Z54+Z57+Z58+Z145+Z162+Z171+Z174</f>
        <v>18854.646668591042</v>
      </c>
      <c r="AA13" s="100">
        <f>AA54+AA57+AA58+AA145+AA162+AA171+AA174</f>
        <v>19725.457761581965</v>
      </c>
      <c r="AB13" s="547">
        <f>SUM(X13:AA13)</f>
        <v>75244.504843750008</v>
      </c>
      <c r="AC13" s="100">
        <f>AC54+AC57+AC58+AC145+AC162+AC171+AC174</f>
        <v>19028.662174731278</v>
      </c>
      <c r="AD13" s="100">
        <f>AD54+AD57+AD58+AD145+AD162+AD171+AD174</f>
        <v>19652.333252278982</v>
      </c>
      <c r="AE13" s="100">
        <f>AE54+AE57+AE58+AE145+AE162+AE171+AE174</f>
        <v>19930.501235753076</v>
      </c>
      <c r="AF13" s="100">
        <f>AF54+AF57+AF58+AF145+AF162+AF171+AF174</f>
        <v>20863.780569670838</v>
      </c>
      <c r="AG13" s="94">
        <f>SUM(AC13:AF13)</f>
        <v>79475.277232434179</v>
      </c>
      <c r="AH13" s="100">
        <f>AH54+AH57+AH58+AH145+AH162+AH171+AH174</f>
        <v>20039.628268727251</v>
      </c>
      <c r="AI13" s="100">
        <f>AI54+AI57+AI58+AI145+AI162+AI171+AI174</f>
        <v>20667.21379490153</v>
      </c>
      <c r="AJ13" s="100">
        <f>AJ54+AJ57+AJ58+AJ145+AJ162+AJ171+AJ174</f>
        <v>20970.728688077332</v>
      </c>
      <c r="AK13" s="100">
        <f>AK54+AK57+AK58+AK145+AK162+AK171+AK174</f>
        <v>21925.050256345923</v>
      </c>
      <c r="AL13" s="94">
        <f>SUM(AH13:AK13)</f>
        <v>83602.621008052025</v>
      </c>
      <c r="AM13" s="100">
        <f>AM54+AM57+AM58+AM145+AM162+AM171+AM174</f>
        <v>21018.167106189274</v>
      </c>
      <c r="AN13" s="100">
        <f>AN54+AN57+AN58+AN145+AN162+AN171+AN174</f>
        <v>21637.446512164403</v>
      </c>
      <c r="AO13" s="100">
        <f>AO54+AO57+AO58+AO145+AO162+AO171+AO174</f>
        <v>21954.391290009586</v>
      </c>
      <c r="AP13" s="100">
        <f>AP54+AP57+AP58+AP145+AP162+AP171+AP174</f>
        <v>22923.286527482916</v>
      </c>
      <c r="AQ13" s="94">
        <f>SUM(AM13:AP13)</f>
        <v>87533.291435846186</v>
      </c>
    </row>
    <row r="14" spans="1:71" x14ac:dyDescent="0.3">
      <c r="B14" s="95" t="s">
        <v>153</v>
      </c>
      <c r="C14" s="287"/>
      <c r="D14" s="41"/>
      <c r="E14" s="41"/>
      <c r="F14" s="41"/>
      <c r="G14" s="41"/>
      <c r="H14" s="112"/>
      <c r="I14" s="41"/>
      <c r="J14" s="41"/>
      <c r="K14" s="41"/>
      <c r="L14" s="41"/>
      <c r="M14" s="112"/>
      <c r="N14" s="41"/>
      <c r="O14" s="41"/>
      <c r="P14" s="41"/>
      <c r="Q14" s="58"/>
      <c r="R14" s="54"/>
      <c r="S14" s="139"/>
      <c r="T14" s="139"/>
      <c r="U14" s="139"/>
      <c r="V14" s="139"/>
      <c r="W14" s="422"/>
      <c r="X14" s="139"/>
      <c r="Y14" s="139"/>
      <c r="Z14" s="139"/>
      <c r="AA14" s="139"/>
      <c r="AB14" s="94"/>
      <c r="AC14" s="139"/>
      <c r="AD14" s="139"/>
      <c r="AE14" s="139"/>
      <c r="AF14" s="139"/>
      <c r="AG14" s="94"/>
      <c r="AH14" s="139"/>
      <c r="AI14" s="139"/>
      <c r="AJ14" s="139"/>
      <c r="AK14" s="139"/>
      <c r="AL14" s="94"/>
      <c r="AM14" s="139"/>
      <c r="AN14" s="139"/>
      <c r="AO14" s="139"/>
      <c r="AP14" s="139"/>
      <c r="AQ14" s="94"/>
    </row>
    <row r="15" spans="1:71" outlineLevel="1" x14ac:dyDescent="0.3">
      <c r="A15" s="230"/>
      <c r="B15" s="303" t="s">
        <v>154</v>
      </c>
      <c r="C15" s="287"/>
      <c r="D15" s="100">
        <v>4525</v>
      </c>
      <c r="E15" s="100">
        <v>4570</v>
      </c>
      <c r="F15" s="100">
        <v>4712</v>
      </c>
      <c r="G15" s="100">
        <v>4774</v>
      </c>
      <c r="H15" s="112">
        <f t="shared" ref="H15:H23" si="0">SUM(D15:G15)</f>
        <v>18581</v>
      </c>
      <c r="I15" s="100">
        <v>5311</v>
      </c>
      <c r="J15" s="100">
        <v>5353</v>
      </c>
      <c r="K15" s="100">
        <v>5395</v>
      </c>
      <c r="L15" s="100">
        <v>5483</v>
      </c>
      <c r="M15" s="112">
        <f t="shared" ref="M15:M23" si="1">SUM(I15:L15)</f>
        <v>21542</v>
      </c>
      <c r="N15" s="100">
        <v>5518</v>
      </c>
      <c r="O15" s="100">
        <v>5742</v>
      </c>
      <c r="P15" s="100">
        <v>5981</v>
      </c>
      <c r="Q15" s="139">
        <v>5966</v>
      </c>
      <c r="R15" s="112">
        <f t="shared" ref="R15:R23" si="2">SUM(N15:Q15)</f>
        <v>23207</v>
      </c>
      <c r="S15" s="139">
        <v>6260</v>
      </c>
      <c r="T15" s="139">
        <f>(T70+T149+T166+T176+T180)*(O15/(O15+O16+O17+O20+O23))</f>
        <v>6207.1922842594458</v>
      </c>
      <c r="U15" s="139">
        <f>(U70+U149+U166+U176+U180)*(P15/(P15+P16+P17+P20+P23))</f>
        <v>6402.4301006423975</v>
      </c>
      <c r="V15" s="139">
        <f>(V70+V149+V166+V176+V180)*(Q15/(Q15+Q16+Q17+Q20+Q23))</f>
        <v>6382.5876704202356</v>
      </c>
      <c r="W15" s="94">
        <f t="shared" ref="W15:W23" si="3">SUM(S15:V15)</f>
        <v>25252.210055322077</v>
      </c>
      <c r="X15" s="139">
        <f>(X70+X149+X166+X176+X180)*(S15/(S15+S16+S17+S20+S23))</f>
        <v>6513.5417021980793</v>
      </c>
      <c r="Y15" s="139">
        <f>(Y70+Y149+Y166+Y176+Y180)*(T15/(T15+T16+T17+T20+T23))</f>
        <v>6443.6670347258978</v>
      </c>
      <c r="Z15" s="139">
        <f>(Z70+Z149+Z166+Z176+Z180)*(U15/(U15+U16+U17+U20+U23))</f>
        <v>6676.5207611435226</v>
      </c>
      <c r="AA15" s="139">
        <f>(AA70+AA149+AA166+AA176+AA180)*(V15/(V15+V16+V17+V20+V23))</f>
        <v>6657.158054613632</v>
      </c>
      <c r="AB15" s="94">
        <f t="shared" ref="AB15:AB23" si="4">SUM(X15:AA15)</f>
        <v>26290.887552681132</v>
      </c>
      <c r="AC15" s="139">
        <f>(AC70+AC149+AC166+AC176+AC180)*(X15/(X15+X16+X17+X20+X23))</f>
        <v>6766.5019706250096</v>
      </c>
      <c r="AD15" s="139">
        <f>(AD70+AD149+AD166+AD176+AD180)*(Y15/(Y15+Y16+Y17+Y20+Y23))</f>
        <v>6696.2798674485584</v>
      </c>
      <c r="AE15" s="139">
        <f>(AE70+AE149+AE166+AE176+AE180)*(Z15/(Z15+Z16+Z17+Z20+Z23))</f>
        <v>6953.0056268079925</v>
      </c>
      <c r="AF15" s="139">
        <f>(AF70+AF149+AF166+AF176+AF180)*(AA15/(AA15+AA16+AA17+AA20+AA23))</f>
        <v>6929.8450468846668</v>
      </c>
      <c r="AG15" s="94">
        <f t="shared" ref="AG15:AG23" si="5">SUM(AC15:AF15)</f>
        <v>27345.632511766227</v>
      </c>
      <c r="AH15" s="139">
        <f>(AH70+AH149+AH166+AH176+AH180)*(AC15/(AC15+AC16+AC17+AC20+AC23))</f>
        <v>7138.9490831132416</v>
      </c>
      <c r="AI15" s="139">
        <f>(AI70+AI149+AI166+AI176+AI180)*(AD15/(AD15+AD16+AD17+AD20+AD23))</f>
        <v>7064.9494394069507</v>
      </c>
      <c r="AJ15" s="139">
        <f>(AJ70+AJ149+AJ166+AJ176+AJ180)*(AE15/(AE15+AE16+AE17+AE20+AE23))</f>
        <v>7336.1161203049633</v>
      </c>
      <c r="AK15" s="139">
        <f>(AK70+AK149+AK166+AK176+AK180)*(AF15/(AF15+AF16+AF17+AF20+AF23))</f>
        <v>7302.0845044605921</v>
      </c>
      <c r="AL15" s="94">
        <f t="shared" ref="AL15:AL23" si="6">SUM(AH15:AK15)</f>
        <v>28842.099147285746</v>
      </c>
      <c r="AM15" s="139">
        <f>(AM70+AM149+AM166+AM176+AM180)*(AH15/(AH15+AH16+AH17+AH20+AH23))</f>
        <v>7502.2962544814081</v>
      </c>
      <c r="AN15" s="139">
        <f>(AN70+AN149+AN166+AN176+AN180)*(AI15/(AI15+AI16+AI17+AI20+AI23))</f>
        <v>7420.8155351577798</v>
      </c>
      <c r="AO15" s="139">
        <f>(AO70+AO149+AO166+AO176+AO180)*(AJ15/(AJ15+AJ16+AJ17+AJ20+AJ23))</f>
        <v>7701.5041600799595</v>
      </c>
      <c r="AP15" s="139">
        <f>(AP70+AP149+AP166+AP176+AP180)*(AK15/(AK15+AK16+AK17+AK20+AK23))</f>
        <v>7655.9466057493137</v>
      </c>
      <c r="AQ15" s="94">
        <f t="shared" ref="AQ15:AQ23" si="7">SUM(AM15:AP15)</f>
        <v>30280.562555468459</v>
      </c>
    </row>
    <row r="16" spans="1:71" outlineLevel="1" x14ac:dyDescent="0.3">
      <c r="B16" s="303" t="s">
        <v>155</v>
      </c>
      <c r="C16" s="287"/>
      <c r="D16" s="100">
        <v>2344</v>
      </c>
      <c r="E16" s="100">
        <v>2538</v>
      </c>
      <c r="F16" s="100">
        <v>2623</v>
      </c>
      <c r="G16" s="100">
        <v>2461</v>
      </c>
      <c r="H16" s="112">
        <f t="shared" si="0"/>
        <v>9966</v>
      </c>
      <c r="I16" s="100">
        <v>3240</v>
      </c>
      <c r="J16" s="100">
        <v>3431</v>
      </c>
      <c r="K16" s="100">
        <v>3498</v>
      </c>
      <c r="L16" s="100">
        <v>3461</v>
      </c>
      <c r="M16" s="112">
        <f t="shared" si="1"/>
        <v>13630</v>
      </c>
      <c r="N16" s="100">
        <v>3445</v>
      </c>
      <c r="O16" s="100">
        <v>3840</v>
      </c>
      <c r="P16" s="100">
        <v>3935</v>
      </c>
      <c r="Q16" s="100">
        <v>3881</v>
      </c>
      <c r="R16" s="112">
        <f t="shared" si="2"/>
        <v>15101</v>
      </c>
      <c r="S16" s="100">
        <v>3967</v>
      </c>
      <c r="T16" s="100">
        <f>(T70+T149+T166+T176+T180)*(O16/(O15+O16+O17+O20+O23))</f>
        <v>4151.1003781881354</v>
      </c>
      <c r="U16" s="100">
        <f>(U70+U149+U166+U176+U180)*(P16/(P15+P16+P17+P20+P23))</f>
        <v>4212.2659164065935</v>
      </c>
      <c r="V16" s="100">
        <f>(V70+V149+V166+V176+V180)*(Q16/(Q15+Q16+Q17+Q20+Q23))</f>
        <v>4151.9984493632137</v>
      </c>
      <c r="W16" s="94">
        <f t="shared" si="3"/>
        <v>16482.364743957944</v>
      </c>
      <c r="X16" s="100">
        <f>(X70+X149+X166+X176+X180)*(S16/(S15+S16+S17+S20+S23))</f>
        <v>4127.670915753959</v>
      </c>
      <c r="Y16" s="100">
        <f>(Y70+Y149+Y166+Y176+Y180)*(T16/(T15+T16+T17+T20+T23))</f>
        <v>4309.2444119379043</v>
      </c>
      <c r="Z16" s="100">
        <f>(Z70+Z149+Z166+Z176+Z180)*(U16/(U15+U16+U17+U20+U23))</f>
        <v>4392.5947492224977</v>
      </c>
      <c r="AA16" s="100">
        <f>(AA70+AA149+AA166+AA176+AA180)*(V16/(V15+V16+V17+V20+V23))</f>
        <v>4330.6118689164441</v>
      </c>
      <c r="AB16" s="94">
        <f t="shared" si="4"/>
        <v>17160.121945830804</v>
      </c>
      <c r="AC16" s="100">
        <f>(AC70+AC149+AC166+AC176+AC180)*(X16/(X15+X16+X17+X20+X23))</f>
        <v>4287.97337339767</v>
      </c>
      <c r="AD16" s="100">
        <f>(AD70+AD149+AD166+AD176+AD180)*(Y16/(Y15+Y16+Y17+Y20+Y23))</f>
        <v>4478.1808935915124</v>
      </c>
      <c r="AE16" s="100">
        <f>(AE70+AE149+AE166+AE176+AE180)*(Z16/(Z15+Z16+Z17+Z20+Z23))</f>
        <v>4574.4987696855796</v>
      </c>
      <c r="AF16" s="100">
        <f>(AF70+AF149+AF166+AF176+AF180)*(AA16/(AA15+AA16+AA17+AA20+AA23))</f>
        <v>4508.0001050887349</v>
      </c>
      <c r="AG16" s="94">
        <f t="shared" si="5"/>
        <v>17848.653141763498</v>
      </c>
      <c r="AH16" s="100">
        <f>(AH70+AH149+AH166+AH176+AH180)*(AC16/(AC15+AC16+AC17+AC20+AC23))</f>
        <v>4523.9953694425294</v>
      </c>
      <c r="AI16" s="100">
        <f>(AI70+AI149+AI166+AI176+AI180)*(AD16/(AD15+AD16+AD17+AD20+AD23))</f>
        <v>4724.7310775553278</v>
      </c>
      <c r="AJ16" s="100">
        <f>(AJ70+AJ149+AJ166+AJ176+AJ180)*(AE16/(AE15+AE16+AE17+AE20+AE23))</f>
        <v>4826.5535752215401</v>
      </c>
      <c r="AK16" s="100">
        <f>(AK70+AK149+AK166+AK176+AK180)*(AF16/(AF15+AF16+AF17+AF20+AF23))</f>
        <v>4750.1491722781693</v>
      </c>
      <c r="AL16" s="94">
        <f t="shared" si="6"/>
        <v>18825.429194497567</v>
      </c>
      <c r="AM16" s="100">
        <f>(AM70+AM149+AM166+AM176+AM180)*(AH16/(AH15+AH16+AH17+AH20+AH23))</f>
        <v>4754.2506775603433</v>
      </c>
      <c r="AN16" s="100">
        <f>(AN70+AN149+AN166+AN176+AN180)*(AI16/(AI15+AI16+AI17+AI20+AI23))</f>
        <v>4962.7188531880656</v>
      </c>
      <c r="AO16" s="100">
        <f>(AO70+AO149+AO166+AO176+AO180)*(AJ16/(AJ15+AJ16+AJ17+AJ20+AJ23))</f>
        <v>5066.9484818449491</v>
      </c>
      <c r="AP16" s="100">
        <f>(AP70+AP149+AP166+AP176+AP180)*(AK16/(AK15+AK16+AK17+AK20+AK23))</f>
        <v>4980.3434088020595</v>
      </c>
      <c r="AQ16" s="94">
        <f t="shared" si="7"/>
        <v>19764.261421395418</v>
      </c>
    </row>
    <row r="17" spans="2:47" outlineLevel="1" x14ac:dyDescent="0.3">
      <c r="B17" s="303" t="s">
        <v>156</v>
      </c>
      <c r="C17" s="287"/>
      <c r="D17" s="100">
        <v>695</v>
      </c>
      <c r="E17" s="100">
        <v>682</v>
      </c>
      <c r="F17" s="100">
        <v>744</v>
      </c>
      <c r="G17" s="100">
        <v>733</v>
      </c>
      <c r="H17" s="112">
        <f t="shared" si="0"/>
        <v>2854</v>
      </c>
      <c r="I17" s="100">
        <v>790</v>
      </c>
      <c r="J17" s="100">
        <v>802</v>
      </c>
      <c r="K17" s="100">
        <v>834</v>
      </c>
      <c r="L17" s="100">
        <v>814</v>
      </c>
      <c r="M17" s="112">
        <f t="shared" si="1"/>
        <v>3240</v>
      </c>
      <c r="N17" s="100">
        <v>818</v>
      </c>
      <c r="O17" s="100">
        <v>835</v>
      </c>
      <c r="P17" s="100">
        <v>873</v>
      </c>
      <c r="Q17" s="100">
        <v>835</v>
      </c>
      <c r="R17" s="112">
        <f t="shared" si="2"/>
        <v>3361</v>
      </c>
      <c r="S17" s="100">
        <v>823</v>
      </c>
      <c r="T17" s="100">
        <f>(T70+T149+T166+T176+T180)*(O17/(O15+O16+O17+O20+O23))</f>
        <v>902.64812911122215</v>
      </c>
      <c r="U17" s="100">
        <f>(U70+U149+U166+U176+U180)*(P17/(P15+P16+P17+P20+P23))</f>
        <v>934.51287039973477</v>
      </c>
      <c r="V17" s="100">
        <f>(V70+V149+V166+V176+V180)*(Q17/(Q15+Q16+Q17+Q20+Q23))</f>
        <v>893.30551538734437</v>
      </c>
      <c r="W17" s="94">
        <f t="shared" si="3"/>
        <v>3553.4665148983013</v>
      </c>
      <c r="X17" s="100">
        <f>(X70+X149+X166+X176+X180)*(S17/(S15+S16+S17+S20+S23))</f>
        <v>856.3330384838689</v>
      </c>
      <c r="Y17" s="100">
        <f>(Y70+Y149+Y166+Y176+Y180)*(T17/(T15+T16+T17+T20+T23))</f>
        <v>937.03621978337242</v>
      </c>
      <c r="Z17" s="100">
        <f>(Z70+Z149+Z166+Z176+Z180)*(U17/(U15+U16+U17+U20+U23))</f>
        <v>974.51974995457215</v>
      </c>
      <c r="AA17" s="100">
        <f>(AA70+AA149+AA166+AA176+AA180)*(V17/(V15+V16+V17+V20+V23))</f>
        <v>931.73432376841799</v>
      </c>
      <c r="AB17" s="94">
        <f t="shared" si="4"/>
        <v>3699.6233319902317</v>
      </c>
      <c r="AC17" s="100">
        <f>(AC70+AC149+AC166+AC176+AC180)*(X17/(X15+X16+X17+X20+X23))</f>
        <v>889.58963607418264</v>
      </c>
      <c r="AD17" s="100">
        <f>(AD70+AD149+AD166+AD176+AD180)*(Y17/(Y15+Y16+Y17+Y20+Y23))</f>
        <v>973.7711057679461</v>
      </c>
      <c r="AE17" s="100">
        <f>(AE70+AE149+AE166+AE176+AE180)*(Z17/(Z15+Z16+Z17+Z20+Z23))</f>
        <v>1014.8760929950474</v>
      </c>
      <c r="AF17" s="100">
        <f>(AF70+AF149+AF166+AF176+AF180)*(AA17/(AA15+AA16+AA17+AA20+AA23))</f>
        <v>969.89953304537312</v>
      </c>
      <c r="AG17" s="94">
        <f t="shared" si="5"/>
        <v>3848.1363678825496</v>
      </c>
      <c r="AH17" s="100">
        <f>(AH70+AH149+AH166+AH176+AH180)*(AC17/(AC15+AC16+AC17+AC20+AC23))</f>
        <v>938.55512706105389</v>
      </c>
      <c r="AI17" s="100">
        <f>(AI70+AI149+AI166+AI176+AI180)*(AD17/(AD15+AD16+AD17+AD20+AD23))</f>
        <v>1027.3829296246611</v>
      </c>
      <c r="AJ17" s="100">
        <f>(AJ70+AJ149+AJ166+AJ176+AJ180)*(AE17/(AE15+AE16+AE17+AE20+AE23))</f>
        <v>1070.7957487086164</v>
      </c>
      <c r="AK17" s="100">
        <f>(AK70+AK149+AK166+AK176+AK180)*(AF17/(AF15+AF16+AF17+AF20+AF23))</f>
        <v>1021.9980826725769</v>
      </c>
      <c r="AL17" s="94">
        <f t="shared" si="6"/>
        <v>4058.7318880669081</v>
      </c>
      <c r="AM17" s="100">
        <f>(AM70+AM149+AM166+AM176+AM180)*(AH17/(AH15+AH16+AH17+AH20+AH23))</f>
        <v>986.32425198693272</v>
      </c>
      <c r="AN17" s="100">
        <f>(AN70+AN149+AN166+AN176+AN180)*(AI17/(AI15+AI16+AI17+AI20+AI23))</f>
        <v>1079.1328756281341</v>
      </c>
      <c r="AO17" s="100">
        <f>(AO70+AO149+AO166+AO176+AO180)*(AJ17/(AJ15+AJ16+AJ17+AJ20+AJ23))</f>
        <v>1124.128595845144</v>
      </c>
      <c r="AP17" s="100">
        <f>(AP70+AP149+AP166+AP176+AP180)*(AK17/(AK15+AK16+AK17+AK20+AK23))</f>
        <v>1071.5245417030969</v>
      </c>
      <c r="AQ17" s="94">
        <f t="shared" si="7"/>
        <v>4261.1102651633082</v>
      </c>
    </row>
    <row r="18" spans="2:47" outlineLevel="1" x14ac:dyDescent="0.3">
      <c r="B18" s="303" t="s">
        <v>157</v>
      </c>
      <c r="C18" s="287"/>
      <c r="D18" s="100">
        <v>648</v>
      </c>
      <c r="E18" s="100">
        <v>653</v>
      </c>
      <c r="F18" s="100">
        <v>663</v>
      </c>
      <c r="G18" s="100">
        <v>667</v>
      </c>
      <c r="H18" s="112">
        <f t="shared" si="0"/>
        <v>2631</v>
      </c>
      <c r="I18" s="100">
        <v>739</v>
      </c>
      <c r="J18" s="100">
        <v>740</v>
      </c>
      <c r="K18" s="100">
        <v>762</v>
      </c>
      <c r="L18" s="100">
        <v>754</v>
      </c>
      <c r="M18" s="112">
        <f t="shared" si="1"/>
        <v>2995</v>
      </c>
      <c r="N18" s="100">
        <v>751</v>
      </c>
      <c r="O18" s="100">
        <v>756</v>
      </c>
      <c r="P18" s="100">
        <v>786</v>
      </c>
      <c r="Q18" s="100">
        <v>802</v>
      </c>
      <c r="R18" s="112">
        <f t="shared" si="2"/>
        <v>3095</v>
      </c>
      <c r="S18" s="100">
        <v>808</v>
      </c>
      <c r="T18" s="100">
        <f>+T312</f>
        <v>743.57794190980576</v>
      </c>
      <c r="U18" s="100">
        <f>+U312</f>
        <v>753.02157618056776</v>
      </c>
      <c r="V18" s="100">
        <f>+V312</f>
        <v>772.39127149366482</v>
      </c>
      <c r="W18" s="426">
        <f t="shared" si="3"/>
        <v>3076.9907895840388</v>
      </c>
      <c r="X18" s="100">
        <f>+X312</f>
        <v>801.01841295060035</v>
      </c>
      <c r="Y18" s="100">
        <f>+Y312</f>
        <v>820.00165148412441</v>
      </c>
      <c r="Z18" s="100">
        <f>+Z312</f>
        <v>829.88846253359361</v>
      </c>
      <c r="AA18" s="100">
        <f>+AA312</f>
        <v>850.00164342296227</v>
      </c>
      <c r="AB18" s="94">
        <f t="shared" si="4"/>
        <v>3300.9101703912806</v>
      </c>
      <c r="AC18" s="100">
        <f>+AC312</f>
        <v>880.12419082882798</v>
      </c>
      <c r="AD18" s="100">
        <f>+AD312</f>
        <v>900.32052048782361</v>
      </c>
      <c r="AE18" s="100">
        <f>+AE312</f>
        <v>910.74448980872398</v>
      </c>
      <c r="AF18" s="100">
        <f>+AF312</f>
        <v>931.93610238526912</v>
      </c>
      <c r="AG18" s="94">
        <f t="shared" si="5"/>
        <v>3623.1253035106447</v>
      </c>
      <c r="AH18" s="100">
        <f>+AH312</f>
        <v>963.73530981789838</v>
      </c>
      <c r="AI18" s="100">
        <f>+AI312</f>
        <v>985.01239151026482</v>
      </c>
      <c r="AJ18" s="100">
        <f>+AJ312</f>
        <v>995.9751957691891</v>
      </c>
      <c r="AK18" s="100">
        <f>+AK312</f>
        <v>1018.2423932980661</v>
      </c>
      <c r="AL18" s="94">
        <f t="shared" si="6"/>
        <v>3962.9652903954184</v>
      </c>
      <c r="AM18" s="100">
        <f>+AM312</f>
        <v>1051.6519641268635</v>
      </c>
      <c r="AN18" s="100">
        <f>+AN312</f>
        <v>1073.9498245572713</v>
      </c>
      <c r="AO18" s="100">
        <f>+AO312</f>
        <v>1085.4262295188032</v>
      </c>
      <c r="AP18" s="100">
        <f>+AP312</f>
        <v>1108.7203713661445</v>
      </c>
      <c r="AQ18" s="94">
        <f t="shared" si="7"/>
        <v>4319.7483895690821</v>
      </c>
    </row>
    <row r="19" spans="2:47" outlineLevel="1" x14ac:dyDescent="0.3">
      <c r="B19" s="303" t="s">
        <v>270</v>
      </c>
      <c r="C19" s="96"/>
      <c r="D19" s="100">
        <v>712</v>
      </c>
      <c r="E19" s="100">
        <v>615</v>
      </c>
      <c r="F19" s="100">
        <v>537</v>
      </c>
      <c r="G19" s="100">
        <v>535</v>
      </c>
      <c r="H19" s="112">
        <f t="shared" si="0"/>
        <v>2399</v>
      </c>
      <c r="I19" s="100">
        <v>650</v>
      </c>
      <c r="J19" s="100">
        <v>658</v>
      </c>
      <c r="K19" s="100">
        <v>735</v>
      </c>
      <c r="L19" s="100">
        <v>730</v>
      </c>
      <c r="M19" s="112">
        <f t="shared" si="1"/>
        <v>2773</v>
      </c>
      <c r="N19" s="100">
        <v>703</v>
      </c>
      <c r="O19" s="100">
        <v>818</v>
      </c>
      <c r="P19" s="100">
        <v>914</v>
      </c>
      <c r="Q19" s="100">
        <v>939</v>
      </c>
      <c r="R19" s="112">
        <f t="shared" si="2"/>
        <v>3374</v>
      </c>
      <c r="S19" s="100">
        <v>986</v>
      </c>
      <c r="T19" s="100">
        <f>+T68+T147+T164+T178</f>
        <v>991.28961950791449</v>
      </c>
      <c r="U19" s="100">
        <f>+U68+U147+U164+U178</f>
        <v>921.47443802062378</v>
      </c>
      <c r="V19" s="100">
        <f>+V68+V147+V164+V178</f>
        <v>1019.9694004064801</v>
      </c>
      <c r="W19" s="94">
        <f t="shared" si="3"/>
        <v>3918.7334579350181</v>
      </c>
      <c r="X19" s="100">
        <f>+X68+X147+X164+X178</f>
        <v>938.17237635259744</v>
      </c>
      <c r="Y19" s="100">
        <f>+Y68+Y147+Y164+Y178</f>
        <v>962.70892053092859</v>
      </c>
      <c r="Z19" s="100">
        <f>+Z68+Z147+Z164+Z178</f>
        <v>962.27334501329074</v>
      </c>
      <c r="AA19" s="100">
        <f>+AA68+AA147+AA164+AA178</f>
        <v>965.66242342745659</v>
      </c>
      <c r="AB19" s="94">
        <f t="shared" si="4"/>
        <v>3828.8170653242732</v>
      </c>
      <c r="AC19" s="100">
        <f>+AC68+AC147+AC164+AC178</f>
        <v>987.07118963026267</v>
      </c>
      <c r="AD19" s="100">
        <f>+AD68+AD147+AD164+AD178</f>
        <v>1011.1304327459607</v>
      </c>
      <c r="AE19" s="100">
        <f>+AE68+AE147+AE164+AE178</f>
        <v>1014.118853016711</v>
      </c>
      <c r="AF19" s="100">
        <f>+AF68+AF147+AF164+AF178</f>
        <v>1021.4672331566135</v>
      </c>
      <c r="AG19" s="94">
        <f t="shared" si="5"/>
        <v>4033.7877085495479</v>
      </c>
      <c r="AH19" s="100">
        <f>+AH68+AH147+AH164+AH178</f>
        <v>1076.7449778221157</v>
      </c>
      <c r="AI19" s="100">
        <f>+AI68+AI147+AI164+AI178</f>
        <v>1100.7958717394617</v>
      </c>
      <c r="AJ19" s="100">
        <f>+AJ68+AJ147+AJ164+AJ178</f>
        <v>1105.2050001156128</v>
      </c>
      <c r="AK19" s="100">
        <f>+AK68+AK147+AK164+AK178</f>
        <v>1113.6584646376018</v>
      </c>
      <c r="AL19" s="94">
        <f t="shared" si="6"/>
        <v>4396.4043143147919</v>
      </c>
      <c r="AM19" s="100">
        <f>+AM68+AM147+AM164+AM178</f>
        <v>1135.0539887949178</v>
      </c>
      <c r="AN19" s="100">
        <f>+AN68+AN147+AN164+AN178</f>
        <v>1158.3486869200201</v>
      </c>
      <c r="AO19" s="100">
        <f>+AO68+AO147+AO164+AO178</f>
        <v>1163.1753480848517</v>
      </c>
      <c r="AP19" s="100">
        <f>+AP68+AP147+AP164+AP178</f>
        <v>1173.2717123943005</v>
      </c>
      <c r="AQ19" s="94">
        <f t="shared" si="7"/>
        <v>4629.8497361940899</v>
      </c>
    </row>
    <row r="20" spans="2:47" outlineLevel="1" x14ac:dyDescent="0.3">
      <c r="B20" s="303" t="s">
        <v>159</v>
      </c>
      <c r="C20" s="96"/>
      <c r="D20" s="100">
        <v>548</v>
      </c>
      <c r="E20" s="100">
        <v>529</v>
      </c>
      <c r="F20" s="100">
        <v>504</v>
      </c>
      <c r="G20" s="100">
        <v>527</v>
      </c>
      <c r="H20" s="112">
        <f t="shared" si="0"/>
        <v>2108</v>
      </c>
      <c r="I20" s="100">
        <v>598</v>
      </c>
      <c r="J20" s="100">
        <v>579</v>
      </c>
      <c r="K20" s="100">
        <v>588</v>
      </c>
      <c r="L20" s="100">
        <v>609</v>
      </c>
      <c r="M20" s="112">
        <f t="shared" si="1"/>
        <v>2374</v>
      </c>
      <c r="N20" s="100">
        <v>675</v>
      </c>
      <c r="O20" s="100">
        <v>665</v>
      </c>
      <c r="P20" s="100">
        <v>628</v>
      </c>
      <c r="Q20" s="100">
        <v>654</v>
      </c>
      <c r="R20" s="112">
        <f t="shared" si="2"/>
        <v>2622</v>
      </c>
      <c r="S20" s="100">
        <v>735</v>
      </c>
      <c r="T20" s="100">
        <f>(T70+T149+T166+T176+T180)*(O20/(O15+O16+O17+O20+O23))</f>
        <v>718.87545611851829</v>
      </c>
      <c r="U20" s="100">
        <f>(U70+U149+U166+U176+U180)*(P20/(P15+P16+P17+P20+P23))</f>
        <v>672.24980826006117</v>
      </c>
      <c r="V20" s="100">
        <f>(V70+V149+V166+V176+V180)*(Q20/(Q15+Q16+Q17+Q20+Q23))</f>
        <v>699.66683480637505</v>
      </c>
      <c r="W20" s="94">
        <f t="shared" si="3"/>
        <v>2825.7920991849542</v>
      </c>
      <c r="X20" s="100">
        <f>(X70+X149+X166+X176+X180)*(S20/(S15+S16+S17+S20+S23))</f>
        <v>764.76887398012593</v>
      </c>
      <c r="Y20" s="100">
        <f>(Y70+Y149+Y166+Y176+Y180)*(T20/(T15+T16+T17+T20+T23))</f>
        <v>746.26237862987148</v>
      </c>
      <c r="Z20" s="100">
        <f>(Z70+Z149+Z166+Z176+Z180)*(U20/(U15+U16+U17+U20+U23))</f>
        <v>701.02909847820297</v>
      </c>
      <c r="AA20" s="100">
        <f>(AA70+AA149+AA166+AA176+AA180)*(V20/(V15+V16+V17+V20+V23))</f>
        <v>729.76556616113214</v>
      </c>
      <c r="AB20" s="94">
        <f t="shared" si="4"/>
        <v>2941.8259172493322</v>
      </c>
      <c r="AC20" s="100">
        <f>(AC70+AC149+AC166+AC176+AC180)*(X20/(X15+X16+X17+X20+X23))</f>
        <v>794.46948057657858</v>
      </c>
      <c r="AD20" s="100">
        <f>(AD70+AD149+AD166+AD176+AD180)*(Y20/(Y15+Y16+Y17+Y20+Y23))</f>
        <v>775.5183057912385</v>
      </c>
      <c r="AE20" s="100">
        <f>(AE70+AE149+AE166+AE176+AE180)*(Z20/(Z15+Z16+Z17+Z20+Z23))</f>
        <v>730.05977823698697</v>
      </c>
      <c r="AF20" s="100">
        <f>(AF70+AF149+AF166+AF176+AF180)*(AA20/(AA15+AA16+AA17+AA20+AA23))</f>
        <v>759.65783785829217</v>
      </c>
      <c r="AG20" s="94">
        <f t="shared" si="5"/>
        <v>3059.7054024630961</v>
      </c>
      <c r="AH20" s="100">
        <f>(AH70+AH149+AH166+AH176+AH180)*(AC20/(AC15+AC16+AC17+AC20+AC23))</f>
        <v>838.19929330482944</v>
      </c>
      <c r="AI20" s="100">
        <f>(AI70+AI149+AI166+AI176+AI180)*(AD20/(AD15+AD16+AD17+AD20+AD23))</f>
        <v>818.21514754538885</v>
      </c>
      <c r="AJ20" s="100">
        <f>(AJ70+AJ149+AJ166+AJ176+AJ180)*(AE20/(AE15+AE16+AE17+AE20+AE23))</f>
        <v>770.28605978122664</v>
      </c>
      <c r="AK20" s="100">
        <f>(AK70+AK149+AK166+AK176+AK180)*(AF20/(AF15+AF16+AF17+AF20+AF23))</f>
        <v>800.46316894355107</v>
      </c>
      <c r="AL20" s="94">
        <f t="shared" si="6"/>
        <v>3227.1636695749958</v>
      </c>
      <c r="AM20" s="100">
        <f>(AM70+AM149+AM166+AM176+AM180)*(AH20/(AH15+AH16+AH17+AH20+AH23))</f>
        <v>880.86066246706616</v>
      </c>
      <c r="AN20" s="100">
        <f>(AN70+AN149+AN166+AN176+AN180)*(AI20/(AI15+AI16+AI17+AI20+AI23))</f>
        <v>859.42917639845416</v>
      </c>
      <c r="AO20" s="100">
        <f>(AO70+AO149+AO166+AO176+AO180)*(AJ20/(AJ15+AJ16+AJ17+AJ20+AJ23))</f>
        <v>808.65149850028661</v>
      </c>
      <c r="AP20" s="100">
        <f>(AP70+AP149+AP166+AP176+AP180)*(AK20/(AK15+AK16+AK17+AK20+AK23))</f>
        <v>839.25395242374293</v>
      </c>
      <c r="AQ20" s="94">
        <f t="shared" si="7"/>
        <v>3388.1952897895499</v>
      </c>
    </row>
    <row r="21" spans="2:47" outlineLevel="1" x14ac:dyDescent="0.3">
      <c r="B21" s="303" t="s">
        <v>160</v>
      </c>
      <c r="C21" s="96"/>
      <c r="D21" s="100"/>
      <c r="E21" s="100"/>
      <c r="F21" s="100"/>
      <c r="G21" s="100"/>
      <c r="H21" s="112">
        <f t="shared" si="0"/>
        <v>0</v>
      </c>
      <c r="I21" s="100"/>
      <c r="J21" s="100"/>
      <c r="K21" s="100">
        <v>0</v>
      </c>
      <c r="L21" s="100">
        <v>0</v>
      </c>
      <c r="M21" s="112">
        <f t="shared" si="1"/>
        <v>0</v>
      </c>
      <c r="N21" s="100">
        <v>0</v>
      </c>
      <c r="O21" s="100">
        <v>0</v>
      </c>
      <c r="P21" s="100">
        <v>0</v>
      </c>
      <c r="Q21" s="100">
        <v>380</v>
      </c>
      <c r="R21" s="112">
        <f t="shared" si="2"/>
        <v>380</v>
      </c>
      <c r="S21" s="100">
        <v>0</v>
      </c>
      <c r="T21" s="244">
        <v>0</v>
      </c>
      <c r="U21" s="244">
        <v>0</v>
      </c>
      <c r="V21" s="244">
        <v>0</v>
      </c>
      <c r="W21" s="94">
        <f t="shared" si="3"/>
        <v>0</v>
      </c>
      <c r="X21" s="244">
        <v>0</v>
      </c>
      <c r="Y21" s="244">
        <v>0</v>
      </c>
      <c r="Z21" s="244">
        <v>0</v>
      </c>
      <c r="AA21" s="244">
        <v>0</v>
      </c>
      <c r="AB21" s="94">
        <f t="shared" si="4"/>
        <v>0</v>
      </c>
      <c r="AC21" s="244">
        <v>0</v>
      </c>
      <c r="AD21" s="244">
        <v>0</v>
      </c>
      <c r="AE21" s="244">
        <v>0</v>
      </c>
      <c r="AF21" s="244">
        <v>0</v>
      </c>
      <c r="AG21" s="94">
        <f t="shared" si="5"/>
        <v>0</v>
      </c>
      <c r="AH21" s="244">
        <v>0</v>
      </c>
      <c r="AI21" s="244">
        <v>0</v>
      </c>
      <c r="AJ21" s="244">
        <v>0</v>
      </c>
      <c r="AK21" s="244">
        <v>0</v>
      </c>
      <c r="AL21" s="94">
        <f t="shared" si="6"/>
        <v>0</v>
      </c>
      <c r="AM21" s="244">
        <v>0</v>
      </c>
      <c r="AN21" s="244">
        <v>0</v>
      </c>
      <c r="AO21" s="244">
        <v>0</v>
      </c>
      <c r="AP21" s="244">
        <v>0</v>
      </c>
      <c r="AQ21" s="94">
        <f t="shared" si="7"/>
        <v>0</v>
      </c>
    </row>
    <row r="22" spans="2:47" outlineLevel="1" x14ac:dyDescent="0.3">
      <c r="B22" s="303" t="s">
        <v>161</v>
      </c>
      <c r="C22" s="96"/>
      <c r="D22" s="100">
        <v>0</v>
      </c>
      <c r="E22" s="100">
        <v>0</v>
      </c>
      <c r="F22" s="100">
        <v>0</v>
      </c>
      <c r="G22" s="100">
        <v>1498</v>
      </c>
      <c r="H22" s="112">
        <f t="shared" si="0"/>
        <v>1498</v>
      </c>
      <c r="I22" s="100">
        <v>0</v>
      </c>
      <c r="J22" s="100">
        <v>0</v>
      </c>
      <c r="K22" s="100">
        <v>0</v>
      </c>
      <c r="L22" s="100">
        <v>-24</v>
      </c>
      <c r="M22" s="112">
        <f t="shared" si="1"/>
        <v>-24</v>
      </c>
      <c r="N22" s="100">
        <v>0</v>
      </c>
      <c r="O22" s="100">
        <v>0</v>
      </c>
      <c r="P22" s="100">
        <v>0</v>
      </c>
      <c r="Q22" s="100">
        <v>-10</v>
      </c>
      <c r="R22" s="112">
        <f t="shared" si="2"/>
        <v>-10</v>
      </c>
      <c r="S22" s="100">
        <v>0</v>
      </c>
      <c r="T22" s="100">
        <f>+T208</f>
        <v>0</v>
      </c>
      <c r="U22" s="100">
        <f>+U208</f>
        <v>0</v>
      </c>
      <c r="V22" s="100">
        <f>+V208</f>
        <v>-227.23050661764719</v>
      </c>
      <c r="W22" s="94">
        <f t="shared" si="3"/>
        <v>-227.23050661764719</v>
      </c>
      <c r="X22" s="100">
        <f>+X208</f>
        <v>0</v>
      </c>
      <c r="Y22" s="100">
        <f>+Y208</f>
        <v>0</v>
      </c>
      <c r="Z22" s="100">
        <f>+Z208</f>
        <v>0</v>
      </c>
      <c r="AA22" s="100">
        <f>+AA208</f>
        <v>-99.999999999999943</v>
      </c>
      <c r="AB22" s="94">
        <f t="shared" si="4"/>
        <v>-99.999999999999943</v>
      </c>
      <c r="AC22" s="100">
        <f>+AC208</f>
        <v>0</v>
      </c>
      <c r="AD22" s="100">
        <f>+AD208</f>
        <v>0</v>
      </c>
      <c r="AE22" s="100">
        <f>+AE208</f>
        <v>0</v>
      </c>
      <c r="AF22" s="100">
        <f>+AF208</f>
        <v>-55.00000000000005</v>
      </c>
      <c r="AG22" s="94">
        <f t="shared" si="5"/>
        <v>-55.00000000000005</v>
      </c>
      <c r="AH22" s="100">
        <f>+AH208</f>
        <v>0</v>
      </c>
      <c r="AI22" s="100">
        <f>+AI208</f>
        <v>0</v>
      </c>
      <c r="AJ22" s="100">
        <f>+AJ208</f>
        <v>0</v>
      </c>
      <c r="AK22" s="100">
        <f>+AK208</f>
        <v>-55.00000000000005</v>
      </c>
      <c r="AL22" s="94">
        <f t="shared" si="6"/>
        <v>-55.00000000000005</v>
      </c>
      <c r="AM22" s="100">
        <f>+AM208</f>
        <v>0</v>
      </c>
      <c r="AN22" s="100">
        <f>+AN208</f>
        <v>0</v>
      </c>
      <c r="AO22" s="100">
        <f>+AO208</f>
        <v>0</v>
      </c>
      <c r="AP22" s="100">
        <f>+AP208</f>
        <v>-55.00000000000005</v>
      </c>
      <c r="AQ22" s="94">
        <f t="shared" si="7"/>
        <v>-55.00000000000005</v>
      </c>
    </row>
    <row r="23" spans="2:47" ht="17.25" customHeight="1" outlineLevel="1" x14ac:dyDescent="0.45">
      <c r="B23" s="303" t="s">
        <v>162</v>
      </c>
      <c r="C23" s="96"/>
      <c r="D23" s="101">
        <v>1663</v>
      </c>
      <c r="E23" s="101">
        <v>1729</v>
      </c>
      <c r="F23" s="101">
        <v>2007</v>
      </c>
      <c r="G23" s="101">
        <v>1852</v>
      </c>
      <c r="H23" s="153">
        <f t="shared" si="0"/>
        <v>7251</v>
      </c>
      <c r="I23" s="101">
        <f>2071+112</f>
        <v>2183</v>
      </c>
      <c r="J23" s="101">
        <f>2201+112</f>
        <v>2313</v>
      </c>
      <c r="K23" s="101">
        <f>2160+113</f>
        <v>2273</v>
      </c>
      <c r="L23" s="101">
        <f>2320+134</f>
        <v>2454</v>
      </c>
      <c r="M23" s="153">
        <f t="shared" si="1"/>
        <v>9223</v>
      </c>
      <c r="N23" s="101">
        <f>2270+146</f>
        <v>2416</v>
      </c>
      <c r="O23" s="101">
        <f>2395+147</f>
        <v>2542</v>
      </c>
      <c r="P23" s="101">
        <f>2408+143</f>
        <v>2551</v>
      </c>
      <c r="Q23" s="101">
        <f>2377+162</f>
        <v>2539</v>
      </c>
      <c r="R23" s="153">
        <f t="shared" si="2"/>
        <v>10048</v>
      </c>
      <c r="S23" s="101">
        <v>2402</v>
      </c>
      <c r="T23" s="101">
        <f>(T70+T149+T166+T176+T180)*(O23/(O15+O16+O17+O20+O23))</f>
        <v>2747.9419691026665</v>
      </c>
      <c r="U23" s="101">
        <f>(U70+U149+U166+U176+U180)*(P23/(P15+P16+P17+P20+P23))</f>
        <v>2730.7472306869681</v>
      </c>
      <c r="V23" s="101">
        <f>(V70+V149+V166+V176+V180)*(Q23/(Q15+Q16+Q17+Q20+Q23))</f>
        <v>2716.2906629562481</v>
      </c>
      <c r="W23" s="99">
        <f t="shared" si="3"/>
        <v>10596.979862745882</v>
      </c>
      <c r="X23" s="101">
        <f>(X70+X149+X166+X176+X180)*(S23/(S15+S16+S17+S20+S23))</f>
        <v>2499.2854902044387</v>
      </c>
      <c r="Y23" s="101">
        <f>(Y70+Y149+Y166+Y176+Y180)*(T23/(T15+T16+T17+T20+T23))</f>
        <v>2852.6300247776439</v>
      </c>
      <c r="Z23" s="101">
        <f>(Z70+Z149+Z166+Z176+Z180)*(U23/(U15+U16+U17+U20+U23))</f>
        <v>2847.6516404743566</v>
      </c>
      <c r="AA23" s="101">
        <f>(AA70+AA149+AA166+AA176+AA180)*(V23/(V15+V16+V17+V20+V23))</f>
        <v>2833.1418539497163</v>
      </c>
      <c r="AB23" s="99">
        <f t="shared" si="4"/>
        <v>11032.709009406157</v>
      </c>
      <c r="AC23" s="101">
        <f>(AC70+AC149+AC166+AC176+AC180)*(X23/(X15+X16+X17+X20+X23))</f>
        <v>2596.3478807414176</v>
      </c>
      <c r="AD23" s="101">
        <f>(AD70+AD149+AD166+AD176+AD180)*(Y23/(Y15+Y16+Y17+Y20+Y23))</f>
        <v>2964.4624561222981</v>
      </c>
      <c r="AE23" s="101">
        <f>(AE70+AE149+AE166+AE176+AE180)*(Z23/(Z15+Z16+Z17+Z20+Z23))</f>
        <v>2965.5772201951495</v>
      </c>
      <c r="AF23" s="101">
        <f>(AF70+AF149+AF166+AF176+AF180)*(AA23/(AA15+AA16+AA17+AA20+AA23))</f>
        <v>2949.1915142541343</v>
      </c>
      <c r="AG23" s="99">
        <f t="shared" si="5"/>
        <v>11475.579071312999</v>
      </c>
      <c r="AH23" s="101">
        <f>(AH70+AH149+AH166+AH176+AH180)*(AC23/(AC15+AC16+AC17+AC20+AC23))</f>
        <v>2739.2580986642183</v>
      </c>
      <c r="AI23" s="101">
        <f>(AI70+AI149+AI166+AI176+AI180)*(AD23/(AD15+AD16+AD17+AD20+AD23))</f>
        <v>3127.6735414441778</v>
      </c>
      <c r="AJ23" s="101">
        <f>(AJ70+AJ149+AJ166+AJ176+AJ180)*(AE23/(AE15+AE16+AE17+AE20+AE23))</f>
        <v>3128.9804753215117</v>
      </c>
      <c r="AK23" s="101">
        <f>(AK70+AK149+AK166+AK176+AK180)*(AF23/(AF15+AF16+AF17+AF20+AF23))</f>
        <v>3107.6085412043981</v>
      </c>
      <c r="AL23" s="99">
        <f t="shared" si="6"/>
        <v>12103.520656634306</v>
      </c>
      <c r="AM23" s="101">
        <f>(AM70+AM149+AM166+AM176+AM180)*(AH23/(AH15+AH16+AH17+AH20+AH23))</f>
        <v>2878.6766139399911</v>
      </c>
      <c r="AN23" s="101">
        <f>(AN70+AN149+AN166+AN176+AN180)*(AI23/(AI15+AI16+AI17+AI20+AI23))</f>
        <v>3285.2164908343916</v>
      </c>
      <c r="AO23" s="101">
        <f>(AO70+AO149+AO166+AO176+AO180)*(AJ23/(AJ15+AJ16+AJ17+AJ20+AJ23))</f>
        <v>3284.8247972519607</v>
      </c>
      <c r="AP23" s="101">
        <f>(AP70+AP149+AP166+AP176+AP180)*(AK23/(AK15+AK16+AK17+AK20+AK23))</f>
        <v>3258.2045645319317</v>
      </c>
      <c r="AQ23" s="99">
        <f t="shared" si="7"/>
        <v>12706.922466558275</v>
      </c>
    </row>
    <row r="24" spans="2:47" s="106" customFormat="1" ht="17.25" customHeight="1" x14ac:dyDescent="0.45">
      <c r="B24" s="295" t="s">
        <v>67</v>
      </c>
      <c r="C24" s="102"/>
      <c r="D24" s="104">
        <f t="shared" ref="D24:AQ24" si="8">SUM(D15:D23)</f>
        <v>11135</v>
      </c>
      <c r="E24" s="104">
        <f t="shared" si="8"/>
        <v>11316</v>
      </c>
      <c r="F24" s="104">
        <f t="shared" si="8"/>
        <v>11790</v>
      </c>
      <c r="G24" s="104">
        <f t="shared" si="8"/>
        <v>13047</v>
      </c>
      <c r="H24" s="105">
        <f t="shared" si="8"/>
        <v>47288</v>
      </c>
      <c r="I24" s="104">
        <f t="shared" si="8"/>
        <v>13511</v>
      </c>
      <c r="J24" s="104">
        <f t="shared" si="8"/>
        <v>13876</v>
      </c>
      <c r="K24" s="104">
        <f t="shared" si="8"/>
        <v>14085</v>
      </c>
      <c r="L24" s="104">
        <f t="shared" si="8"/>
        <v>14281</v>
      </c>
      <c r="M24" s="105">
        <f t="shared" si="8"/>
        <v>55753</v>
      </c>
      <c r="N24" s="104">
        <f t="shared" si="8"/>
        <v>14326</v>
      </c>
      <c r="O24" s="104">
        <f t="shared" si="8"/>
        <v>15198</v>
      </c>
      <c r="P24" s="104">
        <f t="shared" si="8"/>
        <v>15668</v>
      </c>
      <c r="Q24" s="104">
        <f t="shared" si="8"/>
        <v>15986</v>
      </c>
      <c r="R24" s="105">
        <f t="shared" si="8"/>
        <v>61178</v>
      </c>
      <c r="S24" s="104">
        <f>SUM(S15:S23)</f>
        <v>15981</v>
      </c>
      <c r="T24" s="104">
        <f t="shared" si="8"/>
        <v>16462.625778197704</v>
      </c>
      <c r="U24" s="104">
        <f t="shared" si="8"/>
        <v>16626.701940596948</v>
      </c>
      <c r="V24" s="104">
        <f t="shared" si="8"/>
        <v>16408.979298215916</v>
      </c>
      <c r="W24" s="103">
        <f t="shared" si="8"/>
        <v>65479.307017010564</v>
      </c>
      <c r="X24" s="104">
        <f t="shared" si="8"/>
        <v>16500.790809923667</v>
      </c>
      <c r="Y24" s="104">
        <f t="shared" si="8"/>
        <v>17071.550641869744</v>
      </c>
      <c r="Z24" s="104">
        <f t="shared" si="8"/>
        <v>17384.477806820036</v>
      </c>
      <c r="AA24" s="104">
        <f t="shared" si="8"/>
        <v>17198.075734259761</v>
      </c>
      <c r="AB24" s="103">
        <f t="shared" si="8"/>
        <v>68154.894992873218</v>
      </c>
      <c r="AC24" s="104">
        <f t="shared" si="8"/>
        <v>17202.077721873949</v>
      </c>
      <c r="AD24" s="104">
        <f t="shared" si="8"/>
        <v>17799.663581955338</v>
      </c>
      <c r="AE24" s="104">
        <f t="shared" si="8"/>
        <v>18162.880830746191</v>
      </c>
      <c r="AF24" s="104">
        <f t="shared" si="8"/>
        <v>18014.997372673082</v>
      </c>
      <c r="AG24" s="103">
        <f t="shared" si="8"/>
        <v>71179.619507248557</v>
      </c>
      <c r="AH24" s="104">
        <f t="shared" si="8"/>
        <v>18219.437259225888</v>
      </c>
      <c r="AI24" s="104">
        <f t="shared" si="8"/>
        <v>18848.760398826231</v>
      </c>
      <c r="AJ24" s="104">
        <f t="shared" si="8"/>
        <v>19233.91217522266</v>
      </c>
      <c r="AK24" s="104">
        <f t="shared" si="8"/>
        <v>19059.204327494954</v>
      </c>
      <c r="AL24" s="103">
        <f t="shared" si="8"/>
        <v>75361.314160769733</v>
      </c>
      <c r="AM24" s="104">
        <f t="shared" si="8"/>
        <v>19189.114413357522</v>
      </c>
      <c r="AN24" s="104">
        <f t="shared" si="8"/>
        <v>19839.611442684116</v>
      </c>
      <c r="AO24" s="104">
        <f t="shared" si="8"/>
        <v>20234.659111125955</v>
      </c>
      <c r="AP24" s="104">
        <f t="shared" si="8"/>
        <v>20032.265156970589</v>
      </c>
      <c r="AQ24" s="103">
        <f t="shared" si="8"/>
        <v>79295.650124138177</v>
      </c>
    </row>
    <row r="25" spans="2:47" x14ac:dyDescent="0.3">
      <c r="B25" s="295" t="s">
        <v>163</v>
      </c>
      <c r="C25" s="97"/>
      <c r="D25" s="109">
        <f t="shared" ref="D25:AQ25" si="9">D13-D24</f>
        <v>1144</v>
      </c>
      <c r="E25" s="109">
        <f t="shared" si="9"/>
        <v>1137</v>
      </c>
      <c r="F25" s="109">
        <f t="shared" si="9"/>
        <v>864</v>
      </c>
      <c r="G25" s="109">
        <f t="shared" si="9"/>
        <v>-68</v>
      </c>
      <c r="H25" s="110">
        <f t="shared" si="9"/>
        <v>3077</v>
      </c>
      <c r="I25" s="109">
        <f>I13-I24</f>
        <v>1152</v>
      </c>
      <c r="J25" s="109">
        <f t="shared" si="9"/>
        <v>1055</v>
      </c>
      <c r="K25" s="109">
        <f t="shared" si="9"/>
        <v>912</v>
      </c>
      <c r="L25" s="109">
        <f t="shared" si="9"/>
        <v>1447</v>
      </c>
      <c r="M25" s="110">
        <f t="shared" si="9"/>
        <v>4566</v>
      </c>
      <c r="N25" s="109">
        <f t="shared" si="9"/>
        <v>971</v>
      </c>
      <c r="O25" s="109">
        <f t="shared" si="9"/>
        <v>1115</v>
      </c>
      <c r="P25" s="109">
        <f t="shared" si="9"/>
        <v>858</v>
      </c>
      <c r="Q25" s="109">
        <f t="shared" si="9"/>
        <v>1328.1257859999969</v>
      </c>
      <c r="R25" s="110">
        <f t="shared" si="9"/>
        <v>4272.1257859999969</v>
      </c>
      <c r="S25" s="109">
        <f>S13-S24</f>
        <v>1071</v>
      </c>
      <c r="T25" s="109">
        <f t="shared" si="9"/>
        <v>1309.8742218022962</v>
      </c>
      <c r="U25" s="109">
        <f t="shared" si="9"/>
        <v>1262.0980594030516</v>
      </c>
      <c r="V25" s="109">
        <f t="shared" si="9"/>
        <v>2283.3207017840796</v>
      </c>
      <c r="W25" s="108">
        <f t="shared" si="9"/>
        <v>5926.292982989442</v>
      </c>
      <c r="X25" s="109">
        <f t="shared" si="9"/>
        <v>1524.0991900763365</v>
      </c>
      <c r="Y25" s="109">
        <f t="shared" si="9"/>
        <v>1567.9597717072429</v>
      </c>
      <c r="Z25" s="109">
        <f t="shared" si="9"/>
        <v>1470.168861771006</v>
      </c>
      <c r="AA25" s="109">
        <f t="shared" si="9"/>
        <v>2527.3820273222045</v>
      </c>
      <c r="AB25" s="108">
        <f t="shared" si="9"/>
        <v>7089.60985087679</v>
      </c>
      <c r="AC25" s="109">
        <f t="shared" si="9"/>
        <v>1826.5844528573289</v>
      </c>
      <c r="AD25" s="109">
        <f t="shared" si="9"/>
        <v>1852.6696703236448</v>
      </c>
      <c r="AE25" s="109">
        <f t="shared" si="9"/>
        <v>1767.6204050068845</v>
      </c>
      <c r="AF25" s="109">
        <f t="shared" si="9"/>
        <v>2848.783196997756</v>
      </c>
      <c r="AG25" s="108">
        <f t="shared" si="9"/>
        <v>8295.6577251856215</v>
      </c>
      <c r="AH25" s="109">
        <f t="shared" si="9"/>
        <v>1820.1910095013627</v>
      </c>
      <c r="AI25" s="109">
        <f t="shared" si="9"/>
        <v>1818.4533960752997</v>
      </c>
      <c r="AJ25" s="109">
        <f t="shared" si="9"/>
        <v>1736.8165128546716</v>
      </c>
      <c r="AK25" s="109">
        <f t="shared" si="9"/>
        <v>2865.8459288509694</v>
      </c>
      <c r="AL25" s="108">
        <f t="shared" si="9"/>
        <v>8241.3068472822924</v>
      </c>
      <c r="AM25" s="109">
        <f t="shared" si="9"/>
        <v>1829.0526928317522</v>
      </c>
      <c r="AN25" s="109">
        <f t="shared" si="9"/>
        <v>1797.8350694802866</v>
      </c>
      <c r="AO25" s="109">
        <f t="shared" si="9"/>
        <v>1719.7321788836307</v>
      </c>
      <c r="AP25" s="109">
        <f t="shared" si="9"/>
        <v>2891.0213705123278</v>
      </c>
      <c r="AQ25" s="108">
        <f t="shared" si="9"/>
        <v>8237.6413117080083</v>
      </c>
    </row>
    <row r="26" spans="2:47" s="565" customFormat="1" ht="16.2" outlineLevel="1" x14ac:dyDescent="0.45">
      <c r="B26" s="560" t="s">
        <v>357</v>
      </c>
      <c r="C26" s="561"/>
      <c r="D26" s="562">
        <f t="shared" ref="D26:AQ26" si="10">+D236+D238+D240+D242</f>
        <v>0</v>
      </c>
      <c r="E26" s="562">
        <f t="shared" si="10"/>
        <v>0</v>
      </c>
      <c r="F26" s="562">
        <f t="shared" si="10"/>
        <v>0</v>
      </c>
      <c r="G26" s="562">
        <f t="shared" si="10"/>
        <v>0</v>
      </c>
      <c r="H26" s="563">
        <f t="shared" si="10"/>
        <v>0</v>
      </c>
      <c r="I26" s="562">
        <f t="shared" si="10"/>
        <v>67.5</v>
      </c>
      <c r="J26" s="562">
        <f t="shared" si="10"/>
        <v>57.5</v>
      </c>
      <c r="K26" s="562">
        <f t="shared" si="10"/>
        <v>78</v>
      </c>
      <c r="L26" s="562">
        <f t="shared" si="10"/>
        <v>185</v>
      </c>
      <c r="M26" s="563">
        <f>+M236+M238+M240+M242</f>
        <v>388</v>
      </c>
      <c r="N26" s="562">
        <f t="shared" si="10"/>
        <v>119</v>
      </c>
      <c r="O26" s="562">
        <f t="shared" si="10"/>
        <v>122</v>
      </c>
      <c r="P26" s="562">
        <f t="shared" si="10"/>
        <v>106</v>
      </c>
      <c r="Q26" s="562">
        <f t="shared" si="10"/>
        <v>507</v>
      </c>
      <c r="R26" s="563">
        <f t="shared" si="10"/>
        <v>855</v>
      </c>
      <c r="S26" s="562">
        <f t="shared" si="10"/>
        <v>121</v>
      </c>
      <c r="T26" s="562">
        <f t="shared" si="10"/>
        <v>111.66666666666667</v>
      </c>
      <c r="U26" s="562">
        <f t="shared" si="10"/>
        <v>111.66666666666667</v>
      </c>
      <c r="V26" s="562">
        <f t="shared" si="10"/>
        <v>-115.56383995098052</v>
      </c>
      <c r="W26" s="564">
        <f t="shared" si="10"/>
        <v>228.76949338235286</v>
      </c>
      <c r="X26" s="562">
        <f t="shared" si="10"/>
        <v>68.75</v>
      </c>
      <c r="Y26" s="562">
        <f t="shared" si="10"/>
        <v>68.75</v>
      </c>
      <c r="Z26" s="562">
        <f t="shared" si="10"/>
        <v>68.75</v>
      </c>
      <c r="AA26" s="562">
        <f t="shared" si="10"/>
        <v>-31.249999999999943</v>
      </c>
      <c r="AB26" s="564">
        <f t="shared" si="10"/>
        <v>175.00000000000006</v>
      </c>
      <c r="AC26" s="562">
        <f t="shared" si="10"/>
        <v>0</v>
      </c>
      <c r="AD26" s="562">
        <f t="shared" si="10"/>
        <v>0</v>
      </c>
      <c r="AE26" s="562">
        <f t="shared" si="10"/>
        <v>0</v>
      </c>
      <c r="AF26" s="562">
        <f t="shared" si="10"/>
        <v>-55.00000000000005</v>
      </c>
      <c r="AG26" s="564">
        <f t="shared" si="10"/>
        <v>-55.00000000000005</v>
      </c>
      <c r="AH26" s="562">
        <f t="shared" si="10"/>
        <v>0</v>
      </c>
      <c r="AI26" s="562">
        <f t="shared" si="10"/>
        <v>0</v>
      </c>
      <c r="AJ26" s="562">
        <f t="shared" si="10"/>
        <v>0</v>
      </c>
      <c r="AK26" s="562">
        <f t="shared" si="10"/>
        <v>-55.00000000000005</v>
      </c>
      <c r="AL26" s="564">
        <f t="shared" si="10"/>
        <v>-55.00000000000005</v>
      </c>
      <c r="AM26" s="562">
        <f t="shared" si="10"/>
        <v>0</v>
      </c>
      <c r="AN26" s="562">
        <f t="shared" si="10"/>
        <v>0</v>
      </c>
      <c r="AO26" s="562">
        <f t="shared" si="10"/>
        <v>0</v>
      </c>
      <c r="AP26" s="562">
        <f t="shared" si="10"/>
        <v>-55.00000000000005</v>
      </c>
      <c r="AQ26" s="564">
        <f t="shared" si="10"/>
        <v>-55.00000000000005</v>
      </c>
    </row>
    <row r="27" spans="2:47" s="565" customFormat="1" outlineLevel="1" x14ac:dyDescent="0.3">
      <c r="B27" s="566" t="s">
        <v>358</v>
      </c>
      <c r="C27" s="567"/>
      <c r="D27" s="568">
        <f t="shared" ref="D27:AQ27" si="11">+D25+D26</f>
        <v>1144</v>
      </c>
      <c r="E27" s="568">
        <f t="shared" si="11"/>
        <v>1137</v>
      </c>
      <c r="F27" s="568">
        <f t="shared" si="11"/>
        <v>864</v>
      </c>
      <c r="G27" s="568">
        <f t="shared" si="11"/>
        <v>-68</v>
      </c>
      <c r="H27" s="569">
        <f t="shared" si="11"/>
        <v>3077</v>
      </c>
      <c r="I27" s="568">
        <f t="shared" si="11"/>
        <v>1219.5</v>
      </c>
      <c r="J27" s="568">
        <f t="shared" si="11"/>
        <v>1112.5</v>
      </c>
      <c r="K27" s="568">
        <f t="shared" si="11"/>
        <v>990</v>
      </c>
      <c r="L27" s="568">
        <f t="shared" si="11"/>
        <v>1632</v>
      </c>
      <c r="M27" s="569">
        <f>+M25+M26</f>
        <v>4954</v>
      </c>
      <c r="N27" s="568">
        <f t="shared" si="11"/>
        <v>1090</v>
      </c>
      <c r="O27" s="568">
        <f t="shared" si="11"/>
        <v>1237</v>
      </c>
      <c r="P27" s="568">
        <f t="shared" si="11"/>
        <v>964</v>
      </c>
      <c r="Q27" s="568">
        <f t="shared" si="11"/>
        <v>1835.1257859999969</v>
      </c>
      <c r="R27" s="569">
        <f t="shared" si="11"/>
        <v>5127.1257859999969</v>
      </c>
      <c r="S27" s="568">
        <f>+S25+S26</f>
        <v>1192</v>
      </c>
      <c r="T27" s="568">
        <f t="shared" si="11"/>
        <v>1421.540888468963</v>
      </c>
      <c r="U27" s="568">
        <f t="shared" si="11"/>
        <v>1373.7647260697183</v>
      </c>
      <c r="V27" s="568">
        <f t="shared" si="11"/>
        <v>2167.7568618330993</v>
      </c>
      <c r="W27" s="570">
        <f t="shared" si="11"/>
        <v>6155.0624763717951</v>
      </c>
      <c r="X27" s="568">
        <f t="shared" si="11"/>
        <v>1592.8491900763365</v>
      </c>
      <c r="Y27" s="568">
        <f t="shared" si="11"/>
        <v>1636.7097717072429</v>
      </c>
      <c r="Z27" s="568">
        <f t="shared" si="11"/>
        <v>1538.918861771006</v>
      </c>
      <c r="AA27" s="568">
        <f t="shared" si="11"/>
        <v>2496.1320273222045</v>
      </c>
      <c r="AB27" s="570">
        <f t="shared" si="11"/>
        <v>7264.60985087679</v>
      </c>
      <c r="AC27" s="568">
        <f t="shared" si="11"/>
        <v>1826.5844528573289</v>
      </c>
      <c r="AD27" s="568">
        <f t="shared" si="11"/>
        <v>1852.6696703236448</v>
      </c>
      <c r="AE27" s="568">
        <f t="shared" si="11"/>
        <v>1767.6204050068845</v>
      </c>
      <c r="AF27" s="568">
        <f t="shared" si="11"/>
        <v>2793.783196997756</v>
      </c>
      <c r="AG27" s="570">
        <f t="shared" si="11"/>
        <v>8240.6577251856215</v>
      </c>
      <c r="AH27" s="568">
        <f t="shared" si="11"/>
        <v>1820.1910095013627</v>
      </c>
      <c r="AI27" s="568">
        <f t="shared" si="11"/>
        <v>1818.4533960752997</v>
      </c>
      <c r="AJ27" s="568">
        <f t="shared" si="11"/>
        <v>1736.8165128546716</v>
      </c>
      <c r="AK27" s="568">
        <f t="shared" si="11"/>
        <v>2810.8459288509694</v>
      </c>
      <c r="AL27" s="570">
        <f t="shared" si="11"/>
        <v>8186.3068472822924</v>
      </c>
      <c r="AM27" s="568">
        <f t="shared" si="11"/>
        <v>1829.0526928317522</v>
      </c>
      <c r="AN27" s="568">
        <f t="shared" si="11"/>
        <v>1797.8350694802866</v>
      </c>
      <c r="AO27" s="568">
        <f t="shared" si="11"/>
        <v>1719.7321788836307</v>
      </c>
      <c r="AP27" s="568">
        <f t="shared" si="11"/>
        <v>2836.0213705123278</v>
      </c>
      <c r="AQ27" s="570">
        <f t="shared" si="11"/>
        <v>8182.6413117080083</v>
      </c>
    </row>
    <row r="28" spans="2:47" x14ac:dyDescent="0.3">
      <c r="B28" s="95" t="s">
        <v>164</v>
      </c>
      <c r="C28" s="97"/>
      <c r="D28" s="109"/>
      <c r="E28" s="109"/>
      <c r="F28" s="109"/>
      <c r="G28" s="109"/>
      <c r="H28" s="110"/>
      <c r="I28" s="109"/>
      <c r="J28" s="109"/>
      <c r="K28" s="109"/>
      <c r="L28" s="109"/>
      <c r="M28" s="110"/>
      <c r="N28" s="109"/>
      <c r="O28" s="109"/>
      <c r="P28" s="109"/>
      <c r="Q28" s="109"/>
      <c r="R28" s="110"/>
      <c r="S28" s="528"/>
      <c r="T28" s="109"/>
      <c r="U28" s="109"/>
      <c r="V28" s="109"/>
      <c r="W28" s="108"/>
      <c r="X28" s="109"/>
      <c r="Y28" s="109"/>
      <c r="Z28" s="109"/>
      <c r="AA28" s="109"/>
      <c r="AB28" s="108"/>
      <c r="AC28" s="109"/>
      <c r="AD28" s="109"/>
      <c r="AE28" s="109"/>
      <c r="AF28" s="109"/>
      <c r="AG28" s="108"/>
      <c r="AH28" s="109"/>
      <c r="AI28" s="109"/>
      <c r="AJ28" s="109"/>
      <c r="AK28" s="109"/>
      <c r="AL28" s="108"/>
      <c r="AM28" s="109"/>
      <c r="AN28" s="109"/>
      <c r="AO28" s="109"/>
      <c r="AP28" s="109"/>
      <c r="AQ28" s="108"/>
    </row>
    <row r="29" spans="2:47" outlineLevel="1" x14ac:dyDescent="0.3">
      <c r="B29" s="771" t="s">
        <v>339</v>
      </c>
      <c r="C29" s="772"/>
      <c r="D29" s="100"/>
      <c r="E29" s="100"/>
      <c r="F29" s="100"/>
      <c r="G29" s="100"/>
      <c r="H29" s="112">
        <v>-336</v>
      </c>
      <c r="I29" s="100"/>
      <c r="J29" s="100"/>
      <c r="K29" s="100"/>
      <c r="L29" s="100"/>
      <c r="M29" s="112">
        <v>-512</v>
      </c>
      <c r="N29" s="100"/>
      <c r="O29" s="100"/>
      <c r="P29" s="100"/>
      <c r="Q29" s="100"/>
      <c r="R29" s="112">
        <v>-558</v>
      </c>
      <c r="S29" s="100">
        <v>-203</v>
      </c>
      <c r="T29" s="100">
        <f>+(S262+S263+S268)*T228/4</f>
        <v>-148.26000000000002</v>
      </c>
      <c r="U29" s="100">
        <f>+(T262+T263+T268)*U228/4</f>
        <v>-153.21419831781012</v>
      </c>
      <c r="V29" s="100">
        <f>+(U262+U263+U268)*V228/4</f>
        <v>-157.86450944456934</v>
      </c>
      <c r="W29" s="94">
        <f>SUM(S29:V29)</f>
        <v>-662.33870776237939</v>
      </c>
      <c r="X29" s="100">
        <f>+(V262+V263+V268)*X228/4</f>
        <v>-180.00922165148566</v>
      </c>
      <c r="Y29" s="100">
        <f>+(X262+X263+X268)*Y228/4</f>
        <v>-185.60661526164074</v>
      </c>
      <c r="Z29" s="100">
        <f>+(Y262+Y263+Y268)*Z228/4</f>
        <v>-192.15511280968857</v>
      </c>
      <c r="AA29" s="100">
        <f>+(Z262+Z263+Z268)*AA228/4</f>
        <v>-198.1070185253804</v>
      </c>
      <c r="AB29" s="94">
        <f>SUM(X29:AA29)</f>
        <v>-755.87796824819543</v>
      </c>
      <c r="AC29" s="100">
        <f>+(AA262+AA263+AA268)*AC228/4</f>
        <v>-207.4312852136909</v>
      </c>
      <c r="AD29" s="100">
        <f>+(AC262+AC263+AC268)*AD228/4</f>
        <v>-214.81323219595572</v>
      </c>
      <c r="AE29" s="100">
        <f>+(AD262+AD263+AD268)*AE228/4</f>
        <v>-222.47757674912</v>
      </c>
      <c r="AF29" s="100">
        <f>+(AE262+AE263+AE268)*AF228/4</f>
        <v>-229.61174966914876</v>
      </c>
      <c r="AG29" s="94">
        <f>SUM(AC29:AF29)</f>
        <v>-874.33384382791542</v>
      </c>
      <c r="AH29" s="100">
        <f>+(AF262+AF263+AF268)*AH228/4</f>
        <v>-240.21631968553677</v>
      </c>
      <c r="AI29" s="100">
        <f>+(AH262+AH263+AH268)*AI228/4</f>
        <v>-246.25198894592566</v>
      </c>
      <c r="AJ29" s="100">
        <f>+(AI262+AI263+AI268)*AJ228/4</f>
        <v>-252.35728690135034</v>
      </c>
      <c r="AK29" s="100">
        <f>+(AJ262+AJ263+AJ268)*AK228/4</f>
        <v>-258.06480999151233</v>
      </c>
      <c r="AL29" s="94">
        <f>SUM(AH29:AK29)</f>
        <v>-996.89040552432505</v>
      </c>
      <c r="AM29" s="100">
        <f>+(AK262+AK263+AK268)*AM228/4</f>
        <v>-268.75557570378368</v>
      </c>
      <c r="AN29" s="100">
        <f>+(AM262+AM263+AM268)*AN228/4</f>
        <v>-274.81209947161744</v>
      </c>
      <c r="AO29" s="100">
        <f>+(AN262+AN263+AN268)*AO228/4</f>
        <v>-280.79869668185955</v>
      </c>
      <c r="AP29" s="100">
        <f>+(AO262+AO263+AO268)*AP228/4</f>
        <v>-286.45540065298991</v>
      </c>
      <c r="AQ29" s="94">
        <f>SUM(AM29:AP29)</f>
        <v>-1110.8217725102506</v>
      </c>
    </row>
    <row r="30" spans="2:47" ht="16.2" outlineLevel="1" x14ac:dyDescent="0.45">
      <c r="B30" s="303" t="s">
        <v>340</v>
      </c>
      <c r="C30" s="304"/>
      <c r="D30" s="100"/>
      <c r="E30" s="100"/>
      <c r="F30" s="100"/>
      <c r="G30" s="100"/>
      <c r="H30" s="153">
        <v>21</v>
      </c>
      <c r="I30" s="100"/>
      <c r="J30" s="100"/>
      <c r="K30" s="100"/>
      <c r="L30" s="100"/>
      <c r="M30" s="153">
        <v>33</v>
      </c>
      <c r="N30" s="100"/>
      <c r="O30" s="100"/>
      <c r="P30" s="100"/>
      <c r="Q30" s="100"/>
      <c r="R30" s="153">
        <v>48</v>
      </c>
      <c r="S30" s="242">
        <v>91</v>
      </c>
      <c r="T30" s="101">
        <f>+(S249)*T227/4</f>
        <v>7.6996588044999896</v>
      </c>
      <c r="U30" s="101">
        <f>+(T249)*U227/4</f>
        <v>9.3105659016409188</v>
      </c>
      <c r="V30" s="101">
        <f>+(U249)*V227/4</f>
        <v>9.3626633366612726</v>
      </c>
      <c r="W30" s="99">
        <f>SUM(S30:V30)</f>
        <v>117.37288804280217</v>
      </c>
      <c r="X30" s="101">
        <f>+(V249)*X227/4</f>
        <v>36.856307226024683</v>
      </c>
      <c r="Y30" s="101">
        <f>+(X249)*Y227/4</f>
        <v>40.93914979336877</v>
      </c>
      <c r="Z30" s="101">
        <f>+(Y249)*Z227/4</f>
        <v>45.693533559604091</v>
      </c>
      <c r="AA30" s="101">
        <f>+(Z249)*AA227/4</f>
        <v>49.412412122801882</v>
      </c>
      <c r="AB30" s="99">
        <f>SUM(X30:AA30)</f>
        <v>172.90140270179944</v>
      </c>
      <c r="AC30" s="101">
        <f>+(AA249)*AC227/4</f>
        <v>55.897773592302499</v>
      </c>
      <c r="AD30" s="101">
        <f>+(AC249)*AD227/4</f>
        <v>60.909330583294121</v>
      </c>
      <c r="AE30" s="101">
        <f>+(AD249)*AE227/4</f>
        <v>67.01233088099508</v>
      </c>
      <c r="AF30" s="101">
        <f>+(AE249)*AF227/4</f>
        <v>70.710201942061474</v>
      </c>
      <c r="AG30" s="99">
        <f>SUM(AC30:AF30)</f>
        <v>254.52963699865319</v>
      </c>
      <c r="AH30" s="101">
        <f>+(AF249)*AH227/4</f>
        <v>77.854332815999385</v>
      </c>
      <c r="AI30" s="101">
        <f>+(AH249)*AI227/4</f>
        <v>81.986838961824105</v>
      </c>
      <c r="AJ30" s="101">
        <f>+(AI249)*AJ227/4</f>
        <v>86.724157182556809</v>
      </c>
      <c r="AK30" s="101">
        <f>+(AJ249)*AK227/4</f>
        <v>89.433712871937743</v>
      </c>
      <c r="AL30" s="99">
        <f>SUM(AH30:AK30)</f>
        <v>335.99904183231803</v>
      </c>
      <c r="AM30" s="101">
        <f>+(AK249)*AM227/4</f>
        <v>96.484369965892441</v>
      </c>
      <c r="AN30" s="101">
        <f>+(AM249)*AN227/4</f>
        <v>100.66487080316216</v>
      </c>
      <c r="AO30" s="101">
        <f>+(AN249)*AO227/4</f>
        <v>105.44908309834594</v>
      </c>
      <c r="AP30" s="101">
        <f>+(AO249)*AP227/4</f>
        <v>108.02399417235026</v>
      </c>
      <c r="AQ30" s="99">
        <f>SUM(AM30:AP30)</f>
        <v>410.62231803975078</v>
      </c>
      <c r="AU30" s="536"/>
    </row>
    <row r="31" spans="2:47" s="55" customFormat="1" outlineLevel="1" x14ac:dyDescent="0.3">
      <c r="B31" s="270" t="s">
        <v>341</v>
      </c>
      <c r="C31" s="296"/>
      <c r="D31" s="109">
        <v>-63</v>
      </c>
      <c r="E31" s="109">
        <v>-74</v>
      </c>
      <c r="F31" s="109">
        <v>-81</v>
      </c>
      <c r="G31" s="109">
        <v>-97</v>
      </c>
      <c r="H31" s="110">
        <f>SUM(H29:H30)</f>
        <v>-315</v>
      </c>
      <c r="I31" s="109">
        <v>-113</v>
      </c>
      <c r="J31" s="109">
        <v>-119</v>
      </c>
      <c r="K31" s="109">
        <v>-122</v>
      </c>
      <c r="L31" s="109">
        <v>-125</v>
      </c>
      <c r="M31" s="110">
        <f>SUM(M29:M30)</f>
        <v>-479</v>
      </c>
      <c r="N31" s="109">
        <v>-114</v>
      </c>
      <c r="O31" s="109">
        <v>-124</v>
      </c>
      <c r="P31" s="109">
        <v>-125</v>
      </c>
      <c r="Q31" s="109">
        <v>-147</v>
      </c>
      <c r="R31" s="110">
        <f>SUM(R29:R30)</f>
        <v>-510</v>
      </c>
      <c r="S31" s="109">
        <f>SUM(S29:S30)</f>
        <v>-112</v>
      </c>
      <c r="T31" s="109">
        <f t="shared" ref="T31:AQ31" si="12">SUM(T29:T30)</f>
        <v>-140.56034119550003</v>
      </c>
      <c r="U31" s="109">
        <f t="shared" si="12"/>
        <v>-143.90363241616919</v>
      </c>
      <c r="V31" s="109">
        <f t="shared" si="12"/>
        <v>-148.50184610790805</v>
      </c>
      <c r="W31" s="108">
        <f t="shared" si="12"/>
        <v>-544.96581971957721</v>
      </c>
      <c r="X31" s="109">
        <f t="shared" si="12"/>
        <v>-143.15291442546098</v>
      </c>
      <c r="Y31" s="109">
        <f t="shared" si="12"/>
        <v>-144.66746546827198</v>
      </c>
      <c r="Z31" s="109">
        <f t="shared" si="12"/>
        <v>-146.46157925008447</v>
      </c>
      <c r="AA31" s="109">
        <f t="shared" si="12"/>
        <v>-148.69460640257853</v>
      </c>
      <c r="AB31" s="108">
        <f t="shared" si="12"/>
        <v>-582.97656554639593</v>
      </c>
      <c r="AC31" s="109">
        <f t="shared" si="12"/>
        <v>-151.53351162138841</v>
      </c>
      <c r="AD31" s="109">
        <f t="shared" si="12"/>
        <v>-153.9039016126616</v>
      </c>
      <c r="AE31" s="109">
        <f t="shared" si="12"/>
        <v>-155.46524586812492</v>
      </c>
      <c r="AF31" s="109">
        <f t="shared" si="12"/>
        <v>-158.90154772708729</v>
      </c>
      <c r="AG31" s="108">
        <f t="shared" si="12"/>
        <v>-619.80420682926228</v>
      </c>
      <c r="AH31" s="109">
        <f t="shared" si="12"/>
        <v>-162.36198686953739</v>
      </c>
      <c r="AI31" s="109">
        <f t="shared" si="12"/>
        <v>-164.26514998410155</v>
      </c>
      <c r="AJ31" s="109">
        <f t="shared" si="12"/>
        <v>-165.63312971879353</v>
      </c>
      <c r="AK31" s="109">
        <f t="shared" si="12"/>
        <v>-168.63109711957458</v>
      </c>
      <c r="AL31" s="108">
        <f t="shared" si="12"/>
        <v>-660.89136369200696</v>
      </c>
      <c r="AM31" s="109">
        <f t="shared" si="12"/>
        <v>-172.27120573789125</v>
      </c>
      <c r="AN31" s="109">
        <f t="shared" si="12"/>
        <v>-174.14722866845528</v>
      </c>
      <c r="AO31" s="109">
        <f t="shared" si="12"/>
        <v>-175.34961358351362</v>
      </c>
      <c r="AP31" s="109">
        <f t="shared" si="12"/>
        <v>-178.43140648063965</v>
      </c>
      <c r="AQ31" s="108">
        <f t="shared" si="12"/>
        <v>-700.19945447049986</v>
      </c>
      <c r="AU31" s="537"/>
    </row>
    <row r="32" spans="2:47" outlineLevel="1" x14ac:dyDescent="0.3">
      <c r="B32" s="771" t="s">
        <v>512</v>
      </c>
      <c r="C32" s="772"/>
      <c r="D32" s="100"/>
      <c r="E32" s="100"/>
      <c r="F32" s="100"/>
      <c r="G32" s="100"/>
      <c r="H32" s="112">
        <f>SUM(D32:G32)</f>
        <v>0</v>
      </c>
      <c r="I32" s="100">
        <v>112</v>
      </c>
      <c r="J32" s="100">
        <v>112</v>
      </c>
      <c r="K32" s="100">
        <v>113</v>
      </c>
      <c r="L32" s="100">
        <v>134</v>
      </c>
      <c r="M32" s="112">
        <f>SUM(I32:L32)</f>
        <v>471</v>
      </c>
      <c r="N32" s="100">
        <v>146</v>
      </c>
      <c r="O32" s="100">
        <v>147</v>
      </c>
      <c r="P32" s="100">
        <v>143</v>
      </c>
      <c r="Q32" s="100">
        <v>162</v>
      </c>
      <c r="R32" s="112">
        <f>SUM(N32:Q32)</f>
        <v>598</v>
      </c>
      <c r="S32" s="100">
        <v>158</v>
      </c>
      <c r="T32" s="244">
        <f>AVERAGE(S32,Q32,P32,O32)</f>
        <v>152.5</v>
      </c>
      <c r="U32" s="244">
        <f>AVERAGE(T32,S32,Q32,P32)</f>
        <v>153.875</v>
      </c>
      <c r="V32" s="244">
        <f>AVERAGE(U32,T32,S32,Q32)</f>
        <v>156.59375</v>
      </c>
      <c r="W32" s="112">
        <f>SUM(S32:V32)</f>
        <v>620.96875</v>
      </c>
      <c r="X32" s="244">
        <f>AVERAGE(V32,U32,T32,S32)</f>
        <v>155.2421875</v>
      </c>
      <c r="Y32" s="244">
        <f>AVERAGE(X32,V32,U32,T32)</f>
        <v>154.552734375</v>
      </c>
      <c r="Z32" s="244">
        <f>AVERAGE(Y32,X32,V32,U32)</f>
        <v>155.06591796875</v>
      </c>
      <c r="AA32" s="244">
        <f>AVERAGE(Z32,Y32,X32,V32)</f>
        <v>155.3636474609375</v>
      </c>
      <c r="AB32" s="112">
        <f>SUM(X32:AA32)</f>
        <v>620.2244873046875</v>
      </c>
      <c r="AC32" s="244">
        <f>AVERAGE(AA32,Z32,Y32,X32)</f>
        <v>155.05612182617188</v>
      </c>
      <c r="AD32" s="244">
        <f>AVERAGE(AC32,AA32,Z32,Y32)</f>
        <v>155.00960540771484</v>
      </c>
      <c r="AE32" s="244">
        <f>AVERAGE(AD32,AC32,AA32,Z32)</f>
        <v>155.12382316589355</v>
      </c>
      <c r="AF32" s="244">
        <f>AVERAGE(AE32,AD32,AC32,AA32)</f>
        <v>155.13829946517944</v>
      </c>
      <c r="AG32" s="112">
        <f>SUM(AC32:AF32)</f>
        <v>620.32784986495972</v>
      </c>
      <c r="AH32" s="244">
        <f>AVERAGE(AF32,AE32,AD32,AC32)</f>
        <v>155.08196246623993</v>
      </c>
      <c r="AI32" s="244">
        <f>AVERAGE(AH32,AF32,AE32,AD32)</f>
        <v>155.08842262625694</v>
      </c>
      <c r="AJ32" s="244">
        <f>AVERAGE(AI32,AH32,AF32,AE32)</f>
        <v>155.10812693089247</v>
      </c>
      <c r="AK32" s="244">
        <f>AVERAGE(AJ32,AI32,AH32,AF32)</f>
        <v>155.1042028721422</v>
      </c>
      <c r="AL32" s="112">
        <f>SUM(AH32:AK32)</f>
        <v>620.38271489553154</v>
      </c>
      <c r="AM32" s="244">
        <f>AVERAGE(AK32,AJ32,AI32,AH32)</f>
        <v>155.09567872388288</v>
      </c>
      <c r="AN32" s="244">
        <f>AVERAGE(AM32,AK32,AJ32,AI32)</f>
        <v>155.09910778829362</v>
      </c>
      <c r="AO32" s="244">
        <f>AVERAGE(AN32,AM32,AK32,AJ32)</f>
        <v>155.10177907880279</v>
      </c>
      <c r="AP32" s="244">
        <f>AVERAGE(AO32,AN32,AM32,AK32)</f>
        <v>155.10019211578037</v>
      </c>
      <c r="AQ32" s="112">
        <f>SUM(AM32:AP32)</f>
        <v>620.39675770675967</v>
      </c>
    </row>
    <row r="33" spans="1:43" ht="16.2" outlineLevel="1" x14ac:dyDescent="0.45">
      <c r="B33" s="771" t="s">
        <v>165</v>
      </c>
      <c r="C33" s="772"/>
      <c r="D33" s="101">
        <v>3</v>
      </c>
      <c r="E33" s="101">
        <v>-8</v>
      </c>
      <c r="F33" s="101">
        <v>-1</v>
      </c>
      <c r="G33" s="101">
        <v>-16</v>
      </c>
      <c r="H33" s="153">
        <f>SUM(D33:G33)</f>
        <v>-22</v>
      </c>
      <c r="I33" s="101">
        <v>-9</v>
      </c>
      <c r="J33" s="101">
        <v>30</v>
      </c>
      <c r="K33" s="101">
        <v>-4</v>
      </c>
      <c r="L33" s="101">
        <v>4</v>
      </c>
      <c r="M33" s="153">
        <f>SUM(I33:L33)</f>
        <v>21</v>
      </c>
      <c r="N33" s="101">
        <v>-21</v>
      </c>
      <c r="O33" s="101">
        <v>1</v>
      </c>
      <c r="P33" s="101">
        <v>-2</v>
      </c>
      <c r="Q33" s="199">
        <v>15</v>
      </c>
      <c r="R33" s="153">
        <f>SUM(N33:Q33)</f>
        <v>-7</v>
      </c>
      <c r="S33" s="199">
        <v>-16</v>
      </c>
      <c r="T33" s="219">
        <v>-2</v>
      </c>
      <c r="U33" s="219">
        <v>-5</v>
      </c>
      <c r="V33" s="219">
        <v>-1</v>
      </c>
      <c r="W33" s="99">
        <f>SUM(S33:V33)</f>
        <v>-24</v>
      </c>
      <c r="X33" s="219">
        <f>AVERAGE(V33,U33,T33,S33)</f>
        <v>-6</v>
      </c>
      <c r="Y33" s="219">
        <f>AVERAGE(X33,V33,U33,T33)</f>
        <v>-3.5</v>
      </c>
      <c r="Z33" s="219">
        <f>AVERAGE(Y33,X33,V33,U33)</f>
        <v>-3.875</v>
      </c>
      <c r="AA33" s="219">
        <f>AVERAGE(Z33,Y33,X33,V33)</f>
        <v>-3.59375</v>
      </c>
      <c r="AB33" s="99">
        <f>SUM(X33:AA33)</f>
        <v>-16.96875</v>
      </c>
      <c r="AC33" s="219">
        <f>AVERAGE(AA33,Z33,Y33,X33)</f>
        <v>-4.2421875</v>
      </c>
      <c r="AD33" s="219">
        <f>AVERAGE(AC33,AA33,Z33,Y33)</f>
        <v>-3.802734375</v>
      </c>
      <c r="AE33" s="219">
        <f>AVERAGE(AD33,AC33,AA33,Z33)</f>
        <v>-3.87841796875</v>
      </c>
      <c r="AF33" s="219">
        <f>AVERAGE(AE33,AD33,AC33,AA33)</f>
        <v>-3.8792724609375</v>
      </c>
      <c r="AG33" s="99">
        <f>SUM(AC33:AF33)</f>
        <v>-15.8026123046875</v>
      </c>
      <c r="AH33" s="219">
        <f>AVERAGE(AF33,AE33,AD33,AC33)</f>
        <v>-3.950653076171875</v>
      </c>
      <c r="AI33" s="219">
        <f>AVERAGE(AH33,AF33,AE33,AD33)</f>
        <v>-3.8777694702148438</v>
      </c>
      <c r="AJ33" s="219">
        <f>AVERAGE(AI33,AH33,AF33,AE33)</f>
        <v>-3.8965282440185547</v>
      </c>
      <c r="AK33" s="219">
        <f>AVERAGE(AJ33,AI33,AH33,AF33)</f>
        <v>-3.9010558128356934</v>
      </c>
      <c r="AL33" s="99">
        <f>SUM(AH33:AK33)</f>
        <v>-15.626006603240967</v>
      </c>
      <c r="AM33" s="219">
        <f>AVERAGE(AK33,AJ33,AI33,AH33)</f>
        <v>-3.9065016508102417</v>
      </c>
      <c r="AN33" s="219">
        <f>AVERAGE(AM33,AK33,AJ33,AI33)</f>
        <v>-3.8954637944698334</v>
      </c>
      <c r="AO33" s="219">
        <f>AVERAGE(AN33,AM33,AK33,AJ33)</f>
        <v>-3.8998873755335808</v>
      </c>
      <c r="AP33" s="219">
        <f>AVERAGE(AO33,AN33,AM33,AK33)</f>
        <v>-3.9007271584123373</v>
      </c>
      <c r="AQ33" s="99">
        <f>SUM(AM33:AP33)</f>
        <v>-15.602579979225993</v>
      </c>
    </row>
    <row r="34" spans="1:43" ht="16.2" x14ac:dyDescent="0.45">
      <c r="B34" s="286" t="s">
        <v>87</v>
      </c>
      <c r="C34" s="285"/>
      <c r="D34" s="101">
        <f t="shared" ref="D34:G34" si="13">SUM(D31:D33)</f>
        <v>-60</v>
      </c>
      <c r="E34" s="101">
        <f t="shared" si="13"/>
        <v>-82</v>
      </c>
      <c r="F34" s="101">
        <f t="shared" si="13"/>
        <v>-82</v>
      </c>
      <c r="G34" s="101">
        <f t="shared" si="13"/>
        <v>-113</v>
      </c>
      <c r="H34" s="153">
        <f t="shared" ref="H34:AQ34" si="14">SUM(H31:H33)</f>
        <v>-337</v>
      </c>
      <c r="I34" s="101">
        <f t="shared" si="14"/>
        <v>-10</v>
      </c>
      <c r="J34" s="101">
        <f t="shared" si="14"/>
        <v>23</v>
      </c>
      <c r="K34" s="101">
        <f t="shared" si="14"/>
        <v>-13</v>
      </c>
      <c r="L34" s="101">
        <f t="shared" si="14"/>
        <v>13</v>
      </c>
      <c r="M34" s="153">
        <f t="shared" si="14"/>
        <v>13</v>
      </c>
      <c r="N34" s="101">
        <f t="shared" si="14"/>
        <v>11</v>
      </c>
      <c r="O34" s="101">
        <f t="shared" si="14"/>
        <v>24</v>
      </c>
      <c r="P34" s="101">
        <f t="shared" si="14"/>
        <v>16</v>
      </c>
      <c r="Q34" s="101">
        <f t="shared" si="14"/>
        <v>30</v>
      </c>
      <c r="R34" s="153">
        <f t="shared" si="14"/>
        <v>81</v>
      </c>
      <c r="S34" s="101">
        <f>SUM(S31:S33)</f>
        <v>30</v>
      </c>
      <c r="T34" s="98">
        <f>SUM(T31:T33)</f>
        <v>9.9396588044999703</v>
      </c>
      <c r="U34" s="98">
        <f t="shared" si="14"/>
        <v>4.971367583830812</v>
      </c>
      <c r="V34" s="98">
        <f t="shared" si="14"/>
        <v>7.091903892091949</v>
      </c>
      <c r="W34" s="99">
        <f t="shared" si="14"/>
        <v>52.002930280422788</v>
      </c>
      <c r="X34" s="98">
        <f t="shared" si="14"/>
        <v>6.0892730745390224</v>
      </c>
      <c r="Y34" s="98">
        <f t="shared" si="14"/>
        <v>6.3852689067280153</v>
      </c>
      <c r="Z34" s="98">
        <f t="shared" si="14"/>
        <v>4.7293387186655309</v>
      </c>
      <c r="AA34" s="98">
        <f t="shared" si="14"/>
        <v>3.075291058358971</v>
      </c>
      <c r="AB34" s="99">
        <f t="shared" si="14"/>
        <v>20.279171758291568</v>
      </c>
      <c r="AC34" s="98">
        <f t="shared" si="14"/>
        <v>-0.71957729521653846</v>
      </c>
      <c r="AD34" s="98">
        <f t="shared" si="14"/>
        <v>-2.6970305799467553</v>
      </c>
      <c r="AE34" s="98">
        <f t="shared" si="14"/>
        <v>-4.2198406709813696</v>
      </c>
      <c r="AF34" s="98">
        <f t="shared" si="14"/>
        <v>-7.6425207228453473</v>
      </c>
      <c r="AG34" s="99">
        <f t="shared" si="14"/>
        <v>-15.278969268990068</v>
      </c>
      <c r="AH34" s="98">
        <f t="shared" si="14"/>
        <v>-11.230677479469335</v>
      </c>
      <c r="AI34" s="98">
        <f t="shared" si="14"/>
        <v>-13.054496828059456</v>
      </c>
      <c r="AJ34" s="98">
        <f t="shared" si="14"/>
        <v>-14.421531031919613</v>
      </c>
      <c r="AK34" s="98">
        <f t="shared" si="14"/>
        <v>-17.427950060268074</v>
      </c>
      <c r="AL34" s="99">
        <f t="shared" si="14"/>
        <v>-56.134655399716394</v>
      </c>
      <c r="AM34" s="98">
        <f t="shared" si="14"/>
        <v>-21.082028664818608</v>
      </c>
      <c r="AN34" s="98">
        <f t="shared" si="14"/>
        <v>-22.943584674631495</v>
      </c>
      <c r="AO34" s="98">
        <f t="shared" si="14"/>
        <v>-24.147721880244404</v>
      </c>
      <c r="AP34" s="98">
        <f t="shared" si="14"/>
        <v>-27.231941523271615</v>
      </c>
      <c r="AQ34" s="99">
        <f t="shared" si="14"/>
        <v>-95.40527674296618</v>
      </c>
    </row>
    <row r="35" spans="1:43" x14ac:dyDescent="0.3">
      <c r="B35" s="753" t="s">
        <v>166</v>
      </c>
      <c r="C35" s="754"/>
      <c r="D35" s="109">
        <f t="shared" ref="D35:AQ35" si="15">D25+D34</f>
        <v>1084</v>
      </c>
      <c r="E35" s="109">
        <f t="shared" si="15"/>
        <v>1055</v>
      </c>
      <c r="F35" s="109">
        <f t="shared" si="15"/>
        <v>782</v>
      </c>
      <c r="G35" s="109">
        <f t="shared" si="15"/>
        <v>-181</v>
      </c>
      <c r="H35" s="110">
        <f t="shared" si="15"/>
        <v>2740</v>
      </c>
      <c r="I35" s="109">
        <f t="shared" si="15"/>
        <v>1142</v>
      </c>
      <c r="J35" s="109">
        <f t="shared" si="15"/>
        <v>1078</v>
      </c>
      <c r="K35" s="109">
        <f t="shared" si="15"/>
        <v>899</v>
      </c>
      <c r="L35" s="109">
        <f t="shared" si="15"/>
        <v>1460</v>
      </c>
      <c r="M35" s="110">
        <f t="shared" si="15"/>
        <v>4579</v>
      </c>
      <c r="N35" s="109">
        <f t="shared" si="15"/>
        <v>982</v>
      </c>
      <c r="O35" s="109">
        <f t="shared" si="15"/>
        <v>1139</v>
      </c>
      <c r="P35" s="109">
        <f t="shared" si="15"/>
        <v>874</v>
      </c>
      <c r="Q35" s="109">
        <f t="shared" si="15"/>
        <v>1358.1257859999969</v>
      </c>
      <c r="R35" s="110">
        <f t="shared" si="15"/>
        <v>4353.1257859999969</v>
      </c>
      <c r="S35" s="109">
        <f>S25+S34</f>
        <v>1101</v>
      </c>
      <c r="T35" s="107">
        <f t="shared" si="15"/>
        <v>1319.8138806067961</v>
      </c>
      <c r="U35" s="107">
        <f t="shared" si="15"/>
        <v>1267.0694269868825</v>
      </c>
      <c r="V35" s="107">
        <f t="shared" si="15"/>
        <v>2290.4126056761716</v>
      </c>
      <c r="W35" s="108">
        <f t="shared" si="15"/>
        <v>5978.2959132698652</v>
      </c>
      <c r="X35" s="107">
        <f t="shared" si="15"/>
        <v>1530.1884631508756</v>
      </c>
      <c r="Y35" s="107">
        <f t="shared" si="15"/>
        <v>1574.3450406139709</v>
      </c>
      <c r="Z35" s="107">
        <f t="shared" si="15"/>
        <v>1474.8982004896716</v>
      </c>
      <c r="AA35" s="107">
        <f t="shared" si="15"/>
        <v>2530.4573183805633</v>
      </c>
      <c r="AB35" s="108">
        <f t="shared" si="15"/>
        <v>7109.8890226350813</v>
      </c>
      <c r="AC35" s="107">
        <f t="shared" si="15"/>
        <v>1825.8648755621123</v>
      </c>
      <c r="AD35" s="107">
        <f t="shared" si="15"/>
        <v>1849.972639743698</v>
      </c>
      <c r="AE35" s="107">
        <f t="shared" si="15"/>
        <v>1763.4005643359033</v>
      </c>
      <c r="AF35" s="107">
        <f t="shared" si="15"/>
        <v>2841.1406762749107</v>
      </c>
      <c r="AG35" s="108">
        <f t="shared" si="15"/>
        <v>8280.3787559166321</v>
      </c>
      <c r="AH35" s="107">
        <f t="shared" si="15"/>
        <v>1808.9603320218935</v>
      </c>
      <c r="AI35" s="107">
        <f t="shared" si="15"/>
        <v>1805.3988992472403</v>
      </c>
      <c r="AJ35" s="107">
        <f t="shared" si="15"/>
        <v>1722.394981822752</v>
      </c>
      <c r="AK35" s="107">
        <f t="shared" si="15"/>
        <v>2848.4179787907015</v>
      </c>
      <c r="AL35" s="108">
        <f t="shared" si="15"/>
        <v>8185.172191882576</v>
      </c>
      <c r="AM35" s="107">
        <f t="shared" si="15"/>
        <v>1807.9706641669336</v>
      </c>
      <c r="AN35" s="107">
        <f t="shared" si="15"/>
        <v>1774.8914848056552</v>
      </c>
      <c r="AO35" s="107">
        <f t="shared" si="15"/>
        <v>1695.5844570033862</v>
      </c>
      <c r="AP35" s="107">
        <f t="shared" si="15"/>
        <v>2863.7894289890564</v>
      </c>
      <c r="AQ35" s="108">
        <f t="shared" si="15"/>
        <v>8142.2360349650426</v>
      </c>
    </row>
    <row r="36" spans="1:43" s="555" customFormat="1" outlineLevel="1" x14ac:dyDescent="0.3">
      <c r="B36" s="556" t="s">
        <v>99</v>
      </c>
      <c r="C36" s="557"/>
      <c r="D36" s="558">
        <f t="shared" ref="D36:AQ36" si="16">+D35+D312</f>
        <v>1732</v>
      </c>
      <c r="E36" s="558">
        <f t="shared" si="16"/>
        <v>1708</v>
      </c>
      <c r="F36" s="558">
        <f t="shared" si="16"/>
        <v>1445</v>
      </c>
      <c r="G36" s="558">
        <f t="shared" si="16"/>
        <v>486</v>
      </c>
      <c r="H36" s="559">
        <f t="shared" si="16"/>
        <v>5371</v>
      </c>
      <c r="I36" s="558">
        <f t="shared" si="16"/>
        <v>1881</v>
      </c>
      <c r="J36" s="558">
        <f t="shared" si="16"/>
        <v>1818</v>
      </c>
      <c r="K36" s="558">
        <f t="shared" si="16"/>
        <v>1661</v>
      </c>
      <c r="L36" s="558">
        <f t="shared" si="16"/>
        <v>2214</v>
      </c>
      <c r="M36" s="559">
        <f t="shared" si="16"/>
        <v>7574</v>
      </c>
      <c r="N36" s="558">
        <f t="shared" si="16"/>
        <v>1733</v>
      </c>
      <c r="O36" s="558">
        <f t="shared" si="16"/>
        <v>1895</v>
      </c>
      <c r="P36" s="558">
        <f t="shared" si="16"/>
        <v>1660</v>
      </c>
      <c r="Q36" s="558">
        <f t="shared" si="16"/>
        <v>2160.1257859999969</v>
      </c>
      <c r="R36" s="559">
        <f t="shared" si="16"/>
        <v>7448.1257859999969</v>
      </c>
      <c r="S36" s="558">
        <f t="shared" si="16"/>
        <v>1909</v>
      </c>
      <c r="T36" s="558">
        <f t="shared" si="16"/>
        <v>2063.3918225166017</v>
      </c>
      <c r="U36" s="558">
        <f t="shared" si="16"/>
        <v>2020.0910031674503</v>
      </c>
      <c r="V36" s="558">
        <f t="shared" si="16"/>
        <v>3062.8038771698366</v>
      </c>
      <c r="W36" s="559">
        <f t="shared" si="16"/>
        <v>9055.286702853904</v>
      </c>
      <c r="X36" s="558">
        <f t="shared" si="16"/>
        <v>2331.2068761014762</v>
      </c>
      <c r="Y36" s="558">
        <f t="shared" si="16"/>
        <v>2394.3466920980954</v>
      </c>
      <c r="Z36" s="558">
        <f t="shared" si="16"/>
        <v>2304.7866630232652</v>
      </c>
      <c r="AA36" s="558">
        <f t="shared" si="16"/>
        <v>3380.4589618035257</v>
      </c>
      <c r="AB36" s="559">
        <f t="shared" si="16"/>
        <v>10410.799193026362</v>
      </c>
      <c r="AC36" s="558">
        <f t="shared" si="16"/>
        <v>2705.98906639094</v>
      </c>
      <c r="AD36" s="558">
        <f t="shared" si="16"/>
        <v>2750.2931602315216</v>
      </c>
      <c r="AE36" s="558">
        <f t="shared" si="16"/>
        <v>2674.1450541446275</v>
      </c>
      <c r="AF36" s="558">
        <f t="shared" si="16"/>
        <v>3773.07677866018</v>
      </c>
      <c r="AG36" s="559">
        <f t="shared" si="16"/>
        <v>11903.504059427276</v>
      </c>
      <c r="AH36" s="558">
        <f t="shared" si="16"/>
        <v>2772.6956418397917</v>
      </c>
      <c r="AI36" s="558">
        <f t="shared" si="16"/>
        <v>2790.411290757505</v>
      </c>
      <c r="AJ36" s="558">
        <f t="shared" si="16"/>
        <v>2718.3701775919412</v>
      </c>
      <c r="AK36" s="558">
        <f t="shared" si="16"/>
        <v>3866.6603720887674</v>
      </c>
      <c r="AL36" s="559">
        <f t="shared" si="16"/>
        <v>12148.137482277994</v>
      </c>
      <c r="AM36" s="558">
        <f t="shared" si="16"/>
        <v>2859.6226282937969</v>
      </c>
      <c r="AN36" s="558">
        <f t="shared" si="16"/>
        <v>2848.8413093629265</v>
      </c>
      <c r="AO36" s="558">
        <f t="shared" si="16"/>
        <v>2781.0106865221896</v>
      </c>
      <c r="AP36" s="558">
        <f t="shared" si="16"/>
        <v>3972.5098003552012</v>
      </c>
      <c r="AQ36" s="559">
        <f t="shared" si="16"/>
        <v>12461.984424534125</v>
      </c>
    </row>
    <row r="37" spans="1:43" ht="16.2" x14ac:dyDescent="0.45">
      <c r="B37" s="703" t="s">
        <v>41</v>
      </c>
      <c r="C37" s="704"/>
      <c r="D37" s="101">
        <v>392</v>
      </c>
      <c r="E37" s="101">
        <v>364</v>
      </c>
      <c r="F37" s="101">
        <v>275</v>
      </c>
      <c r="G37" s="101">
        <v>-111</v>
      </c>
      <c r="H37" s="153">
        <f>SUM(D37:G37)</f>
        <v>920</v>
      </c>
      <c r="I37" s="101">
        <v>427</v>
      </c>
      <c r="J37" s="101">
        <v>378</v>
      </c>
      <c r="K37" s="101">
        <v>337</v>
      </c>
      <c r="L37" s="101">
        <v>440</v>
      </c>
      <c r="M37" s="153">
        <f>SUM(I37:L37)</f>
        <v>1582</v>
      </c>
      <c r="N37" s="101">
        <v>386</v>
      </c>
      <c r="O37" s="101">
        <v>364</v>
      </c>
      <c r="P37" s="101">
        <v>-1200</v>
      </c>
      <c r="Q37" s="101">
        <v>231</v>
      </c>
      <c r="R37" s="153">
        <f>SUM(N37:Q37)</f>
        <v>-219</v>
      </c>
      <c r="S37" s="101">
        <v>266</v>
      </c>
      <c r="T37" s="101">
        <f>T35*T226</f>
        <v>329.95347015169904</v>
      </c>
      <c r="U37" s="101">
        <f>U35*U226</f>
        <v>316.76735674672062</v>
      </c>
      <c r="V37" s="101">
        <f>V35*V226</f>
        <v>572.60315141904289</v>
      </c>
      <c r="W37" s="99">
        <f>SUM(S37:V37)</f>
        <v>1485.3239783174627</v>
      </c>
      <c r="X37" s="101">
        <f>X35*X226</f>
        <v>382.54711578771889</v>
      </c>
      <c r="Y37" s="101">
        <f>Y35*Y226</f>
        <v>393.58626015349273</v>
      </c>
      <c r="Z37" s="101">
        <f>Z35*Z226</f>
        <v>368.7245501224179</v>
      </c>
      <c r="AA37" s="101">
        <f>AA35*AA226</f>
        <v>632.61432959514082</v>
      </c>
      <c r="AB37" s="99">
        <f>SUM(X37:AA37)</f>
        <v>1777.4722556587703</v>
      </c>
      <c r="AC37" s="101">
        <f>AC35*AC226</f>
        <v>456.46621889052807</v>
      </c>
      <c r="AD37" s="101">
        <f>AD35*AD226</f>
        <v>462.4931599359245</v>
      </c>
      <c r="AE37" s="101">
        <f>AE35*AE226</f>
        <v>440.85014108397581</v>
      </c>
      <c r="AF37" s="101">
        <f>AF35*AF226</f>
        <v>710.28516906872767</v>
      </c>
      <c r="AG37" s="99">
        <f>SUM(AC37:AF37)</f>
        <v>2070.0946889791562</v>
      </c>
      <c r="AH37" s="101">
        <f>AH35*AH226</f>
        <v>452.24008300547337</v>
      </c>
      <c r="AI37" s="101">
        <f>AI35*AI226</f>
        <v>451.34972481181006</v>
      </c>
      <c r="AJ37" s="101">
        <f>AJ35*AJ226</f>
        <v>430.598745455688</v>
      </c>
      <c r="AK37" s="101">
        <f>AK35*AK226</f>
        <v>712.10449469767536</v>
      </c>
      <c r="AL37" s="99">
        <f>SUM(AH37:AK37)</f>
        <v>2046.2930479706467</v>
      </c>
      <c r="AM37" s="101">
        <f>AM35*AM226</f>
        <v>451.9926660417334</v>
      </c>
      <c r="AN37" s="101">
        <f>AN35*AN226</f>
        <v>443.7228712014138</v>
      </c>
      <c r="AO37" s="101">
        <f>AO35*AO226</f>
        <v>423.89611425084655</v>
      </c>
      <c r="AP37" s="101">
        <f>AP35*AP226</f>
        <v>715.94735724726411</v>
      </c>
      <c r="AQ37" s="99">
        <f>SUM(AM37:AP37)</f>
        <v>2035.5590087412579</v>
      </c>
    </row>
    <row r="38" spans="1:43" x14ac:dyDescent="0.3">
      <c r="A38" s="111"/>
      <c r="B38" s="753" t="s">
        <v>56</v>
      </c>
      <c r="C38" s="754"/>
      <c r="D38" s="109">
        <f t="shared" ref="D38:AQ38" si="17">+D35-D37</f>
        <v>692</v>
      </c>
      <c r="E38" s="109">
        <f t="shared" si="17"/>
        <v>691</v>
      </c>
      <c r="F38" s="109">
        <f t="shared" si="17"/>
        <v>507</v>
      </c>
      <c r="G38" s="109">
        <f t="shared" si="17"/>
        <v>-70</v>
      </c>
      <c r="H38" s="110">
        <f t="shared" si="17"/>
        <v>1820</v>
      </c>
      <c r="I38" s="109">
        <f t="shared" si="17"/>
        <v>715</v>
      </c>
      <c r="J38" s="109">
        <f t="shared" si="17"/>
        <v>700</v>
      </c>
      <c r="K38" s="109">
        <f t="shared" si="17"/>
        <v>562</v>
      </c>
      <c r="L38" s="109">
        <f t="shared" si="17"/>
        <v>1020</v>
      </c>
      <c r="M38" s="110">
        <f t="shared" si="17"/>
        <v>2997</v>
      </c>
      <c r="N38" s="109">
        <f t="shared" si="17"/>
        <v>596</v>
      </c>
      <c r="O38" s="109">
        <f t="shared" si="17"/>
        <v>775</v>
      </c>
      <c r="P38" s="109">
        <f t="shared" si="17"/>
        <v>2074</v>
      </c>
      <c r="Q38" s="109">
        <f t="shared" si="17"/>
        <v>1127.1257859999969</v>
      </c>
      <c r="R38" s="110">
        <f t="shared" si="17"/>
        <v>4572.1257859999969</v>
      </c>
      <c r="S38" s="109">
        <f t="shared" si="17"/>
        <v>835</v>
      </c>
      <c r="T38" s="107">
        <f t="shared" si="17"/>
        <v>989.86041045509705</v>
      </c>
      <c r="U38" s="107">
        <f t="shared" si="17"/>
        <v>950.30207024016181</v>
      </c>
      <c r="V38" s="107">
        <f t="shared" si="17"/>
        <v>1717.8094542571287</v>
      </c>
      <c r="W38" s="108">
        <f t="shared" si="17"/>
        <v>4492.9719349524021</v>
      </c>
      <c r="X38" s="107">
        <f t="shared" si="17"/>
        <v>1147.6413473631567</v>
      </c>
      <c r="Y38" s="107">
        <f t="shared" si="17"/>
        <v>1180.7587804604782</v>
      </c>
      <c r="Z38" s="107">
        <f t="shared" si="17"/>
        <v>1106.1736503672537</v>
      </c>
      <c r="AA38" s="107">
        <f t="shared" si="17"/>
        <v>1897.8429887854224</v>
      </c>
      <c r="AB38" s="108">
        <f t="shared" si="17"/>
        <v>5332.416766976311</v>
      </c>
      <c r="AC38" s="107">
        <f t="shared" si="17"/>
        <v>1369.3986566715841</v>
      </c>
      <c r="AD38" s="107">
        <f t="shared" si="17"/>
        <v>1387.4794798077735</v>
      </c>
      <c r="AE38" s="107">
        <f t="shared" si="17"/>
        <v>1322.5504232519274</v>
      </c>
      <c r="AF38" s="107">
        <f t="shared" si="17"/>
        <v>2130.8555072061831</v>
      </c>
      <c r="AG38" s="108">
        <f t="shared" si="17"/>
        <v>6210.2840669374764</v>
      </c>
      <c r="AH38" s="107">
        <f t="shared" si="17"/>
        <v>1356.72024901642</v>
      </c>
      <c r="AI38" s="107">
        <f t="shared" si="17"/>
        <v>1354.0491744354301</v>
      </c>
      <c r="AJ38" s="107">
        <f t="shared" si="17"/>
        <v>1291.796236367064</v>
      </c>
      <c r="AK38" s="107">
        <f t="shared" si="17"/>
        <v>2136.3134840930261</v>
      </c>
      <c r="AL38" s="108">
        <f t="shared" si="17"/>
        <v>6138.8791439119295</v>
      </c>
      <c r="AM38" s="107">
        <f t="shared" si="17"/>
        <v>1355.9779981252002</v>
      </c>
      <c r="AN38" s="107">
        <f t="shared" si="17"/>
        <v>1331.1686136042413</v>
      </c>
      <c r="AO38" s="107">
        <f t="shared" si="17"/>
        <v>1271.6883427525397</v>
      </c>
      <c r="AP38" s="107">
        <f t="shared" si="17"/>
        <v>2147.8420717417921</v>
      </c>
      <c r="AQ38" s="108">
        <f t="shared" si="17"/>
        <v>6106.6770262237842</v>
      </c>
    </row>
    <row r="39" spans="1:43" s="565" customFormat="1" ht="16.2" outlineLevel="1" x14ac:dyDescent="0.45">
      <c r="B39" s="560" t="s">
        <v>359</v>
      </c>
      <c r="C39" s="571"/>
      <c r="D39" s="572">
        <f t="shared" ref="D39:AQ39" si="18">+D237+D239+D241+D243+D244</f>
        <v>0</v>
      </c>
      <c r="E39" s="572">
        <f t="shared" si="18"/>
        <v>0</v>
      </c>
      <c r="F39" s="572">
        <f t="shared" si="18"/>
        <v>0</v>
      </c>
      <c r="G39" s="572">
        <f t="shared" si="18"/>
        <v>0</v>
      </c>
      <c r="H39" s="573">
        <f t="shared" si="18"/>
        <v>0</v>
      </c>
      <c r="I39" s="572">
        <f t="shared" si="18"/>
        <v>22.5</v>
      </c>
      <c r="J39" s="572">
        <f t="shared" si="18"/>
        <v>7.5</v>
      </c>
      <c r="K39" s="572">
        <f t="shared" si="18"/>
        <v>15</v>
      </c>
      <c r="L39" s="572">
        <f t="shared" si="18"/>
        <v>67</v>
      </c>
      <c r="M39" s="573">
        <f t="shared" si="18"/>
        <v>112</v>
      </c>
      <c r="N39" s="572">
        <f t="shared" si="18"/>
        <v>32</v>
      </c>
      <c r="O39" s="572">
        <f t="shared" si="18"/>
        <v>31</v>
      </c>
      <c r="P39" s="572">
        <f t="shared" si="18"/>
        <v>1164</v>
      </c>
      <c r="Q39" s="572">
        <f t="shared" si="18"/>
        <v>30</v>
      </c>
      <c r="R39" s="573">
        <f t="shared" si="18"/>
        <v>1257</v>
      </c>
      <c r="S39" s="572">
        <f t="shared" si="18"/>
        <v>23.4</v>
      </c>
      <c r="T39" s="574">
        <f t="shared" si="18"/>
        <v>21.166666666666668</v>
      </c>
      <c r="U39" s="574">
        <f>+U237+U239+U241+U243+U244</f>
        <v>21.166666666666668</v>
      </c>
      <c r="V39" s="574">
        <f t="shared" si="18"/>
        <v>-35.640959987745134</v>
      </c>
      <c r="W39" s="575">
        <f t="shared" si="18"/>
        <v>30.092373345588207</v>
      </c>
      <c r="X39" s="574">
        <f t="shared" si="18"/>
        <v>17.1875</v>
      </c>
      <c r="Y39" s="574">
        <f t="shared" si="18"/>
        <v>17.1875</v>
      </c>
      <c r="Z39" s="574">
        <f t="shared" si="18"/>
        <v>17.1875</v>
      </c>
      <c r="AA39" s="574">
        <f t="shared" si="18"/>
        <v>-7.8124999999999858</v>
      </c>
      <c r="AB39" s="575">
        <f t="shared" si="18"/>
        <v>43.750000000000014</v>
      </c>
      <c r="AC39" s="574">
        <f t="shared" si="18"/>
        <v>0</v>
      </c>
      <c r="AD39" s="574">
        <f t="shared" si="18"/>
        <v>0</v>
      </c>
      <c r="AE39" s="574">
        <f t="shared" si="18"/>
        <v>0</v>
      </c>
      <c r="AF39" s="574">
        <f t="shared" si="18"/>
        <v>-13.750000000000012</v>
      </c>
      <c r="AG39" s="575">
        <f t="shared" si="18"/>
        <v>-13.750000000000012</v>
      </c>
      <c r="AH39" s="574">
        <f t="shared" si="18"/>
        <v>0</v>
      </c>
      <c r="AI39" s="574">
        <f t="shared" si="18"/>
        <v>0</v>
      </c>
      <c r="AJ39" s="574">
        <f t="shared" si="18"/>
        <v>0</v>
      </c>
      <c r="AK39" s="574">
        <f t="shared" si="18"/>
        <v>-13.750000000000012</v>
      </c>
      <c r="AL39" s="575">
        <f t="shared" si="18"/>
        <v>-13.750000000000012</v>
      </c>
      <c r="AM39" s="574">
        <f t="shared" si="18"/>
        <v>0</v>
      </c>
      <c r="AN39" s="574">
        <f t="shared" si="18"/>
        <v>0</v>
      </c>
      <c r="AO39" s="574">
        <f t="shared" si="18"/>
        <v>0</v>
      </c>
      <c r="AP39" s="574">
        <f t="shared" si="18"/>
        <v>-13.750000000000012</v>
      </c>
      <c r="AQ39" s="575">
        <f t="shared" si="18"/>
        <v>-13.750000000000012</v>
      </c>
    </row>
    <row r="40" spans="1:43" s="565" customFormat="1" outlineLevel="1" x14ac:dyDescent="0.3">
      <c r="B40" s="566" t="s">
        <v>360</v>
      </c>
      <c r="C40" s="571"/>
      <c r="D40" s="568">
        <f t="shared" ref="D40:AQ40" si="19">+D27+D34-D37-D39</f>
        <v>692</v>
      </c>
      <c r="E40" s="568">
        <f t="shared" si="19"/>
        <v>691</v>
      </c>
      <c r="F40" s="568">
        <f t="shared" si="19"/>
        <v>507</v>
      </c>
      <c r="G40" s="568">
        <f t="shared" si="19"/>
        <v>-70</v>
      </c>
      <c r="H40" s="569">
        <f t="shared" si="19"/>
        <v>1820</v>
      </c>
      <c r="I40" s="568">
        <f t="shared" si="19"/>
        <v>760</v>
      </c>
      <c r="J40" s="568">
        <f t="shared" si="19"/>
        <v>750</v>
      </c>
      <c r="K40" s="568">
        <f t="shared" si="19"/>
        <v>625</v>
      </c>
      <c r="L40" s="568">
        <f t="shared" si="19"/>
        <v>1138</v>
      </c>
      <c r="M40" s="569">
        <f>+M27+M34-M37-M39</f>
        <v>3273</v>
      </c>
      <c r="N40" s="568">
        <f t="shared" si="19"/>
        <v>683</v>
      </c>
      <c r="O40" s="568">
        <f t="shared" si="19"/>
        <v>866</v>
      </c>
      <c r="P40" s="568">
        <f t="shared" si="19"/>
        <v>1016</v>
      </c>
      <c r="Q40" s="568">
        <f t="shared" si="19"/>
        <v>1604.1257859999969</v>
      </c>
      <c r="R40" s="569">
        <f t="shared" si="19"/>
        <v>4170.1257859999969</v>
      </c>
      <c r="S40" s="568">
        <f>+S27+S34-S37-S39</f>
        <v>932.6</v>
      </c>
      <c r="T40" s="576">
        <f t="shared" si="19"/>
        <v>1080.3604104550971</v>
      </c>
      <c r="U40" s="576">
        <f t="shared" si="19"/>
        <v>1040.8020702401618</v>
      </c>
      <c r="V40" s="576">
        <f t="shared" si="19"/>
        <v>1637.8865742938935</v>
      </c>
      <c r="W40" s="570">
        <f t="shared" si="19"/>
        <v>4691.6490549891669</v>
      </c>
      <c r="X40" s="576">
        <f t="shared" si="19"/>
        <v>1199.2038473631567</v>
      </c>
      <c r="Y40" s="576">
        <f t="shared" si="19"/>
        <v>1232.3212804604782</v>
      </c>
      <c r="Z40" s="576">
        <f t="shared" si="19"/>
        <v>1157.7361503672537</v>
      </c>
      <c r="AA40" s="576">
        <f t="shared" si="19"/>
        <v>1874.4054887854224</v>
      </c>
      <c r="AB40" s="570">
        <f t="shared" si="19"/>
        <v>5463.666766976311</v>
      </c>
      <c r="AC40" s="576">
        <f t="shared" si="19"/>
        <v>1369.3986566715841</v>
      </c>
      <c r="AD40" s="576">
        <f t="shared" si="19"/>
        <v>1387.4794798077735</v>
      </c>
      <c r="AE40" s="576">
        <f t="shared" si="19"/>
        <v>1322.5504232519274</v>
      </c>
      <c r="AF40" s="576">
        <f t="shared" si="19"/>
        <v>2089.6055072061831</v>
      </c>
      <c r="AG40" s="570">
        <f t="shared" si="19"/>
        <v>6169.0340669374764</v>
      </c>
      <c r="AH40" s="576">
        <f t="shared" si="19"/>
        <v>1356.72024901642</v>
      </c>
      <c r="AI40" s="576">
        <f t="shared" si="19"/>
        <v>1354.0491744354301</v>
      </c>
      <c r="AJ40" s="576">
        <f t="shared" si="19"/>
        <v>1291.796236367064</v>
      </c>
      <c r="AK40" s="576">
        <f t="shared" si="19"/>
        <v>2095.0634840930261</v>
      </c>
      <c r="AL40" s="570">
        <f t="shared" si="19"/>
        <v>6097.6291439119295</v>
      </c>
      <c r="AM40" s="576">
        <f t="shared" si="19"/>
        <v>1355.9779981252002</v>
      </c>
      <c r="AN40" s="576">
        <f t="shared" si="19"/>
        <v>1331.1686136042413</v>
      </c>
      <c r="AO40" s="576">
        <f t="shared" si="19"/>
        <v>1271.6883427525397</v>
      </c>
      <c r="AP40" s="576">
        <f t="shared" si="19"/>
        <v>2106.5920717417921</v>
      </c>
      <c r="AQ40" s="570">
        <f t="shared" si="19"/>
        <v>6065.4270262237842</v>
      </c>
    </row>
    <row r="41" spans="1:43" x14ac:dyDescent="0.3">
      <c r="B41" s="720" t="s">
        <v>0</v>
      </c>
      <c r="C41" s="721"/>
      <c r="D41" s="100">
        <v>282</v>
      </c>
      <c r="E41" s="100">
        <v>279.76258654124456</v>
      </c>
      <c r="F41" s="100">
        <v>272</v>
      </c>
      <c r="G41" s="100">
        <v>269</v>
      </c>
      <c r="H41" s="112">
        <v>276</v>
      </c>
      <c r="I41" s="100">
        <v>265.39999999999998</v>
      </c>
      <c r="J41" s="100">
        <v>266</v>
      </c>
      <c r="K41" s="100">
        <v>266</v>
      </c>
      <c r="L41" s="100">
        <v>267.39999999999998</v>
      </c>
      <c r="M41" s="112">
        <v>266.64184371037703</v>
      </c>
      <c r="N41" s="100">
        <v>268</v>
      </c>
      <c r="O41" s="100">
        <v>268</v>
      </c>
      <c r="P41" s="100">
        <v>268</v>
      </c>
      <c r="Q41" s="100">
        <v>266.39999999999998</v>
      </c>
      <c r="R41" s="263">
        <v>267.7</v>
      </c>
      <c r="S41" s="100">
        <v>265</v>
      </c>
      <c r="T41" s="100">
        <f>S41*(1+T230)-T234</f>
        <v>265.58997327558819</v>
      </c>
      <c r="U41" s="100">
        <f>T41*(1+U230)-U234</f>
        <v>266.05030932397045</v>
      </c>
      <c r="V41" s="100">
        <f>U41*(1+V230)-V234</f>
        <v>266.95846902727357</v>
      </c>
      <c r="W41" s="112">
        <f>(S41*S38/W38)+(T41*T38/W38)+(U41*U38/W38)+(V41*V38/W38)</f>
        <v>266.10091471663327</v>
      </c>
      <c r="X41" s="100">
        <f>V41*(1+X230)-X234</f>
        <v>267.10416232257791</v>
      </c>
      <c r="Y41" s="100">
        <f>X41*(1+Y230)-Y234</f>
        <v>267.63637878609916</v>
      </c>
      <c r="Z41" s="100">
        <f>Y41*(1+Z230)-Z234</f>
        <v>268.15396811777981</v>
      </c>
      <c r="AA41" s="100">
        <f>Z41*(1+AA230)-AA234</f>
        <v>268.68595467748816</v>
      </c>
      <c r="AB41" s="112">
        <f>(X41*X38/AB38)+(Y41*Y38/AB38)+(Z41*Z38/AB38)+(AA41*AA38/AB38)</f>
        <v>268.00275680814389</v>
      </c>
      <c r="AC41" s="100">
        <f>AA41*(1+AC230)-AC234</f>
        <v>269.12393077209873</v>
      </c>
      <c r="AD41" s="100">
        <f>AC41*(1+AD230)-AD234</f>
        <v>269.6350286136053</v>
      </c>
      <c r="AE41" s="100">
        <f>AD41*(1+AE230)-AE234</f>
        <v>270.14084497305657</v>
      </c>
      <c r="AF41" s="100">
        <f>AE41*(1+AF230)-AF234</f>
        <v>270.6437604889278</v>
      </c>
      <c r="AG41" s="112">
        <f>(AC41*AC38/AG38)+(AD41*AD38/AG38)+(AE41*AE38/AG38)+(AF41*AF38/AG38)</f>
        <v>269.9761616103703</v>
      </c>
      <c r="AH41" s="100">
        <f>AF41*(1+AH230)-AH234</f>
        <v>271.45331377320883</v>
      </c>
      <c r="AI41" s="100">
        <f>AH41*(1+AI230)-AI234</f>
        <v>272.35736094484872</v>
      </c>
      <c r="AJ41" s="100">
        <f>AI41*(1+AJ230)-AJ234</f>
        <v>273.36124608390281</v>
      </c>
      <c r="AK41" s="100">
        <f>AJ41*(1+AK230)-AK234</f>
        <v>274.49126590877108</v>
      </c>
      <c r="AL41" s="112">
        <f>(AH41*AH38/AL38)+(AI41*AI38/AL38)+(AJ41*AJ38/AL38)+(AK41*AK38/AL38)</f>
        <v>273.11140183411089</v>
      </c>
      <c r="AM41" s="100">
        <f>AK41*(1+AM230)-AM234</f>
        <v>275.77968427982108</v>
      </c>
      <c r="AN41" s="100">
        <f>AM41*(1+AN230)-AN234</f>
        <v>277.1565806327194</v>
      </c>
      <c r="AO41" s="100">
        <f>AN41*(1+AO230)-AO234</f>
        <v>278.54029278271031</v>
      </c>
      <c r="AP41" s="100">
        <f>AO41*(1+AP230)-AP234</f>
        <v>279.93096453604016</v>
      </c>
      <c r="AQ41" s="112">
        <f>(AM41*AM38/AQ38)+(AN41*AN38/AQ38)+(AO41*AO38/AQ38)+(AP41*AP38/AQ38)</f>
        <v>278.11480192004535</v>
      </c>
    </row>
    <row r="42" spans="1:43" ht="15.75" customHeight="1" x14ac:dyDescent="0.3">
      <c r="B42" s="720" t="s">
        <v>1</v>
      </c>
      <c r="C42" s="721"/>
      <c r="D42" s="100">
        <v>286</v>
      </c>
      <c r="E42" s="100">
        <v>283</v>
      </c>
      <c r="F42" s="100">
        <v>275</v>
      </c>
      <c r="G42" s="100">
        <v>269</v>
      </c>
      <c r="H42" s="112">
        <v>279.57441807692305</v>
      </c>
      <c r="I42" s="100">
        <v>269.39999999999998</v>
      </c>
      <c r="J42" s="100">
        <v>270</v>
      </c>
      <c r="K42" s="100">
        <v>271</v>
      </c>
      <c r="L42" s="100">
        <v>271.7</v>
      </c>
      <c r="M42" s="112">
        <v>270.73702702702701</v>
      </c>
      <c r="N42" s="100">
        <v>272</v>
      </c>
      <c r="O42" s="100">
        <v>272.89328309677421</v>
      </c>
      <c r="P42" s="100">
        <v>273</v>
      </c>
      <c r="Q42" s="100">
        <v>271.39999999999998</v>
      </c>
      <c r="R42" s="263">
        <v>272.3</v>
      </c>
      <c r="S42" s="100">
        <v>269.2</v>
      </c>
      <c r="T42" s="100">
        <f>S42*(1+T231)-T234</f>
        <v>269.84616294849081</v>
      </c>
      <c r="U42" s="100">
        <f>T42*(1+U231)-U234</f>
        <v>270.1507659965626</v>
      </c>
      <c r="V42" s="100">
        <f>U42*(1+V231)-V234</f>
        <v>270.83748082403338</v>
      </c>
      <c r="W42" s="426">
        <f>(S42*S38/W38)+(T42*T38/W38)+(U42*U38/W38)+(V42*V38/W38)</f>
        <v>270.1695155278091</v>
      </c>
      <c r="X42" s="100">
        <f>V42*(1+X231)-X234</f>
        <v>270.70064274563344</v>
      </c>
      <c r="Y42" s="100">
        <f>X42*(1+Y231)-Y234</f>
        <v>271.0792051754226</v>
      </c>
      <c r="Z42" s="100">
        <f>Y42*(1+Z231)-Z234</f>
        <v>271.3903695131059</v>
      </c>
      <c r="AA42" s="100">
        <f>Z42*(1+AA231)-AA234</f>
        <v>271.70315302273167</v>
      </c>
      <c r="AB42" s="112">
        <f>(X42*X38/AB38)+(Y42*Y38/AB38)+(Z42*Z38/AB38)+(AA42*AA38/AB38)</f>
        <v>271.28434723191987</v>
      </c>
      <c r="AC42" s="100">
        <f>AA42*(1+AC231)-AC234</f>
        <v>271.92247800957938</v>
      </c>
      <c r="AD42" s="100">
        <f>AC42*(1+AD231)-AD234</f>
        <v>272.23093496517754</v>
      </c>
      <c r="AE42" s="100">
        <f>AD42*(1+AE231)-AE234</f>
        <v>272.52179648438727</v>
      </c>
      <c r="AF42" s="100">
        <f>AE42*(1+AF231)-AF234</f>
        <v>272.80759666765931</v>
      </c>
      <c r="AG42" s="112">
        <f>(AC42*AC38/AG38)+(AD42*AD38/AG38)+(AE42*AE38/AG38)+(AF42*AF38/AG38)</f>
        <v>272.42272349471813</v>
      </c>
      <c r="AH42" s="100">
        <f>AF42*(1+AH231)-AH234</f>
        <v>273.40054676569798</v>
      </c>
      <c r="AI42" s="100">
        <f>AH42*(1+AI231)-AI234</f>
        <v>274.08823311606881</v>
      </c>
      <c r="AJ42" s="100">
        <f>AI42*(1+AJ231)-AJ234</f>
        <v>274.87203224424616</v>
      </c>
      <c r="AK42" s="100">
        <f>AJ42*(1+AK231)-AK234</f>
        <v>275.78039826270879</v>
      </c>
      <c r="AL42" s="112">
        <f>(AH42*AH38/AL38)+(AI42*AI38/AL38)+(AJ42*AJ38/AL38)+(AK42*AK38/AL38)</f>
        <v>274.6900540512591</v>
      </c>
      <c r="AM42" s="100">
        <f>AK42*(1+AM231)-AM234</f>
        <v>276.84574539875354</v>
      </c>
      <c r="AN42" s="100">
        <f>AM42*(1+AN231)-AN234</f>
        <v>277.99766493312364</v>
      </c>
      <c r="AO42" s="100">
        <f>AN42*(1+AO231)-AO234</f>
        <v>279.15397568616447</v>
      </c>
      <c r="AP42" s="100">
        <f>AO42*(1+AP231)-AP234</f>
        <v>280.31524493655098</v>
      </c>
      <c r="AQ42" s="112">
        <f>(AM42*AM38/AQ38)+(AN42*AN38/AQ38)+(AO42*AO38/AQ38)+(AP42*AP38/AQ38)</f>
        <v>278.79781944858723</v>
      </c>
    </row>
    <row r="43" spans="1:43" ht="15.75" customHeight="1" x14ac:dyDescent="0.3">
      <c r="B43" s="769" t="s">
        <v>57</v>
      </c>
      <c r="C43" s="770"/>
      <c r="D43" s="113">
        <f t="shared" ref="D43:AQ43" si="20">D38/D41</f>
        <v>2.4539007092198584</v>
      </c>
      <c r="E43" s="113">
        <f t="shared" si="20"/>
        <v>2.4699514275406083</v>
      </c>
      <c r="F43" s="113">
        <f t="shared" si="20"/>
        <v>1.8639705882352942</v>
      </c>
      <c r="G43" s="113">
        <f t="shared" si="20"/>
        <v>-0.26022304832713755</v>
      </c>
      <c r="H43" s="114">
        <f t="shared" si="20"/>
        <v>6.5942028985507246</v>
      </c>
      <c r="I43" s="113">
        <f t="shared" si="20"/>
        <v>2.6940467219291637</v>
      </c>
      <c r="J43" s="113">
        <f t="shared" si="20"/>
        <v>2.6315789473684212</v>
      </c>
      <c r="K43" s="113">
        <f t="shared" si="20"/>
        <v>2.1127819548872182</v>
      </c>
      <c r="L43" s="113">
        <f t="shared" si="20"/>
        <v>3.8145100972326107</v>
      </c>
      <c r="M43" s="114">
        <f t="shared" si="20"/>
        <v>11.239796268643053</v>
      </c>
      <c r="N43" s="113">
        <f t="shared" si="20"/>
        <v>2.2238805970149254</v>
      </c>
      <c r="O43" s="113">
        <f t="shared" si="20"/>
        <v>2.8917910447761193</v>
      </c>
      <c r="P43" s="113">
        <f t="shared" si="20"/>
        <v>7.7388059701492535</v>
      </c>
      <c r="Q43" s="113">
        <f t="shared" si="20"/>
        <v>4.2309526501501384</v>
      </c>
      <c r="R43" s="114">
        <f t="shared" si="20"/>
        <v>17.079289450877837</v>
      </c>
      <c r="S43" s="113">
        <f t="shared" si="20"/>
        <v>3.1509433962264151</v>
      </c>
      <c r="T43" s="113">
        <f t="shared" si="20"/>
        <v>3.727024775246214</v>
      </c>
      <c r="U43" s="113">
        <f t="shared" si="20"/>
        <v>3.5718886125517542</v>
      </c>
      <c r="V43" s="113">
        <f t="shared" si="20"/>
        <v>6.4347441776856691</v>
      </c>
      <c r="W43" s="114">
        <f t="shared" si="20"/>
        <v>16.884466330139819</v>
      </c>
      <c r="X43" s="113">
        <f t="shared" si="20"/>
        <v>4.296606003380683</v>
      </c>
      <c r="Y43" s="113">
        <f t="shared" si="20"/>
        <v>4.4118022587809946</v>
      </c>
      <c r="Z43" s="113">
        <f t="shared" si="20"/>
        <v>4.125143693124075</v>
      </c>
      <c r="AA43" s="113">
        <f t="shared" si="20"/>
        <v>7.0634246254645525</v>
      </c>
      <c r="AB43" s="114">
        <f t="shared" si="20"/>
        <v>19.896872817594364</v>
      </c>
      <c r="AC43" s="113">
        <f t="shared" si="20"/>
        <v>5.088357073051327</v>
      </c>
      <c r="AD43" s="113">
        <f t="shared" si="20"/>
        <v>5.1457686597392032</v>
      </c>
      <c r="AE43" s="113">
        <f t="shared" si="20"/>
        <v>4.8957810263155004</v>
      </c>
      <c r="AF43" s="113">
        <f t="shared" si="20"/>
        <v>7.8732851751568749</v>
      </c>
      <c r="AG43" s="114">
        <f t="shared" si="20"/>
        <v>23.003083049607028</v>
      </c>
      <c r="AH43" s="113">
        <f t="shared" si="20"/>
        <v>4.9979874261174775</v>
      </c>
      <c r="AI43" s="113">
        <f t="shared" si="20"/>
        <v>4.9715901554414739</v>
      </c>
      <c r="AJ43" s="113">
        <f t="shared" si="20"/>
        <v>4.7256012140454349</v>
      </c>
      <c r="AK43" s="113">
        <f t="shared" si="20"/>
        <v>7.7828104184671707</v>
      </c>
      <c r="AL43" s="114">
        <f t="shared" si="20"/>
        <v>22.477564476201227</v>
      </c>
      <c r="AM43" s="113">
        <f t="shared" si="20"/>
        <v>4.9168886448841933</v>
      </c>
      <c r="AN43" s="113">
        <f t="shared" si="20"/>
        <v>4.8029478880325449</v>
      </c>
      <c r="AO43" s="113">
        <f t="shared" si="20"/>
        <v>4.5655453652609808</v>
      </c>
      <c r="AP43" s="113">
        <f t="shared" si="20"/>
        <v>7.6727563001172197</v>
      </c>
      <c r="AQ43" s="114">
        <f t="shared" si="20"/>
        <v>21.957396672397827</v>
      </c>
    </row>
    <row r="44" spans="1:43" x14ac:dyDescent="0.3">
      <c r="B44" s="769" t="s">
        <v>58</v>
      </c>
      <c r="C44" s="770"/>
      <c r="D44" s="113">
        <f t="shared" ref="D44:AQ44" si="21">D38/D42</f>
        <v>2.4195804195804196</v>
      </c>
      <c r="E44" s="113">
        <f t="shared" si="21"/>
        <v>2.441696113074205</v>
      </c>
      <c r="F44" s="113">
        <f t="shared" si="21"/>
        <v>1.8436363636363637</v>
      </c>
      <c r="G44" s="113">
        <f t="shared" si="21"/>
        <v>-0.26022304832713755</v>
      </c>
      <c r="H44" s="114">
        <f t="shared" si="21"/>
        <v>6.5098946195400433</v>
      </c>
      <c r="I44" s="113">
        <f t="shared" si="21"/>
        <v>2.6540460282108391</v>
      </c>
      <c r="J44" s="113">
        <f t="shared" si="21"/>
        <v>2.5925925925925926</v>
      </c>
      <c r="K44" s="113">
        <f t="shared" si="21"/>
        <v>2.07380073800738</v>
      </c>
      <c r="L44" s="113">
        <f t="shared" si="21"/>
        <v>3.7541405962458594</v>
      </c>
      <c r="M44" s="114">
        <f t="shared" si="21"/>
        <v>11.069782485647288</v>
      </c>
      <c r="N44" s="113">
        <f t="shared" si="21"/>
        <v>2.1911764705882355</v>
      </c>
      <c r="O44" s="113">
        <f t="shared" si="21"/>
        <v>2.8399379831022342</v>
      </c>
      <c r="P44" s="113">
        <f t="shared" si="21"/>
        <v>7.5970695970695967</v>
      </c>
      <c r="Q44" s="113">
        <f t="shared" si="21"/>
        <v>4.153005843773018</v>
      </c>
      <c r="R44" s="114">
        <f t="shared" si="21"/>
        <v>16.790766749908176</v>
      </c>
      <c r="S44" s="113">
        <f t="shared" si="21"/>
        <v>3.1017830609212482</v>
      </c>
      <c r="T44" s="113">
        <f t="shared" si="21"/>
        <v>3.6682397097639856</v>
      </c>
      <c r="U44" s="113">
        <f t="shared" si="21"/>
        <v>3.5176730546536872</v>
      </c>
      <c r="V44" s="113">
        <f t="shared" si="21"/>
        <v>6.342583932735705</v>
      </c>
      <c r="W44" s="114">
        <f t="shared" si="21"/>
        <v>16.630195772364743</v>
      </c>
      <c r="X44" s="113">
        <f t="shared" si="21"/>
        <v>4.2395220629067705</v>
      </c>
      <c r="Y44" s="113">
        <f t="shared" si="21"/>
        <v>4.3557704092292049</v>
      </c>
      <c r="Z44" s="113">
        <f t="shared" si="21"/>
        <v>4.0759502717499148</v>
      </c>
      <c r="AA44" s="113">
        <f t="shared" si="21"/>
        <v>6.9849869891890508</v>
      </c>
      <c r="AB44" s="114">
        <f t="shared" si="21"/>
        <v>19.656190345614192</v>
      </c>
      <c r="AC44" s="113">
        <f t="shared" si="21"/>
        <v>5.0359891785898716</v>
      </c>
      <c r="AD44" s="113">
        <f t="shared" si="21"/>
        <v>5.0967002702512598</v>
      </c>
      <c r="AE44" s="113">
        <f t="shared" si="21"/>
        <v>4.8530078706115392</v>
      </c>
      <c r="AF44" s="113">
        <f t="shared" si="21"/>
        <v>7.8108364035113063</v>
      </c>
      <c r="AG44" s="114">
        <f t="shared" si="21"/>
        <v>22.796497983979243</v>
      </c>
      <c r="AH44" s="113">
        <f t="shared" si="21"/>
        <v>4.9623904014322182</v>
      </c>
      <c r="AI44" s="113">
        <f t="shared" si="21"/>
        <v>4.9401944732958585</v>
      </c>
      <c r="AJ44" s="113">
        <f t="shared" si="21"/>
        <v>4.6996277715849901</v>
      </c>
      <c r="AK44" s="113">
        <f t="shared" si="21"/>
        <v>7.7464297591519573</v>
      </c>
      <c r="AL44" s="114">
        <f t="shared" si="21"/>
        <v>22.348385219533181</v>
      </c>
      <c r="AM44" s="113">
        <f t="shared" si="21"/>
        <v>4.8979549827364091</v>
      </c>
      <c r="AN44" s="113">
        <f t="shared" si="21"/>
        <v>4.7884165283347722</v>
      </c>
      <c r="AO44" s="113">
        <f t="shared" si="21"/>
        <v>4.5555086207413362</v>
      </c>
      <c r="AP44" s="113">
        <f t="shared" si="21"/>
        <v>7.6622378216637967</v>
      </c>
      <c r="AQ44" s="114">
        <f t="shared" si="21"/>
        <v>21.903603974743099</v>
      </c>
    </row>
    <row r="45" spans="1:43" s="565" customFormat="1" outlineLevel="1" x14ac:dyDescent="0.3">
      <c r="B45" s="566" t="s">
        <v>361</v>
      </c>
      <c r="C45" s="577"/>
      <c r="D45" s="578">
        <f t="shared" ref="D45:AQ45" si="22">+D40/D42</f>
        <v>2.4195804195804196</v>
      </c>
      <c r="E45" s="578">
        <f t="shared" si="22"/>
        <v>2.441696113074205</v>
      </c>
      <c r="F45" s="578">
        <f t="shared" si="22"/>
        <v>1.8436363636363637</v>
      </c>
      <c r="G45" s="578">
        <f t="shared" si="22"/>
        <v>-0.26022304832713755</v>
      </c>
      <c r="H45" s="579">
        <f t="shared" si="22"/>
        <v>6.5098946195400433</v>
      </c>
      <c r="I45" s="578">
        <f t="shared" si="22"/>
        <v>2.8210838901262068</v>
      </c>
      <c r="J45" s="578">
        <f t="shared" si="22"/>
        <v>2.7777777777777777</v>
      </c>
      <c r="K45" s="578">
        <f t="shared" si="22"/>
        <v>2.3062730627306274</v>
      </c>
      <c r="L45" s="578">
        <f t="shared" si="22"/>
        <v>4.188443135811557</v>
      </c>
      <c r="M45" s="579">
        <f t="shared" si="22"/>
        <v>12.089221913754946</v>
      </c>
      <c r="N45" s="578">
        <f t="shared" si="22"/>
        <v>2.5110294117647061</v>
      </c>
      <c r="O45" s="578">
        <f t="shared" si="22"/>
        <v>3.1734016688600448</v>
      </c>
      <c r="P45" s="578">
        <f t="shared" si="22"/>
        <v>3.7216117216117217</v>
      </c>
      <c r="Q45" s="578">
        <f t="shared" si="22"/>
        <v>5.91055927044951</v>
      </c>
      <c r="R45" s="579">
        <f t="shared" si="22"/>
        <v>15.31445385971354</v>
      </c>
      <c r="S45" s="578">
        <f>+S40/S42</f>
        <v>3.4643387815750373</v>
      </c>
      <c r="T45" s="580">
        <f t="shared" si="22"/>
        <v>4.003615981233426</v>
      </c>
      <c r="U45" s="580">
        <f t="shared" si="22"/>
        <v>3.8526711793717623</v>
      </c>
      <c r="V45" s="580">
        <f t="shared" si="22"/>
        <v>6.0474885872906556</v>
      </c>
      <c r="W45" s="581">
        <f t="shared" si="22"/>
        <v>17.365575260493245</v>
      </c>
      <c r="X45" s="580">
        <f t="shared" si="22"/>
        <v>4.4300000000000015</v>
      </c>
      <c r="Y45" s="578">
        <f t="shared" si="22"/>
        <v>4.5459823436586007</v>
      </c>
      <c r="Z45" s="578">
        <f t="shared" si="22"/>
        <v>4.2659441174877237</v>
      </c>
      <c r="AA45" s="578">
        <f t="shared" si="22"/>
        <v>6.8987255684463955</v>
      </c>
      <c r="AB45" s="582">
        <f t="shared" si="22"/>
        <v>20.140000050594313</v>
      </c>
      <c r="AC45" s="578">
        <f t="shared" si="22"/>
        <v>5.0359891785898716</v>
      </c>
      <c r="AD45" s="578">
        <f t="shared" si="22"/>
        <v>5.0967002702512598</v>
      </c>
      <c r="AE45" s="578">
        <f t="shared" si="22"/>
        <v>4.8530078706115392</v>
      </c>
      <c r="AF45" s="578">
        <f t="shared" si="22"/>
        <v>7.6596309367139437</v>
      </c>
      <c r="AG45" s="579">
        <f t="shared" si="22"/>
        <v>22.645078897234814</v>
      </c>
      <c r="AH45" s="578">
        <f t="shared" si="22"/>
        <v>4.9623904014322182</v>
      </c>
      <c r="AI45" s="578">
        <f t="shared" si="22"/>
        <v>4.9401944732958585</v>
      </c>
      <c r="AJ45" s="578">
        <f t="shared" si="22"/>
        <v>4.6996277715849901</v>
      </c>
      <c r="AK45" s="578">
        <f t="shared" si="22"/>
        <v>7.5968542263734991</v>
      </c>
      <c r="AL45" s="579">
        <f t="shared" si="22"/>
        <v>22.198215967346488</v>
      </c>
      <c r="AM45" s="578">
        <f t="shared" si="22"/>
        <v>4.8979549827364091</v>
      </c>
      <c r="AN45" s="578">
        <f t="shared" si="22"/>
        <v>4.7884165283347722</v>
      </c>
      <c r="AO45" s="578">
        <f t="shared" si="22"/>
        <v>4.5555086207413362</v>
      </c>
      <c r="AP45" s="578">
        <f t="shared" si="22"/>
        <v>7.5150820720386315</v>
      </c>
      <c r="AQ45" s="579">
        <f t="shared" si="22"/>
        <v>21.755647293870972</v>
      </c>
    </row>
    <row r="46" spans="1:43" x14ac:dyDescent="0.3">
      <c r="B46" s="720" t="s">
        <v>42</v>
      </c>
      <c r="C46" s="721"/>
      <c r="D46" s="115">
        <v>0.25</v>
      </c>
      <c r="E46" s="115">
        <v>0.25</v>
      </c>
      <c r="F46" s="115">
        <v>0.25</v>
      </c>
      <c r="G46" s="115">
        <v>0.25</v>
      </c>
      <c r="H46" s="116">
        <f>SUM(D46:G46)</f>
        <v>1</v>
      </c>
      <c r="I46" s="115">
        <v>0.4</v>
      </c>
      <c r="J46" s="115">
        <v>0.4</v>
      </c>
      <c r="K46" s="115">
        <v>0.4</v>
      </c>
      <c r="L46" s="115">
        <v>0.4</v>
      </c>
      <c r="M46" s="116">
        <f>SUM(I46:L46)</f>
        <v>1.6</v>
      </c>
      <c r="N46" s="115">
        <v>0.5</v>
      </c>
      <c r="O46" s="115">
        <v>0.5</v>
      </c>
      <c r="P46" s="115">
        <v>0.5</v>
      </c>
      <c r="Q46" s="115">
        <v>0.5</v>
      </c>
      <c r="R46" s="116">
        <f>SUM(N46:Q46)</f>
        <v>2</v>
      </c>
      <c r="S46" s="115">
        <v>0.65</v>
      </c>
      <c r="T46" s="115">
        <f>O46*(1+T47)</f>
        <v>0.65</v>
      </c>
      <c r="U46" s="115">
        <f>P46*(1+U47)</f>
        <v>0.65</v>
      </c>
      <c r="V46" s="115">
        <f>Q46*(1+V47)</f>
        <v>0.65</v>
      </c>
      <c r="W46" s="116">
        <f>SUM(S46:V46)</f>
        <v>2.6</v>
      </c>
      <c r="X46" s="115">
        <f>S46*(1+X47)</f>
        <v>0.8125</v>
      </c>
      <c r="Y46" s="115">
        <f>T46*(1+Y47)</f>
        <v>0.8125</v>
      </c>
      <c r="Z46" s="115">
        <f>U46*(1+Z47)</f>
        <v>0.8125</v>
      </c>
      <c r="AA46" s="115">
        <f>V46*(1+AA47)</f>
        <v>0.8125</v>
      </c>
      <c r="AB46" s="116">
        <f>SUM(X46:AA46)</f>
        <v>3.25</v>
      </c>
      <c r="AC46" s="115">
        <f>X46*(1+AC47)</f>
        <v>1.015625</v>
      </c>
      <c r="AD46" s="115">
        <f>Y46*(1+AD47)</f>
        <v>1.015625</v>
      </c>
      <c r="AE46" s="115">
        <f>Z46*(1+AE47)</f>
        <v>1.015625</v>
      </c>
      <c r="AF46" s="115">
        <f>AA46*(1+AF47)</f>
        <v>1.015625</v>
      </c>
      <c r="AG46" s="116">
        <f>SUM(AC46:AF46)</f>
        <v>4.0625</v>
      </c>
      <c r="AH46" s="115">
        <f>AC46*(1+AH47)</f>
        <v>1.21875</v>
      </c>
      <c r="AI46" s="115">
        <f>AD46*(1+AI47)</f>
        <v>1.21875</v>
      </c>
      <c r="AJ46" s="115">
        <f>AE46*(1+AJ47)</f>
        <v>1.21875</v>
      </c>
      <c r="AK46" s="115">
        <f>AF46*(1+AK47)</f>
        <v>1.21875</v>
      </c>
      <c r="AL46" s="116">
        <f>SUM(AH46:AK46)</f>
        <v>4.875</v>
      </c>
      <c r="AM46" s="115">
        <f>AH46*(1+AM47)</f>
        <v>1.4015624999999998</v>
      </c>
      <c r="AN46" s="115">
        <f>AI46*(1+AN47)</f>
        <v>1.4015624999999998</v>
      </c>
      <c r="AO46" s="115">
        <f>AJ46*(1+AO47)</f>
        <v>1.4015624999999998</v>
      </c>
      <c r="AP46" s="115">
        <f>AK46*(1+AP47)</f>
        <v>1.4015624999999998</v>
      </c>
      <c r="AQ46" s="116">
        <f>SUM(AM46:AP46)</f>
        <v>5.6062499999999993</v>
      </c>
    </row>
    <row r="47" spans="1:43" x14ac:dyDescent="0.3">
      <c r="B47" s="305" t="s">
        <v>83</v>
      </c>
      <c r="C47" s="306"/>
      <c r="D47" s="117">
        <f>D46/0.2-1</f>
        <v>0.25</v>
      </c>
      <c r="E47" s="117">
        <f>E46/0.2-1</f>
        <v>0.25</v>
      </c>
      <c r="F47" s="117">
        <f>F46/0.2-1</f>
        <v>0.25</v>
      </c>
      <c r="G47" s="117">
        <f>G46/0.2-1</f>
        <v>0.25</v>
      </c>
      <c r="H47" s="416">
        <f>H46/0.8-1</f>
        <v>0.25</v>
      </c>
      <c r="I47" s="117">
        <f t="shared" ref="I47:S47" si="23">I46/D46-1</f>
        <v>0.60000000000000009</v>
      </c>
      <c r="J47" s="117">
        <f t="shared" si="23"/>
        <v>0.60000000000000009</v>
      </c>
      <c r="K47" s="117">
        <f t="shared" si="23"/>
        <v>0.60000000000000009</v>
      </c>
      <c r="L47" s="117">
        <f t="shared" si="23"/>
        <v>0.60000000000000009</v>
      </c>
      <c r="M47" s="416">
        <f t="shared" si="23"/>
        <v>0.60000000000000009</v>
      </c>
      <c r="N47" s="117">
        <f t="shared" si="23"/>
        <v>0.25</v>
      </c>
      <c r="O47" s="117">
        <f t="shared" si="23"/>
        <v>0.25</v>
      </c>
      <c r="P47" s="117">
        <f t="shared" si="23"/>
        <v>0.25</v>
      </c>
      <c r="Q47" s="117">
        <f t="shared" si="23"/>
        <v>0.25</v>
      </c>
      <c r="R47" s="417">
        <f t="shared" si="23"/>
        <v>0.25</v>
      </c>
      <c r="S47" s="117">
        <f t="shared" si="23"/>
        <v>0.30000000000000004</v>
      </c>
      <c r="T47" s="311">
        <v>0.3</v>
      </c>
      <c r="U47" s="311">
        <v>0.3</v>
      </c>
      <c r="V47" s="311">
        <v>0.3</v>
      </c>
      <c r="W47" s="417">
        <f>W46/R46-1</f>
        <v>0.30000000000000004</v>
      </c>
      <c r="X47" s="311">
        <v>0.25</v>
      </c>
      <c r="Y47" s="311">
        <v>0.25</v>
      </c>
      <c r="Z47" s="311">
        <v>0.25</v>
      </c>
      <c r="AA47" s="311">
        <v>0.25</v>
      </c>
      <c r="AB47" s="417">
        <f>AB46/W46-1</f>
        <v>0.25</v>
      </c>
      <c r="AC47" s="311">
        <v>0.25</v>
      </c>
      <c r="AD47" s="311">
        <v>0.25</v>
      </c>
      <c r="AE47" s="311">
        <v>0.25</v>
      </c>
      <c r="AF47" s="311">
        <v>0.25</v>
      </c>
      <c r="AG47" s="417">
        <f>AG46/AB46-1</f>
        <v>0.25</v>
      </c>
      <c r="AH47" s="311">
        <v>0.2</v>
      </c>
      <c r="AI47" s="311">
        <v>0.2</v>
      </c>
      <c r="AJ47" s="311">
        <v>0.2</v>
      </c>
      <c r="AK47" s="311">
        <v>0.2</v>
      </c>
      <c r="AL47" s="417">
        <f>AL46/AG46-1</f>
        <v>0.19999999999999996</v>
      </c>
      <c r="AM47" s="311">
        <v>0.15</v>
      </c>
      <c r="AN47" s="311">
        <v>0.15</v>
      </c>
      <c r="AO47" s="311">
        <v>0.15</v>
      </c>
      <c r="AP47" s="311">
        <v>0.15</v>
      </c>
      <c r="AQ47" s="417">
        <f>AQ46/AL46-1</f>
        <v>0.14999999999999991</v>
      </c>
    </row>
    <row r="48" spans="1:43" s="59" customFormat="1" x14ac:dyDescent="0.3">
      <c r="B48" s="118"/>
      <c r="C48" s="189"/>
      <c r="D48" s="189"/>
      <c r="E48" s="189"/>
      <c r="F48" s="189"/>
      <c r="G48" s="189"/>
      <c r="H48" s="62"/>
      <c r="I48" s="189"/>
      <c r="J48" s="189"/>
      <c r="K48" s="189"/>
      <c r="L48" s="189"/>
      <c r="M48" s="62"/>
      <c r="N48" s="189"/>
      <c r="O48" s="189"/>
      <c r="P48" s="189"/>
      <c r="Q48" s="189"/>
      <c r="R48" s="62"/>
      <c r="S48" s="427"/>
      <c r="T48" s="189"/>
      <c r="U48" s="189"/>
      <c r="V48" s="189"/>
      <c r="W48" s="62"/>
      <c r="X48" s="189"/>
      <c r="Y48" s="189"/>
      <c r="Z48" s="189"/>
      <c r="AA48" s="189"/>
      <c r="AB48" s="62"/>
      <c r="AC48" s="189"/>
      <c r="AD48" s="189"/>
      <c r="AE48" s="189"/>
      <c r="AF48" s="189"/>
      <c r="AG48" s="62"/>
      <c r="AH48" s="189"/>
      <c r="AI48" s="189"/>
      <c r="AJ48" s="189"/>
      <c r="AK48" s="189"/>
      <c r="AL48" s="62"/>
      <c r="AM48" s="189"/>
      <c r="AN48" s="189"/>
      <c r="AO48" s="189"/>
      <c r="AP48" s="189"/>
      <c r="AQ48" s="62"/>
    </row>
    <row r="49" spans="2:43" ht="15.6" x14ac:dyDescent="0.3">
      <c r="B49" s="705" t="s">
        <v>89</v>
      </c>
      <c r="C49" s="713"/>
      <c r="D49" s="90" t="s">
        <v>120</v>
      </c>
      <c r="E49" s="90" t="s">
        <v>121</v>
      </c>
      <c r="F49" s="90" t="s">
        <v>122</v>
      </c>
      <c r="G49" s="90" t="s">
        <v>123</v>
      </c>
      <c r="H49" s="403" t="s">
        <v>123</v>
      </c>
      <c r="I49" s="90" t="s">
        <v>124</v>
      </c>
      <c r="J49" s="90" t="s">
        <v>125</v>
      </c>
      <c r="K49" s="90" t="s">
        <v>126</v>
      </c>
      <c r="L49" s="90" t="s">
        <v>127</v>
      </c>
      <c r="M49" s="403" t="s">
        <v>127</v>
      </c>
      <c r="N49" s="90" t="s">
        <v>128</v>
      </c>
      <c r="O49" s="90" t="s">
        <v>129</v>
      </c>
      <c r="P49" s="90" t="s">
        <v>130</v>
      </c>
      <c r="Q49" s="90" t="s">
        <v>131</v>
      </c>
      <c r="R49" s="403" t="s">
        <v>131</v>
      </c>
      <c r="S49" s="90" t="s">
        <v>132</v>
      </c>
      <c r="T49" s="92" t="s">
        <v>133</v>
      </c>
      <c r="U49" s="92" t="s">
        <v>134</v>
      </c>
      <c r="V49" s="92" t="s">
        <v>135</v>
      </c>
      <c r="W49" s="407" t="s">
        <v>135</v>
      </c>
      <c r="X49" s="92" t="s">
        <v>136</v>
      </c>
      <c r="Y49" s="92" t="s">
        <v>137</v>
      </c>
      <c r="Z49" s="92" t="s">
        <v>138</v>
      </c>
      <c r="AA49" s="92" t="s">
        <v>139</v>
      </c>
      <c r="AB49" s="407" t="s">
        <v>139</v>
      </c>
      <c r="AC49" s="92" t="s">
        <v>140</v>
      </c>
      <c r="AD49" s="92" t="s">
        <v>141</v>
      </c>
      <c r="AE49" s="92" t="s">
        <v>142</v>
      </c>
      <c r="AF49" s="92" t="s">
        <v>143</v>
      </c>
      <c r="AG49" s="407" t="s">
        <v>143</v>
      </c>
      <c r="AH49" s="92" t="s">
        <v>144</v>
      </c>
      <c r="AI49" s="92" t="s">
        <v>145</v>
      </c>
      <c r="AJ49" s="92" t="s">
        <v>146</v>
      </c>
      <c r="AK49" s="92" t="s">
        <v>147</v>
      </c>
      <c r="AL49" s="407" t="s">
        <v>147</v>
      </c>
      <c r="AM49" s="92" t="s">
        <v>148</v>
      </c>
      <c r="AN49" s="92" t="s">
        <v>149</v>
      </c>
      <c r="AO49" s="92" t="s">
        <v>150</v>
      </c>
      <c r="AP49" s="92" t="s">
        <v>151</v>
      </c>
      <c r="AQ49" s="407" t="s">
        <v>151</v>
      </c>
    </row>
    <row r="50" spans="2:43" ht="16.2" x14ac:dyDescent="0.45">
      <c r="B50" s="726"/>
      <c r="C50" s="727"/>
      <c r="D50" s="91" t="s">
        <v>71</v>
      </c>
      <c r="E50" s="91" t="s">
        <v>74</v>
      </c>
      <c r="F50" s="91" t="s">
        <v>75</v>
      </c>
      <c r="G50" s="91" t="s">
        <v>78</v>
      </c>
      <c r="H50" s="404" t="s">
        <v>79</v>
      </c>
      <c r="I50" s="91" t="s">
        <v>80</v>
      </c>
      <c r="J50" s="91" t="s">
        <v>91</v>
      </c>
      <c r="K50" s="91" t="s">
        <v>109</v>
      </c>
      <c r="L50" s="91" t="s">
        <v>113</v>
      </c>
      <c r="M50" s="404" t="s">
        <v>114</v>
      </c>
      <c r="N50" s="91" t="s">
        <v>115</v>
      </c>
      <c r="O50" s="91" t="s">
        <v>116</v>
      </c>
      <c r="P50" s="91" t="s">
        <v>117</v>
      </c>
      <c r="Q50" s="91" t="s">
        <v>118</v>
      </c>
      <c r="R50" s="404" t="s">
        <v>119</v>
      </c>
      <c r="S50" s="91" t="s">
        <v>511</v>
      </c>
      <c r="T50" s="89" t="s">
        <v>377</v>
      </c>
      <c r="U50" s="89" t="s">
        <v>378</v>
      </c>
      <c r="V50" s="89" t="s">
        <v>379</v>
      </c>
      <c r="W50" s="408" t="s">
        <v>380</v>
      </c>
      <c r="X50" s="89" t="s">
        <v>381</v>
      </c>
      <c r="Y50" s="89" t="s">
        <v>382</v>
      </c>
      <c r="Z50" s="89" t="s">
        <v>383</v>
      </c>
      <c r="AA50" s="89" t="s">
        <v>384</v>
      </c>
      <c r="AB50" s="408" t="s">
        <v>385</v>
      </c>
      <c r="AC50" s="89" t="s">
        <v>386</v>
      </c>
      <c r="AD50" s="89" t="s">
        <v>387</v>
      </c>
      <c r="AE50" s="89" t="s">
        <v>388</v>
      </c>
      <c r="AF50" s="89" t="s">
        <v>389</v>
      </c>
      <c r="AG50" s="408" t="s">
        <v>390</v>
      </c>
      <c r="AH50" s="89" t="s">
        <v>391</v>
      </c>
      <c r="AI50" s="89" t="s">
        <v>392</v>
      </c>
      <c r="AJ50" s="89" t="s">
        <v>393</v>
      </c>
      <c r="AK50" s="89" t="s">
        <v>394</v>
      </c>
      <c r="AL50" s="408" t="s">
        <v>395</v>
      </c>
      <c r="AM50" s="89" t="s">
        <v>396</v>
      </c>
      <c r="AN50" s="89" t="s">
        <v>397</v>
      </c>
      <c r="AO50" s="89" t="s">
        <v>398</v>
      </c>
      <c r="AP50" s="89" t="s">
        <v>399</v>
      </c>
      <c r="AQ50" s="408" t="s">
        <v>400</v>
      </c>
    </row>
    <row r="51" spans="2:43" ht="15.6" x14ac:dyDescent="0.3">
      <c r="B51" s="705" t="s">
        <v>197</v>
      </c>
      <c r="C51" s="713"/>
      <c r="D51" s="90"/>
      <c r="E51" s="90"/>
      <c r="F51" s="90"/>
      <c r="G51" s="90"/>
      <c r="H51" s="403"/>
      <c r="I51" s="90"/>
      <c r="J51" s="90"/>
      <c r="K51" s="90"/>
      <c r="L51" s="90"/>
      <c r="M51" s="403"/>
      <c r="N51" s="90"/>
      <c r="O51" s="90"/>
      <c r="P51" s="90"/>
      <c r="Q51" s="90"/>
      <c r="R51" s="403"/>
      <c r="S51" s="90"/>
      <c r="T51" s="92"/>
      <c r="U51" s="92"/>
      <c r="V51" s="92"/>
      <c r="W51" s="407"/>
      <c r="X51" s="92"/>
      <c r="Y51" s="92"/>
      <c r="Z51" s="92"/>
      <c r="AA51" s="92"/>
      <c r="AB51" s="407"/>
      <c r="AC51" s="92"/>
      <c r="AD51" s="92"/>
      <c r="AE51" s="92"/>
      <c r="AF51" s="92"/>
      <c r="AG51" s="407"/>
      <c r="AH51" s="92"/>
      <c r="AI51" s="92"/>
      <c r="AJ51" s="92"/>
      <c r="AK51" s="92"/>
      <c r="AL51" s="407"/>
      <c r="AM51" s="92"/>
      <c r="AN51" s="92"/>
      <c r="AO51" s="92"/>
      <c r="AP51" s="92"/>
      <c r="AQ51" s="407"/>
    </row>
    <row r="52" spans="2:43" outlineLevel="1" x14ac:dyDescent="0.3">
      <c r="B52" s="251" t="s">
        <v>364</v>
      </c>
      <c r="C52" s="292"/>
      <c r="D52" s="264">
        <f>+D76+D82+D88+D94+D100+D106</f>
        <v>4036.4</v>
      </c>
      <c r="E52" s="264">
        <f>+E76+E82+E88+E94+E100+E106</f>
        <v>4263.5</v>
      </c>
      <c r="F52" s="264">
        <f>+F76+F82+F88+F94+F100+F106</f>
        <v>4308.7</v>
      </c>
      <c r="G52" s="264">
        <f>+G76+G82+G88+G94+G100+G106</f>
        <v>4104.2079999999996</v>
      </c>
      <c r="H52" s="54"/>
      <c r="I52" s="264">
        <f>+I76+I82+I88+I94+I100+I106</f>
        <v>5559</v>
      </c>
      <c r="J52" s="264">
        <f>+J76+J82+J88+J94+J100+J106</f>
        <v>6034.5038999999997</v>
      </c>
      <c r="K52" s="264">
        <f>+K76+K82+K88+K94+K100+K106</f>
        <v>6156.3000000000011</v>
      </c>
      <c r="L52" s="264">
        <f>+L76+L82+L88+L94+L100+L106</f>
        <v>5867.4989989999995</v>
      </c>
      <c r="M52" s="54"/>
      <c r="N52" s="264">
        <f>+N76+N82+N88+N94+N100+N106</f>
        <v>5615.5999999999995</v>
      </c>
      <c r="O52" s="264">
        <f>+O76+O82+O88+O94+O100+O106</f>
        <v>6216</v>
      </c>
      <c r="P52" s="264">
        <f>+P76+P82+P88+P94+P100+P106</f>
        <v>6122.1</v>
      </c>
      <c r="Q52" s="264">
        <f>+Q76+Q82+Q88+Q94+Q100+Q106</f>
        <v>5874.2</v>
      </c>
      <c r="R52" s="54"/>
      <c r="S52" s="264">
        <f>+S76+S82+S88+S94+S100+S106</f>
        <v>5886.7000000000007</v>
      </c>
      <c r="T52" s="264">
        <f>+T76+T82+T88+T94+T100+T106</f>
        <v>6265.6798350492227</v>
      </c>
      <c r="U52" s="264">
        <f>+U76+U82+U88+U94+U100+U106</f>
        <v>6074.5968026164828</v>
      </c>
      <c r="V52" s="264">
        <f>+V76+V82+V88+V94+V100+V106</f>
        <v>5836.3060898172589</v>
      </c>
      <c r="W52" s="54"/>
      <c r="X52" s="264">
        <f>+X76+X82+X88+X94+X100+X106</f>
        <v>5859.8152375647442</v>
      </c>
      <c r="Y52" s="264">
        <f>+Y76+Y82+Y88+Y94+Y100+Y106</f>
        <v>6169.3841019788269</v>
      </c>
      <c r="Z52" s="264">
        <f>+Z76+Z82+Z88+Z94+Z100+Z106</f>
        <v>5986.1465738601873</v>
      </c>
      <c r="AA52" s="264">
        <f>+AA76+AA82+AA88+AA94+AA100+AA106</f>
        <v>5737.8782270544862</v>
      </c>
      <c r="AB52" s="54"/>
      <c r="AC52" s="264">
        <f>+AC76+AC82+AC88+AC94+AC100+AC106</f>
        <v>5786.4153098249226</v>
      </c>
      <c r="AD52" s="264">
        <f>+AD76+AD82+AD88+AD94+AD100+AD106</f>
        <v>6076.5085865735473</v>
      </c>
      <c r="AE52" s="264">
        <f>+AE76+AE82+AE88+AE94+AE100+AE106</f>
        <v>5902.7357005766899</v>
      </c>
      <c r="AF52" s="264">
        <f>+AF76+AF82+AF88+AF94+AF100+AF106</f>
        <v>5655.1874122379913</v>
      </c>
      <c r="AG52" s="54"/>
      <c r="AH52" s="264">
        <f>+AH76+AH82+AH88+AH94+AH100+AH106</f>
        <v>5692.4411491677656</v>
      </c>
      <c r="AI52" s="264">
        <f>+AI76+AI82+AI88+AI94+AI100+AI106</f>
        <v>5969.2005854246909</v>
      </c>
      <c r="AJ52" s="264">
        <f>+AJ76+AJ82+AJ88+AJ94+AJ100+AJ106</f>
        <v>5801.0026753620023</v>
      </c>
      <c r="AK52" s="264">
        <f>+AK76+AK82+AK88+AK94+AK100+AK106</f>
        <v>5549.4444404517944</v>
      </c>
      <c r="AL52" s="54"/>
      <c r="AM52" s="264">
        <f>+AM76+AM82+AM88+AM94+AM100+AM106</f>
        <v>5580.1650156331634</v>
      </c>
      <c r="AN52" s="264">
        <f>+AN76+AN82+AN88+AN94+AN100+AN106</f>
        <v>5843.3236354660512</v>
      </c>
      <c r="AO52" s="264">
        <f>+AO76+AO82+AO88+AO94+AO100+AO106</f>
        <v>5680.0115393644373</v>
      </c>
      <c r="AP52" s="264">
        <f>+AP76+AP82+AP88+AP94+AP100+AP106</f>
        <v>5425.1517218583631</v>
      </c>
      <c r="AQ52" s="54"/>
    </row>
    <row r="53" spans="2:43" outlineLevel="1" x14ac:dyDescent="0.3">
      <c r="B53" s="251" t="s">
        <v>198</v>
      </c>
      <c r="C53" s="292"/>
      <c r="D53" s="143">
        <f>+(D76/D52*D78)+(D82/D52*D84)+(D88/D52*D90)+(D94/D52*D96)+(D100/D52*D102)+(D106/D52*D108)</f>
        <v>20.051755029233966</v>
      </c>
      <c r="E53" s="143">
        <f>+(E76/E52*E78)+(E82/E52*E84)+(E88/E52*E90)+(E94/E52*E96)+(E100/E52*E102)+(E106/E52*E108)</f>
        <v>19.514230233376335</v>
      </c>
      <c r="F53" s="143">
        <f>+(F76/F52*F78)+(F82/F52*F84)+(F88/F52*F90)+(F94/F52*F96)+(F100/F52*F102)+(F106/F52*F108)</f>
        <v>19.276487571657345</v>
      </c>
      <c r="G53" s="143">
        <f>+(G76/G52*G78)+(G82/G52*G84)+(G88/G52*G90)+(G94/G52*G96)+(G100/G52*G102)+(G106/G52*G108)</f>
        <v>19.98737853634309</v>
      </c>
      <c r="H53" s="54"/>
      <c r="I53" s="143">
        <f>+(I76/I52*I78)+(I82/I52*I84)+(I88/I52*I90)+(I94/I52*I96)+(I100/I52*I102)+(I106/I52*I108)</f>
        <v>17.707042633567188</v>
      </c>
      <c r="J53" s="143">
        <f>+(J76/J52*J78)+(J82/J52*J84)+(J88/J52*J90)+(J94/J52*J96)+(J100/J52*J102)+(J106/J52*J108)</f>
        <v>17.179728071498985</v>
      </c>
      <c r="K53" s="143">
        <f>+(K76/K52*K78)+(K82/K52*K84)+(K88/K52*K90)+(K94/K52*K96)+(K100/K52*K102)+(K106/K52*K108)</f>
        <v>17.055023829248086</v>
      </c>
      <c r="L53" s="143">
        <f>+(L76/L52*L78)+(L82/L52*L84)+(L88/L52*L90)+(L94/L52*L96)+(L100/L52*L102)+(L106/L52*L108)</f>
        <v>17.925037162256018</v>
      </c>
      <c r="M53" s="54"/>
      <c r="N53" s="143">
        <f>+(N76/N52*N78)+(N82/N52*N84)+(N88/N52*N90)+(N94/N52*N96)+(N100/N52*N102)+(N106/N52*N108)</f>
        <v>18.174105527459222</v>
      </c>
      <c r="O53" s="143">
        <f>+(O76/O52*O78)+(O82/O52*O84)+(O88/O52*O90)+(O94/O52*O96)+(O100/O52*O102)+(O106/O52*O108)</f>
        <v>17.897038288288289</v>
      </c>
      <c r="P53" s="143">
        <f>+(P76/P52*P78)+(P82/P52*P84)+(P88/P52*P90)+(P94/P52*P96)+(P100/P52*P102)+(P106/P52*P108)</f>
        <v>18.445283644501067</v>
      </c>
      <c r="Q53" s="143">
        <f>+(Q76/Q52*Q78)+(Q82/Q52*Q84)+(Q88/Q52*Q90)+(Q94/Q52*Q96)+(Q100/Q52*Q102)+(Q106/Q52*Q108)</f>
        <v>19.259164413877631</v>
      </c>
      <c r="R53" s="54"/>
      <c r="S53" s="143">
        <f>+(S76/S52*S78)+(S82/S52*S84)+(S88/S52*S90)+(S94/S52*S96)+(S100/S52*S102)+(S106/S52*S108)</f>
        <v>18.636935991302426</v>
      </c>
      <c r="T53" s="143">
        <f>+(T76/T52*T78)+(T82/T52*T84)+(T88/T52*T90)+(T94/T52*T96)+(T100/T52*T102)+(T106/T52*T108)</f>
        <v>18.6497792807371</v>
      </c>
      <c r="U53" s="143">
        <f>+(U76/U52*U78)+(U82/U52*U84)+(U88/U52*U90)+(U94/U52*U96)+(U100/U52*U102)+(U106/U52*U108)</f>
        <v>19.122682138283686</v>
      </c>
      <c r="V53" s="143">
        <f>+(V76/V52*V78)+(V82/V52*V84)+(V88/V52*V90)+(V94/V52*V96)+(V100/V52*V102)+(V106/V52*V108)</f>
        <v>19.810413116031182</v>
      </c>
      <c r="W53" s="54"/>
      <c r="X53" s="143">
        <f>+(X76/X52*X78)+(X82/X52*X84)+(X88/X52*X90)+(X94/X52*X96)+(X100/X52*X102)+(X106/X52*X108)</f>
        <v>18.977040648532263</v>
      </c>
      <c r="Y53" s="143">
        <f>+(Y76/Y52*Y78)+(Y82/Y52*Y84)+(Y88/Y52*Y90)+(Y94/Y52*Y96)+(Y100/Y52*Y102)+(Y106/Y52*Y108)</f>
        <v>19.007609012640412</v>
      </c>
      <c r="Z53" s="143">
        <f>+(Z76/Z52*Z78)+(Z82/Z52*Z84)+(Z88/Z52*Z90)+(Z94/Z52*Z96)+(Z100/Z52*Z102)+(Z106/Z52*Z108)</f>
        <v>19.47636030092513</v>
      </c>
      <c r="AA53" s="143">
        <f>+(AA76/AA52*AA78)+(AA82/AA52*AA84)+(AA88/AA52*AA90)+(AA94/AA52*AA96)+(AA100/AA52*AA102)+(AA106/AA52*AA108)</f>
        <v>20.107775787131466</v>
      </c>
      <c r="AB53" s="54"/>
      <c r="AC53" s="143">
        <f>+(AC76/AC52*AC78)+(AC82/AC52*AC84)+(AC88/AC52*AC90)+(AC94/AC52*AC96)+(AC100/AC52*AC102)+(AC106/AC52*AC108)</f>
        <v>19.330502748887476</v>
      </c>
      <c r="AD53" s="143">
        <f>+(AD76/AD52*AD78)+(AD82/AD52*AD84)+(AD88/AD52*AD90)+(AD94/AD52*AD96)+(AD100/AD52*AD102)+(AD106/AD52*AD108)</f>
        <v>19.347575739903959</v>
      </c>
      <c r="AE53" s="143">
        <f>+(AE76/AE52*AE78)+(AE82/AE52*AE84)+(AE88/AE52*AE90)+(AE94/AE52*AE96)+(AE100/AE52*AE102)+(AE106/AE52*AE108)</f>
        <v>19.812230820541998</v>
      </c>
      <c r="AF53" s="143">
        <f>+(AF76/AF52*AF78)+(AF82/AF52*AF84)+(AF88/AF52*AF90)+(AF94/AF52*AF96)+(AF100/AF52*AF102)+(AF106/AF52*AF108)</f>
        <v>20.448785277091201</v>
      </c>
      <c r="AG53" s="54"/>
      <c r="AH53" s="143">
        <f>+(AH76/AH52*AH78)+(AH82/AH52*AH84)+(AH88/AH52*AH90)+(AH94/AH52*AH96)+(AH100/AH52*AH102)+(AH106/AH52*AH108)</f>
        <v>19.638301862471366</v>
      </c>
      <c r="AI53" s="143">
        <f>+(AI76/AI52*AI78)+(AI82/AI52*AI84)+(AI88/AI52*AI90)+(AI94/AI52*AI96)+(AI100/AI52*AI102)+(AI106/AI52*AI108)</f>
        <v>19.629863892900318</v>
      </c>
      <c r="AJ53" s="143">
        <f>+(AJ76/AJ52*AJ78)+(AJ82/AJ52*AJ84)+(AJ88/AJ52*AJ90)+(AJ94/AJ52*AJ96)+(AJ100/AJ52*AJ102)+(AJ106/AJ52*AJ108)</f>
        <v>20.079191078406673</v>
      </c>
      <c r="AK53" s="143">
        <f>+(AK76/AK52*AK78)+(AK82/AK52*AK84)+(AK88/AK52*AK90)+(AK94/AK52*AK96)+(AK100/AK52*AK102)+(AK106/AK52*AK108)</f>
        <v>20.705272613586537</v>
      </c>
      <c r="AL53" s="54"/>
      <c r="AM53" s="143">
        <f>+(AM76/AM52*AM78)+(AM82/AM52*AM84)+(AM88/AM52*AM90)+(AM94/AM52*AM96)+(AM100/AM52*AM102)+(AM106/AM52*AM108)</f>
        <v>19.881202364508198</v>
      </c>
      <c r="AN53" s="143">
        <f>+(AN76/AN52*AN78)+(AN82/AN52*AN84)+(AN88/AN52*AN90)+(AN94/AN52*AN96)+(AN100/AN52*AN102)+(AN106/AN52*AN108)</f>
        <v>19.842680710232891</v>
      </c>
      <c r="AO53" s="143">
        <f>+(AO76/AO52*AO78)+(AO82/AO52*AO84)+(AO88/AO52*AO90)+(AO94/AO52*AO96)+(AO100/AO52*AO102)+(AO106/AO52*AO108)</f>
        <v>20.272159667033662</v>
      </c>
      <c r="AP53" s="143">
        <f>+(AP76/AP52*AP78)+(AP82/AP52*AP84)+(AP88/AP52*AP90)+(AP94/AP52*AP96)+(AP100/AP52*AP102)+(AP106/AP52*AP108)</f>
        <v>20.884406544209565</v>
      </c>
      <c r="AQ53" s="54"/>
    </row>
    <row r="54" spans="2:43" outlineLevel="1" x14ac:dyDescent="0.3">
      <c r="B54" s="315" t="s">
        <v>201</v>
      </c>
      <c r="C54" s="302"/>
      <c r="D54" s="125">
        <f>+D80+D86+D92+D98+D104+D110</f>
        <v>5260.8987599999991</v>
      </c>
      <c r="E54" s="125">
        <f>+E80+E86+E92+E98+E104+E110</f>
        <v>5241.5319978000007</v>
      </c>
      <c r="F54" s="125">
        <f>+F80+F86+F92+F98+F104+F110</f>
        <v>5232.5659260000002</v>
      </c>
      <c r="G54" s="125">
        <f>+G80+G86+G92+G98+G104+G110</f>
        <v>5332.1033277126935</v>
      </c>
      <c r="H54" s="54"/>
      <c r="I54" s="125">
        <f>+I80+I86+I92+I98+I104+I110</f>
        <v>6398.1742500000009</v>
      </c>
      <c r="J54" s="125">
        <f>+J80+J86+J92+J98+J104+J110</f>
        <v>6531.2815710492059</v>
      </c>
      <c r="K54" s="125">
        <f>+K80+K86+K92+K98+K104+K110</f>
        <v>6509.7422784000009</v>
      </c>
      <c r="L54" s="125">
        <f>+L80+L86+L92+L98+L104+L110</f>
        <v>6836.3839444273744</v>
      </c>
      <c r="M54" s="54"/>
      <c r="N54" s="125">
        <f>+N80+N86+N92+N98+N104+N110</f>
        <v>6633.8029550000001</v>
      </c>
      <c r="O54" s="125">
        <f>+O80+O86+O92+O98+O104+O110</f>
        <v>7008.6233700000003</v>
      </c>
      <c r="P54" s="125">
        <f>+P80+P86+P92+P98+P104+P110</f>
        <v>7001.2800020000004</v>
      </c>
      <c r="Q54" s="125">
        <f>+Q80+Q86+Q92+Q98+Q104+Q110</f>
        <v>7353.591934</v>
      </c>
      <c r="R54" s="54"/>
      <c r="S54" s="125">
        <f>+S80+S86+S92+S98+S104+S110</f>
        <v>7131.1533214999999</v>
      </c>
      <c r="T54" s="125">
        <f>+T80+T86+T92+T98+T104+T110</f>
        <v>7361.7733959482939</v>
      </c>
      <c r="U54" s="125">
        <f>+U80+U86+U92+U98+U104+U110</f>
        <v>7202.0801940295032</v>
      </c>
      <c r="V54" s="125">
        <f>+V80+V86+V92+V98+V104+V110</f>
        <v>7515.2762562077523</v>
      </c>
      <c r="W54" s="54"/>
      <c r="X54" s="125">
        <f>+X80+X86+X92+X98+X104+X110</f>
        <v>7228.126877150069</v>
      </c>
      <c r="Y54" s="125">
        <f>+Y80+Y86+Y92+Y98+Y104+Y110</f>
        <v>7387.7101741304332</v>
      </c>
      <c r="Z54" s="125">
        <f>+Z80+Z86+Z92+Z98+Z104+Z110</f>
        <v>7228.4775441722704</v>
      </c>
      <c r="AA54" s="125">
        <f>+AA80+AA86+AA92+AA98+AA104+AA110</f>
        <v>7499.4379774258759</v>
      </c>
      <c r="AB54" s="54"/>
      <c r="AC54" s="125">
        <f>+AC80+AC86+AC92+AC98+AC104+AC110</f>
        <v>7270.5306084303911</v>
      </c>
      <c r="AD54" s="125">
        <f>+AD80+AD86+AD92+AD98+AD104+AD110</f>
        <v>7406.6397371132334</v>
      </c>
      <c r="AE54" s="125">
        <f>+AE80+AE86+AE92+AE98+AE104+AE110</f>
        <v>7250.6744546937007</v>
      </c>
      <c r="AF54" s="125">
        <f>+AF80+AF86+AF92+AF98+AF104+AF110</f>
        <v>7516.7113511466414</v>
      </c>
      <c r="AG54" s="54"/>
      <c r="AH54" s="125">
        <f>+AH80+AH86+AH92+AH98+AH104+AH110</f>
        <v>7266.3420454111492</v>
      </c>
      <c r="AI54" s="125">
        <f>+AI80+AI86+AI92+AI98+AI104+AI110</f>
        <v>7381.9994876023784</v>
      </c>
      <c r="AJ54" s="125">
        <f>+AJ80+AJ86+AJ92+AJ98+AJ104+AJ110</f>
        <v>7221.7253522264009</v>
      </c>
      <c r="AK54" s="125">
        <f>+AK80+AK86+AK92+AK98+AK104+AK110</f>
        <v>7468.6793995779308</v>
      </c>
      <c r="AL54" s="54"/>
      <c r="AM54" s="125">
        <f>+AM80+AM86+AM92+AM98+AM104+AM110</f>
        <v>7211.1253437048799</v>
      </c>
      <c r="AN54" s="125">
        <f>+AN80+AN86+AN92+AN98+AN104+AN110</f>
        <v>7304.6739266619388</v>
      </c>
      <c r="AO54" s="125">
        <f>+AO80+AO86+AO92+AO98+AO104+AO110</f>
        <v>7139.0582518685505</v>
      </c>
      <c r="AP54" s="125">
        <f>+AP80+AP86+AP92+AP98+AP104+AP110</f>
        <v>7364.5698180150594</v>
      </c>
      <c r="AQ54" s="54"/>
    </row>
    <row r="55" spans="2:43" outlineLevel="1" x14ac:dyDescent="0.3">
      <c r="B55" s="161" t="s">
        <v>365</v>
      </c>
      <c r="C55" s="162"/>
      <c r="D55" s="163">
        <f>+D112+D118+D124+D130</f>
        <v>10377.9</v>
      </c>
      <c r="E55" s="163">
        <f>+E112+E118+E124+E130</f>
        <v>11495</v>
      </c>
      <c r="F55" s="163">
        <f>+F112+F118+F124+F130</f>
        <v>11376.4</v>
      </c>
      <c r="G55" s="163">
        <f>+G112+G118+G124+G130</f>
        <v>12001.89</v>
      </c>
      <c r="H55" s="165"/>
      <c r="I55" s="163">
        <f>+I112+I118+I124+I130</f>
        <v>25882.400000000001</v>
      </c>
      <c r="J55" s="163">
        <f>+J112+J118+J124+J130</f>
        <v>28145.8</v>
      </c>
      <c r="K55" s="163">
        <f>+K112+K118+K124+K130</f>
        <v>28269.4</v>
      </c>
      <c r="L55" s="163">
        <f>+L112+L118+L124+L130</f>
        <v>28036.3</v>
      </c>
      <c r="M55" s="165"/>
      <c r="N55" s="163">
        <f>+N112+N118+N124+N130</f>
        <v>24766.5</v>
      </c>
      <c r="O55" s="163">
        <f>+O112+O118+O124+O130</f>
        <v>29556</v>
      </c>
      <c r="P55" s="163">
        <f>+P112+P118+P124+P130</f>
        <v>29347.8</v>
      </c>
      <c r="Q55" s="163">
        <f>+Q112+Q118+Q124+Q130</f>
        <v>29576</v>
      </c>
      <c r="R55" s="165"/>
      <c r="S55" s="163">
        <f>+S112+S118+S124+S130</f>
        <v>28800</v>
      </c>
      <c r="T55" s="163">
        <f>+T112+T118+T124+T130</f>
        <v>31450.941233548532</v>
      </c>
      <c r="U55" s="163">
        <f>+U112+U118+U124+U130</f>
        <v>30948.817739181177</v>
      </c>
      <c r="V55" s="163">
        <f>+V112+V118+V124+V130</f>
        <v>31450.849293927851</v>
      </c>
      <c r="W55" s="165"/>
      <c r="X55" s="163">
        <f>+X112+X118+X124+X130</f>
        <v>30801.082485197276</v>
      </c>
      <c r="Y55" s="163">
        <f>+Y112+Y118+Y124+Y130</f>
        <v>33064.434756761533</v>
      </c>
      <c r="Z55" s="163">
        <f>+Z112+Z118+Z124+Z130</f>
        <v>32698.150575642267</v>
      </c>
      <c r="AA55" s="163">
        <f>+AA112+AA118+AA124+AA130</f>
        <v>33288.979362602877</v>
      </c>
      <c r="AB55" s="165"/>
      <c r="AC55" s="163">
        <f>+AC112+AC118+AC124+AC130</f>
        <v>32700.955034638293</v>
      </c>
      <c r="AD55" s="163">
        <f>+AD112+AD118+AD124+AD130</f>
        <v>34955.918359470765</v>
      </c>
      <c r="AE55" s="163">
        <f>+AE112+AE118+AE124+AE130</f>
        <v>34651.81401259132</v>
      </c>
      <c r="AF55" s="163">
        <f>+AF112+AF118+AF124+AF130</f>
        <v>35346.275280182606</v>
      </c>
      <c r="AG55" s="165"/>
      <c r="AH55" s="163">
        <f>+AH112+AH118+AH124+AH130</f>
        <v>34669.011443029689</v>
      </c>
      <c r="AI55" s="163">
        <f>+AI112+AI118+AI124+AI130</f>
        <v>36967.615099281058</v>
      </c>
      <c r="AJ55" s="163">
        <f>+AJ112+AJ118+AJ124+AJ130</f>
        <v>36680.295452408376</v>
      </c>
      <c r="AK55" s="163">
        <f>+AK112+AK118+AK124+AK130</f>
        <v>37446.743502968777</v>
      </c>
      <c r="AL55" s="165"/>
      <c r="AM55" s="163">
        <f>+AM112+AM118+AM124+AM130</f>
        <v>36710.164586014318</v>
      </c>
      <c r="AN55" s="163">
        <f>+AN112+AN118+AN124+AN130</f>
        <v>39054.955250682331</v>
      </c>
      <c r="AO55" s="163">
        <f>+AO112+AO118+AO124+AO130</f>
        <v>38769.966037687111</v>
      </c>
      <c r="AP55" s="163">
        <f>+AP112+AP118+AP124+AP130</f>
        <v>39608.622043222938</v>
      </c>
      <c r="AQ55" s="165"/>
    </row>
    <row r="56" spans="2:43" outlineLevel="1" x14ac:dyDescent="0.3">
      <c r="B56" s="159" t="s">
        <v>199</v>
      </c>
      <c r="C56" s="128"/>
      <c r="D56" s="130">
        <f>+(D112/D55*D114)+(D118/D55*D120)+(D124/D55*D126)+(D130/D55*D132)</f>
        <v>1.4222248817198084</v>
      </c>
      <c r="E56" s="130">
        <f>+(E112/E55*E114)+(E118/E55*E120)+(E124/E55*E126)+(E130/E55*E132)</f>
        <v>1.3319469334493257</v>
      </c>
      <c r="F56" s="130">
        <f>+(F112/F55*F114)+(F118/F55*F120)+(F124/F55*F126)+(F130/F55*F132)</f>
        <v>1.3986298653352554</v>
      </c>
      <c r="G56" s="130">
        <f>+(G112/G55*G114)+(G118/G55*G120)+(G124/G55*G126)+(G130/G55*G132)</f>
        <v>1.366286631188921</v>
      </c>
      <c r="H56" s="136"/>
      <c r="I56" s="130">
        <f>+(I112/I55*I114)+(I118/I55*I120)+(I124/I55*I126)+(I130/I55*I132)</f>
        <v>0.93152128859765715</v>
      </c>
      <c r="J56" s="130">
        <f>+(J112/J55*J114)+(J118/J55*J120)+(J124/J55*J126)+(J130/J55*J132)</f>
        <v>0.9020457581592991</v>
      </c>
      <c r="K56" s="130">
        <f>+(K112/K55*K114)+(K118/K55*K120)+(K124/K55*K126)+(K130/K55*K132)</f>
        <v>0.94641077631644099</v>
      </c>
      <c r="L56" s="130">
        <f>+(L112/L55*L114)+(L118/L55*L120)+(L124/L55*L126)+(L130/L55*L132)</f>
        <v>0.93511763321122976</v>
      </c>
      <c r="M56" s="136"/>
      <c r="N56" s="130">
        <f>+(N112/N55*N114)+(N118/N55*N120)+(N124/N55*N126)+(N130/N55*N132)</f>
        <v>0.9610276987059132</v>
      </c>
      <c r="O56" s="130">
        <f>+(O112/O55*O114)+(O118/O55*O120)+(O124/O55*O126)+(O130/O55*O132)</f>
        <v>0.97748115441873051</v>
      </c>
      <c r="P56" s="130">
        <f>+(P112/P55*P114)+(P118/P55*P120)+(P124/P55*P126)+(P130/P55*P132)</f>
        <v>1.0267137843381786</v>
      </c>
      <c r="Q56" s="130">
        <f>+(Q112/Q55*Q114)+(Q118/Q55*Q120)+(Q124/Q55*Q126)+(Q130/Q55*Q132)</f>
        <v>1.0452215985934541</v>
      </c>
      <c r="R56" s="136"/>
      <c r="S56" s="130">
        <f>+(S112/S55*S114)+(S118/S55*S120)+(S124/S55*S126)+(S130/S55*S132)</f>
        <v>1.0062736805555557</v>
      </c>
      <c r="T56" s="130">
        <f>+(T112/T55*T114)+(T118/T55*T120)+(T124/T55*T126)+(T130/T55*T132)</f>
        <v>1.0500027556633098</v>
      </c>
      <c r="U56" s="130">
        <f>+(U112/U55*U114)+(U118/U55*U120)+(U124/U55*U126)+(U130/U55*U132)</f>
        <v>1.0879721091619341</v>
      </c>
      <c r="V56" s="130">
        <f>+(V112/V55*V114)+(V118/V55*V120)+(V124/V55*V126)+(V130/V55*V132)</f>
        <v>1.1013223094277984</v>
      </c>
      <c r="W56" s="136"/>
      <c r="X56" s="130">
        <f>+(X112/X55*X114)+(X118/X55*X120)+(X124/X55*X126)+(X130/X55*X132)</f>
        <v>1.0500686303653748</v>
      </c>
      <c r="Y56" s="130">
        <f>+(Y112/Y55*Y114)+(Y118/Y55*Y120)+(Y124/Y55*Y126)+(Y130/Y55*Y132)</f>
        <v>1.0978180908428368</v>
      </c>
      <c r="Z56" s="130">
        <f>+(Z112/Z55*Z114)+(Z118/Z55*Z120)+(Z124/Z55*Z126)+(Z130/Z55*Z132)</f>
        <v>1.1357546851852904</v>
      </c>
      <c r="AA56" s="130">
        <f>+(AA112/AA55*AA114)+(AA118/AA55*AA120)+(AA124/AA55*AA126)+(AA130/AA55*AA132)</f>
        <v>1.1435908328547004</v>
      </c>
      <c r="AB56" s="136"/>
      <c r="AC56" s="130">
        <f>+(AC112/AC55*AC114)+(AC118/AC55*AC120)+(AC124/AC55*AC126)+(AC130/AC55*AC132)</f>
        <v>1.0942131470640677</v>
      </c>
      <c r="AD56" s="130">
        <f>+(AD112/AD55*AD114)+(AD118/AD55*AD120)+(AD124/AD55*AD126)+(AD130/AD55*AD132)</f>
        <v>1.1443238665305855</v>
      </c>
      <c r="AE56" s="130">
        <f>+(AE112/AE55*AE114)+(AE118/AE55*AE120)+(AE124/AE55*AE126)+(AE130/AE55*AE132)</f>
        <v>1.1833902634993549</v>
      </c>
      <c r="AF56" s="130">
        <f>+(AF112/AF55*AF114)+(AF118/AF55*AF120)+(AF124/AF55*AF126)+(AF130/AF55*AF132)</f>
        <v>1.1892414909144835</v>
      </c>
      <c r="AG56" s="136"/>
      <c r="AH56" s="130">
        <f>+(AH112/AH55*AH114)+(AH118/AH55*AH120)+(AH124/AH55*AH126)+(AH130/AH55*AH132)</f>
        <v>1.1359454597828349</v>
      </c>
      <c r="AI56" s="130">
        <f>+(AI112/AI55*AI114)+(AI118/AI55*AI120)+(AI124/AI55*AI126)+(AI130/AI55*AI132)</f>
        <v>1.1876186545849015</v>
      </c>
      <c r="AJ56" s="130">
        <f>+(AJ112/AJ55*AJ114)+(AJ118/AJ55*AJ120)+(AJ124/AJ55*AJ126)+(AJ130/AJ55*AJ132)</f>
        <v>1.2274281226225798</v>
      </c>
      <c r="AK56" s="130">
        <f>+(AK112/AK55*AK114)+(AK118/AK55*AK120)+(AK124/AK55*AK126)+(AK130/AK55*AK132)</f>
        <v>1.2303305094795565</v>
      </c>
      <c r="AL56" s="136"/>
      <c r="AM56" s="130">
        <f>+(AM112/AM55*AM114)+(AM118/AM55*AM120)+(AM124/AM55*AM126)+(AM130/AM55*AM132)</f>
        <v>1.1740102140276381</v>
      </c>
      <c r="AN56" s="130">
        <f>+(AN112/AN55*AN114)+(AN118/AN55*AN120)+(AN124/AN55*AN126)+(AN130/AN55*AN132)</f>
        <v>1.2267174072924492</v>
      </c>
      <c r="AO56" s="130">
        <f>+(AO112/AO55*AO114)+(AO118/AO55*AO120)+(AO124/AO55*AO126)+(AO130/AO55*AO132)</f>
        <v>1.2670426016124212</v>
      </c>
      <c r="AP56" s="130">
        <f>+(AP112/AP55*AP114)+(AP118/AP55*AP120)+(AP124/AP55*AP126)+(AP130/AP55*AP132)</f>
        <v>1.2667613576654655</v>
      </c>
      <c r="AQ56" s="136"/>
    </row>
    <row r="57" spans="2:43" outlineLevel="1" x14ac:dyDescent="0.3">
      <c r="B57" s="160" t="s">
        <v>202</v>
      </c>
      <c r="C57" s="131"/>
      <c r="D57" s="148">
        <f>+D116+D122+D128+D135</f>
        <v>959.38099399999987</v>
      </c>
      <c r="E57" s="148">
        <f>+E116+E122+E128+E135</f>
        <v>964.57599000000005</v>
      </c>
      <c r="F57" s="148">
        <f>+F116+F122+F128+F135</f>
        <v>1002.4164863999999</v>
      </c>
      <c r="G57" s="148">
        <f>+G116+G122+G128+G135</f>
        <v>1065.87142064</v>
      </c>
      <c r="H57" s="137"/>
      <c r="I57" s="148">
        <f>+I116+I122+I128+I135</f>
        <v>1567.1504289999998</v>
      </c>
      <c r="J57" s="148">
        <f>+J116+J122+J128+J135</f>
        <v>1599.4943684999998</v>
      </c>
      <c r="K57" s="148">
        <f>+K116+K122+K128+K135</f>
        <v>1658.7768176000002</v>
      </c>
      <c r="L57" s="148">
        <f>+L116+L122+L128+L135</f>
        <v>1704.1205024999999</v>
      </c>
      <c r="M57" s="137"/>
      <c r="N57" s="148">
        <f>+N116+N122+N128+N135</f>
        <v>1547.0840125</v>
      </c>
      <c r="O57" s="148">
        <f>+O116+O122+O128+O135</f>
        <v>1829.0972790000001</v>
      </c>
      <c r="P57" s="148">
        <f>+P116+P122+P128+P135</f>
        <v>1875.1710295999999</v>
      </c>
      <c r="Q57" s="148">
        <f>+Q116+Q122+Q128+Q135</f>
        <v>2009.37581</v>
      </c>
      <c r="R57" s="137"/>
      <c r="S57" s="148">
        <f>+S116+S122+S128+S135</f>
        <v>1883.74433</v>
      </c>
      <c r="T57" s="148">
        <f>+T116+T122+T128+T135</f>
        <v>2080.4852226961384</v>
      </c>
      <c r="U57" s="148">
        <f>+U116+U122+U128+U135</f>
        <v>2087.6299317294438</v>
      </c>
      <c r="V57" s="148">
        <f>+V116+V122+V128+V135</f>
        <v>2251.4389285605275</v>
      </c>
      <c r="W57" s="137"/>
      <c r="X57" s="148">
        <f>+X116+X122+X128+X135</f>
        <v>2102.3112824351319</v>
      </c>
      <c r="Y57" s="148">
        <f>+Y116+Y122+Y128+Y135</f>
        <v>2286.8202822863254</v>
      </c>
      <c r="Z57" s="148">
        <f>+Z116+Z122+Z128+Z135</f>
        <v>2302.4988182171483</v>
      </c>
      <c r="AA57" s="148">
        <f>+AA116+AA122+AA128+AA135</f>
        <v>2474.4831562205272</v>
      </c>
      <c r="AB57" s="137"/>
      <c r="AC57" s="148">
        <f>+AC116+AC122+AC128+AC135</f>
        <v>2325.8179698293889</v>
      </c>
      <c r="AD57" s="148">
        <f>+AD116+AD122+AD128+AD135</f>
        <v>2520.0561742799355</v>
      </c>
      <c r="AE57" s="148">
        <f>+AE116+AE122+AE128+AE135</f>
        <v>2542.410397535647</v>
      </c>
      <c r="AF57" s="148">
        <f>+AF116+AF122+AF128+AF135</f>
        <v>2732.2917123110778</v>
      </c>
      <c r="AG57" s="137"/>
      <c r="AH57" s="148">
        <f>+AH116+AH122+AH128+AH135</f>
        <v>2559.8368993514669</v>
      </c>
      <c r="AI57" s="148">
        <f>+AI116+AI122+AI128+AI135</f>
        <v>2765.9160463675021</v>
      </c>
      <c r="AJ57" s="148">
        <f>+AJ116+AJ122+AJ128+AJ135</f>
        <v>2791.3904234322517</v>
      </c>
      <c r="AK57" s="148">
        <f>+AK116+AK122+AK128+AK135</f>
        <v>2994.6716158032605</v>
      </c>
      <c r="AL57" s="137"/>
      <c r="AM57" s="148">
        <f>+AM116+AM122+AM128+AM135</f>
        <v>2801.3770318700717</v>
      </c>
      <c r="AN57" s="148">
        <f>+AN116+AN122+AN128+AN135</f>
        <v>3018.2917871634977</v>
      </c>
      <c r="AO57" s="148">
        <f>+AO116+AO122+AO128+AO135</f>
        <v>3045.6383152346107</v>
      </c>
      <c r="AP57" s="148">
        <f>+AP116+AP122+AP128+AP135</f>
        <v>3261.3536692575394</v>
      </c>
      <c r="AQ57" s="137"/>
    </row>
    <row r="58" spans="2:43" outlineLevel="1" x14ac:dyDescent="0.3">
      <c r="B58" s="313" t="s">
        <v>205</v>
      </c>
      <c r="C58" s="314"/>
      <c r="D58" s="265">
        <v>128</v>
      </c>
      <c r="E58" s="265">
        <v>124</v>
      </c>
      <c r="F58" s="265">
        <v>118</v>
      </c>
      <c r="G58" s="265">
        <v>124</v>
      </c>
      <c r="H58" s="202"/>
      <c r="I58" s="265">
        <v>284</v>
      </c>
      <c r="J58" s="265">
        <v>259</v>
      </c>
      <c r="K58" s="265">
        <v>194</v>
      </c>
      <c r="L58" s="265">
        <v>281</v>
      </c>
      <c r="M58" s="202"/>
      <c r="N58" s="265">
        <v>219.5</v>
      </c>
      <c r="O58" s="265">
        <v>238</v>
      </c>
      <c r="P58" s="265">
        <v>222</v>
      </c>
      <c r="Q58" s="265">
        <v>235</v>
      </c>
      <c r="R58" s="202"/>
      <c r="S58" s="265">
        <v>206.4</v>
      </c>
      <c r="T58" s="265">
        <f>+O58*(1+T59)</f>
        <v>228.47206596157577</v>
      </c>
      <c r="U58" s="265">
        <f>+P58*(1+U59)</f>
        <v>215.39074917788773</v>
      </c>
      <c r="V58" s="265">
        <f>+Q58*(1+V59)</f>
        <v>217.77526977744211</v>
      </c>
      <c r="W58" s="202"/>
      <c r="X58" s="265">
        <f>+S58*(1+X59)</f>
        <v>195.93642020632993</v>
      </c>
      <c r="Y58" s="265">
        <f>+T58*(1+Y59)</f>
        <v>217.40276004899377</v>
      </c>
      <c r="Z58" s="265">
        <f>+U58*(1+Z59)</f>
        <v>204.50204475121012</v>
      </c>
      <c r="AA58" s="265">
        <f>+V58*(1+AA59)</f>
        <v>205.63457630550963</v>
      </c>
      <c r="AB58" s="202"/>
      <c r="AC58" s="265">
        <f>+X58*(1+AC59)</f>
        <v>185.87278781640535</v>
      </c>
      <c r="AD58" s="265">
        <f>+Y58*(1+AD59)</f>
        <v>206.20037721136816</v>
      </c>
      <c r="AE58" s="265">
        <f>+Z58*(1+AE59)</f>
        <v>193.80699918066304</v>
      </c>
      <c r="AF58" s="265">
        <f>+AA58*(1+AF59)</f>
        <v>194.79060746172118</v>
      </c>
      <c r="AG58" s="202"/>
      <c r="AH58" s="265">
        <f>+AC58*(1+AH59)</f>
        <v>176.21102137071247</v>
      </c>
      <c r="AI58" s="265">
        <f>+AD58*(1+AI59)</f>
        <v>195.45007223843527</v>
      </c>
      <c r="AJ58" s="265">
        <f>+AE58*(1+AJ59)</f>
        <v>183.67341621679324</v>
      </c>
      <c r="AK58" s="265">
        <f>+AF58*(1+AK59)</f>
        <v>184.60613060588008</v>
      </c>
      <c r="AL58" s="202"/>
      <c r="AM58" s="265">
        <f>+AH58*(1+AM59)</f>
        <v>167.01778500257836</v>
      </c>
      <c r="AN58" s="265">
        <f>+AI58*(1+AN59)</f>
        <v>185.24375791962689</v>
      </c>
      <c r="AO58" s="265">
        <f>+AJ58*(1+AO59)</f>
        <v>174.07820202400603</v>
      </c>
      <c r="AP58" s="265">
        <f>+AK58*(1+AP59)</f>
        <v>174.96433021568583</v>
      </c>
      <c r="AQ58" s="202"/>
    </row>
    <row r="59" spans="2:43" outlineLevel="1" x14ac:dyDescent="0.3">
      <c r="B59" s="316" t="s">
        <v>325</v>
      </c>
      <c r="C59" s="292"/>
      <c r="D59" s="166">
        <f>+D58/378-1</f>
        <v>-0.66137566137566139</v>
      </c>
      <c r="E59" s="166">
        <f>+E58/415-1</f>
        <v>-0.70120481927710843</v>
      </c>
      <c r="F59" s="166">
        <f>+F58/365-1</f>
        <v>-0.67671232876712328</v>
      </c>
      <c r="G59" s="166">
        <f>+G58/380-1</f>
        <v>-0.67368421052631577</v>
      </c>
      <c r="H59" s="54"/>
      <c r="I59" s="166">
        <f>+I58/D58-1</f>
        <v>1.21875</v>
      </c>
      <c r="J59" s="166">
        <f>+J58/E58-1</f>
        <v>1.088709677419355</v>
      </c>
      <c r="K59" s="166">
        <f>+K58/F58-1</f>
        <v>0.64406779661016955</v>
      </c>
      <c r="L59" s="166">
        <f>+L58/G58-1</f>
        <v>1.2661290322580645</v>
      </c>
      <c r="M59" s="54"/>
      <c r="N59" s="166">
        <f>+N58/I58-1</f>
        <v>-0.227112676056338</v>
      </c>
      <c r="O59" s="166">
        <f>+O58/J58-1</f>
        <v>-8.108108108108103E-2</v>
      </c>
      <c r="P59" s="166">
        <f>+P58/K58-1</f>
        <v>0.14432989690721643</v>
      </c>
      <c r="Q59" s="166">
        <f>+Q58/L58-1</f>
        <v>-0.16370106761565839</v>
      </c>
      <c r="R59" s="54"/>
      <c r="S59" s="166">
        <f>+S58/N58-1</f>
        <v>-5.9681093394077456E-2</v>
      </c>
      <c r="T59" s="142">
        <f>AVERAGE(S59,Q59,P59,O59)</f>
        <v>-4.0033336295900113E-2</v>
      </c>
      <c r="U59" s="142">
        <f>AVERAGE(T59,S59,Q59,P59)</f>
        <v>-2.9771400099604883E-2</v>
      </c>
      <c r="V59" s="142">
        <f>AVERAGE(U59,T59,S59,Q59)</f>
        <v>-7.3296724351310211E-2</v>
      </c>
      <c r="W59" s="54"/>
      <c r="X59" s="142">
        <f>AVERAGE(V59,U59,T59,S59)</f>
        <v>-5.0695638535223166E-2</v>
      </c>
      <c r="Y59" s="142">
        <f>AVERAGE(X59,V59,U59,T59)</f>
        <v>-4.8449274820509591E-2</v>
      </c>
      <c r="Z59" s="142">
        <f>AVERAGE(Y59,X59,V59,U59)</f>
        <v>-5.0553259451661961E-2</v>
      </c>
      <c r="AA59" s="142">
        <f>AVERAGE(Z59,Y59,X59,V59)</f>
        <v>-5.5748724289676234E-2</v>
      </c>
      <c r="AB59" s="54"/>
      <c r="AC59" s="142">
        <f>AVERAGE(AA59,Z59,Y59,X59)</f>
        <v>-5.1361724274267738E-2</v>
      </c>
      <c r="AD59" s="142">
        <f>AVERAGE(AC59,AA59,Z59,Y59)</f>
        <v>-5.1528245709028878E-2</v>
      </c>
      <c r="AE59" s="142">
        <f>AVERAGE(AD59,AC59,AA59,Z59)</f>
        <v>-5.2297988431158696E-2</v>
      </c>
      <c r="AF59" s="142">
        <f>AVERAGE(AE59,AD59,AC59,AA59)</f>
        <v>-5.2734170676032886E-2</v>
      </c>
      <c r="AG59" s="54"/>
      <c r="AH59" s="142">
        <f>AVERAGE(AF59,AE59,AD59,AC59)</f>
        <v>-5.1980532272622053E-2</v>
      </c>
      <c r="AI59" s="142">
        <f>AVERAGE(AH59,AF59,AE59,AD59)</f>
        <v>-5.2135234272210632E-2</v>
      </c>
      <c r="AJ59" s="142">
        <f>AVERAGE(AI59,AH59,AF59,AE59)</f>
        <v>-5.228698141300607E-2</v>
      </c>
      <c r="AK59" s="142">
        <f>AVERAGE(AJ59,AI59,AH59,AF59)</f>
        <v>-5.2284229658467914E-2</v>
      </c>
      <c r="AL59" s="54"/>
      <c r="AM59" s="142">
        <f>AVERAGE(AK59,AJ59,AI59,AH59)</f>
        <v>-5.2171744404076667E-2</v>
      </c>
      <c r="AN59" s="142">
        <f>AVERAGE(AM59,AK59,AJ59,AI59)</f>
        <v>-5.2219547436940322E-2</v>
      </c>
      <c r="AO59" s="142">
        <f>AVERAGE(AN59,AM59,AK59,AJ59)</f>
        <v>-5.2240625728122742E-2</v>
      </c>
      <c r="AP59" s="142">
        <f>AVERAGE(AO59,AN59,AM59,AK59)</f>
        <v>-5.2229036806901913E-2</v>
      </c>
      <c r="AQ59" s="54"/>
    </row>
    <row r="60" spans="2:43" outlineLevel="1" x14ac:dyDescent="0.3">
      <c r="B60" s="583" t="s">
        <v>541</v>
      </c>
      <c r="C60" s="584"/>
      <c r="D60" s="264">
        <f>+D58+D57+D54</f>
        <v>6348.2797539999992</v>
      </c>
      <c r="E60" s="264">
        <f t="shared" ref="E60:G60" si="24">+E58+E57+E54</f>
        <v>6330.107987800001</v>
      </c>
      <c r="F60" s="264">
        <f t="shared" si="24"/>
        <v>6352.9824124000006</v>
      </c>
      <c r="G60" s="264">
        <f t="shared" si="24"/>
        <v>6521.9747483526935</v>
      </c>
      <c r="H60" s="54"/>
      <c r="I60" s="264">
        <f>+I58+I57+I54</f>
        <v>8249.3246790000012</v>
      </c>
      <c r="J60" s="264">
        <f t="shared" ref="J60:L60" si="25">+J58+J57+J54</f>
        <v>8389.7759395492067</v>
      </c>
      <c r="K60" s="264">
        <f t="shared" si="25"/>
        <v>8362.5190960000018</v>
      </c>
      <c r="L60" s="264">
        <f t="shared" si="25"/>
        <v>8821.5044469273744</v>
      </c>
      <c r="M60" s="54"/>
      <c r="N60" s="264">
        <f>+N58+N57+N54</f>
        <v>8400.3869675000005</v>
      </c>
      <c r="O60" s="264">
        <f t="shared" ref="O60:Q60" si="26">+O58+O57+O54</f>
        <v>9075.7206490000008</v>
      </c>
      <c r="P60" s="264">
        <f t="shared" si="26"/>
        <v>9098.4510316000014</v>
      </c>
      <c r="Q60" s="264">
        <f t="shared" si="26"/>
        <v>9597.9677439999996</v>
      </c>
      <c r="R60" s="54"/>
      <c r="S60" s="264">
        <f>+S58+S57+S54</f>
        <v>9221.2976515000009</v>
      </c>
      <c r="T60" s="264">
        <f t="shared" ref="T60:V60" si="27">+T58+T57+T54</f>
        <v>9670.7306846060092</v>
      </c>
      <c r="U60" s="264">
        <f t="shared" si="27"/>
        <v>9505.1008749368339</v>
      </c>
      <c r="V60" s="264">
        <f t="shared" si="27"/>
        <v>9984.4904545457211</v>
      </c>
      <c r="W60" s="54"/>
      <c r="X60" s="264">
        <f>+X58+X57+X54</f>
        <v>9526.3745797915308</v>
      </c>
      <c r="Y60" s="264">
        <f t="shared" ref="Y60:AA60" si="28">+Y58+Y57+Y54</f>
        <v>9891.9332164657535</v>
      </c>
      <c r="Z60" s="264">
        <f t="shared" si="28"/>
        <v>9735.4784071406284</v>
      </c>
      <c r="AA60" s="264">
        <f t="shared" si="28"/>
        <v>10179.555709951914</v>
      </c>
      <c r="AB60" s="54"/>
      <c r="AC60" s="264">
        <f>+AC58+AC57+AC54</f>
        <v>9782.2213660761845</v>
      </c>
      <c r="AD60" s="264">
        <f t="shared" ref="AD60:AF60" si="29">+AD58+AD57+AD54</f>
        <v>10132.896288604537</v>
      </c>
      <c r="AE60" s="264">
        <f t="shared" si="29"/>
        <v>9986.8918514100114</v>
      </c>
      <c r="AF60" s="264">
        <f t="shared" si="29"/>
        <v>10443.79367091944</v>
      </c>
      <c r="AG60" s="54"/>
      <c r="AH60" s="264">
        <f>+AH58+AH57+AH54</f>
        <v>10002.389966133329</v>
      </c>
      <c r="AI60" s="264">
        <f t="shared" ref="AI60:AK60" si="30">+AI58+AI57+AI54</f>
        <v>10343.365606208316</v>
      </c>
      <c r="AJ60" s="264">
        <f t="shared" si="30"/>
        <v>10196.789191875447</v>
      </c>
      <c r="AK60" s="264">
        <f t="shared" si="30"/>
        <v>10647.957145987071</v>
      </c>
      <c r="AL60" s="54"/>
      <c r="AM60" s="264">
        <f>+AM58+AM57+AM54</f>
        <v>10179.520160577529</v>
      </c>
      <c r="AN60" s="264">
        <f t="shared" ref="AN60:AP60" si="31">+AN58+AN57+AN54</f>
        <v>10508.209471745064</v>
      </c>
      <c r="AO60" s="264">
        <f t="shared" si="31"/>
        <v>10358.774769127167</v>
      </c>
      <c r="AP60" s="264">
        <f t="shared" si="31"/>
        <v>10800.887817488285</v>
      </c>
      <c r="AQ60" s="54"/>
    </row>
    <row r="61" spans="2:43" x14ac:dyDescent="0.3">
      <c r="B61" s="291" t="s">
        <v>331</v>
      </c>
      <c r="C61" s="292"/>
      <c r="D61" s="139">
        <v>65</v>
      </c>
      <c r="E61" s="139">
        <v>63</v>
      </c>
      <c r="F61" s="139">
        <v>63</v>
      </c>
      <c r="G61" s="139">
        <v>65</v>
      </c>
      <c r="H61" s="54"/>
      <c r="I61" s="139">
        <v>65</v>
      </c>
      <c r="J61" s="139">
        <v>63</v>
      </c>
      <c r="K61" s="139">
        <v>62</v>
      </c>
      <c r="L61" s="139">
        <v>65</v>
      </c>
      <c r="M61" s="54"/>
      <c r="N61" s="139">
        <v>65</v>
      </c>
      <c r="O61" s="139">
        <v>63</v>
      </c>
      <c r="P61" s="139">
        <v>62</v>
      </c>
      <c r="Q61" s="139">
        <v>65</v>
      </c>
      <c r="R61" s="54"/>
      <c r="S61" s="139">
        <v>65</v>
      </c>
      <c r="T61" s="140">
        <v>63</v>
      </c>
      <c r="U61" s="140">
        <v>62</v>
      </c>
      <c r="V61" s="140">
        <v>65</v>
      </c>
      <c r="W61" s="499"/>
      <c r="X61" s="140">
        <v>65</v>
      </c>
      <c r="Y61" s="140">
        <v>63</v>
      </c>
      <c r="Z61" s="140">
        <v>62</v>
      </c>
      <c r="AA61" s="140">
        <v>65</v>
      </c>
      <c r="AB61" s="54"/>
      <c r="AC61" s="140">
        <v>65</v>
      </c>
      <c r="AD61" s="140">
        <v>63</v>
      </c>
      <c r="AE61" s="140">
        <v>62</v>
      </c>
      <c r="AF61" s="140">
        <v>65</v>
      </c>
      <c r="AG61" s="54"/>
      <c r="AH61" s="140">
        <v>65</v>
      </c>
      <c r="AI61" s="140">
        <v>63</v>
      </c>
      <c r="AJ61" s="140">
        <v>62</v>
      </c>
      <c r="AK61" s="140">
        <v>65</v>
      </c>
      <c r="AL61" s="54"/>
      <c r="AM61" s="140">
        <v>65</v>
      </c>
      <c r="AN61" s="140">
        <v>63</v>
      </c>
      <c r="AO61" s="140">
        <v>62</v>
      </c>
      <c r="AP61" s="140">
        <v>65</v>
      </c>
      <c r="AQ61" s="54"/>
    </row>
    <row r="62" spans="2:43" outlineLevel="1" x14ac:dyDescent="0.3">
      <c r="B62" s="180" t="s">
        <v>252</v>
      </c>
      <c r="C62" s="162"/>
      <c r="D62" s="317"/>
      <c r="E62" s="317"/>
      <c r="F62" s="317"/>
      <c r="G62" s="317"/>
      <c r="H62" s="165"/>
      <c r="I62" s="317"/>
      <c r="J62" s="317"/>
      <c r="K62" s="317"/>
      <c r="L62" s="317"/>
      <c r="M62" s="165"/>
      <c r="N62" s="317"/>
      <c r="O62" s="317"/>
      <c r="P62" s="317"/>
      <c r="Q62" s="186"/>
      <c r="R62" s="165"/>
      <c r="S62" s="186"/>
      <c r="T62" s="186"/>
      <c r="U62" s="186"/>
      <c r="V62" s="186"/>
      <c r="W62" s="165"/>
      <c r="X62" s="186"/>
      <c r="Y62" s="186"/>
      <c r="Z62" s="186"/>
      <c r="AA62" s="186"/>
      <c r="AB62" s="165"/>
      <c r="AC62" s="186"/>
      <c r="AD62" s="186"/>
      <c r="AE62" s="186"/>
      <c r="AF62" s="186"/>
      <c r="AG62" s="165"/>
      <c r="AH62" s="186"/>
      <c r="AI62" s="186"/>
      <c r="AJ62" s="186"/>
      <c r="AK62" s="186"/>
      <c r="AL62" s="165"/>
      <c r="AM62" s="186"/>
      <c r="AN62" s="186"/>
      <c r="AO62" s="186"/>
      <c r="AP62" s="186"/>
      <c r="AQ62" s="165"/>
    </row>
    <row r="63" spans="2:43" outlineLevel="1" x14ac:dyDescent="0.3">
      <c r="B63" s="178" t="s">
        <v>366</v>
      </c>
      <c r="C63" s="128"/>
      <c r="D63" s="168">
        <v>277269</v>
      </c>
      <c r="E63" s="168">
        <v>276180</v>
      </c>
      <c r="F63" s="168">
        <v>296643</v>
      </c>
      <c r="G63" s="168">
        <v>289243</v>
      </c>
      <c r="H63" s="136"/>
      <c r="I63" s="168">
        <v>282563</v>
      </c>
      <c r="J63" s="168">
        <v>280625</v>
      </c>
      <c r="K63" s="168">
        <v>293551</v>
      </c>
      <c r="L63" s="168">
        <v>293024</v>
      </c>
      <c r="M63" s="136"/>
      <c r="N63" s="168">
        <v>312427</v>
      </c>
      <c r="O63" s="168">
        <v>318978</v>
      </c>
      <c r="P63" s="168">
        <v>325851</v>
      </c>
      <c r="Q63" s="168">
        <v>317057</v>
      </c>
      <c r="R63" s="136"/>
      <c r="S63" s="168">
        <v>315006</v>
      </c>
      <c r="T63" s="140">
        <f>(O63/(O52+O55)*(T52+T55))*(1-2.5%)</f>
        <v>327910.18244265614</v>
      </c>
      <c r="U63" s="140">
        <f>(P63/(P52+P55)*(U52+U55))*(1-2.5%)</f>
        <v>331619.59113397065</v>
      </c>
      <c r="V63" s="140">
        <f>(Q63/(Q52+Q55)*(V52+V55))*(1-2.5%)</f>
        <v>325149.07627859566</v>
      </c>
      <c r="W63" s="136"/>
      <c r="X63" s="140">
        <f>(S63/(S52+S55)*(X52+X55))*(1-5%)</f>
        <v>316287.87433378084</v>
      </c>
      <c r="Y63" s="140">
        <f>(T63/(T52+T55)*(Y52+Y55))*(1-5%)</f>
        <v>324045.73682961357</v>
      </c>
      <c r="Z63" s="140">
        <f t="shared" ref="Z63" si="32">(U63/(U52+U55)*(Z52+Z55))*(1-5%)</f>
        <v>329171.3477713755</v>
      </c>
      <c r="AA63" s="140">
        <f>(V63/(V52+V55)*(AA52+AA55))*(1-5%)</f>
        <v>323303.54076358385</v>
      </c>
      <c r="AB63" s="136"/>
      <c r="AC63" s="140">
        <f>+X63/(X52+X55)*(AC52+AC55)</f>
        <v>332045.56655985094</v>
      </c>
      <c r="AD63" s="140">
        <f>+Y63/(Y52+Y55)*(AD52+AD55)</f>
        <v>338901.06572371308</v>
      </c>
      <c r="AE63" s="140">
        <f t="shared" ref="AE63" si="33">+Z63/(Z52+Z55)*(AE52+AE55)</f>
        <v>345085.64898448618</v>
      </c>
      <c r="AF63" s="140">
        <f>+AA63/(AA52+AA55)*(AF52+AF55)</f>
        <v>339661.425070989</v>
      </c>
      <c r="AG63" s="136"/>
      <c r="AH63" s="140">
        <f>+AC63/(AC52+AC55)*(AH52+AH55)</f>
        <v>348214.00561295444</v>
      </c>
      <c r="AI63" s="140">
        <f>+AD63/(AD52+AD55)*(AI52+AI55)</f>
        <v>354630.07375760953</v>
      </c>
      <c r="AJ63" s="140">
        <f t="shared" ref="AJ63" si="34">+AE63/(AE52+AE55)*(AJ52+AJ55)</f>
        <v>361480.68312456436</v>
      </c>
      <c r="AK63" s="140">
        <f>+AF63/(AF52+AF55)*(AK52+AK55)</f>
        <v>356185.98729117989</v>
      </c>
      <c r="AL63" s="136"/>
      <c r="AM63" s="140">
        <f>+AH63/(AH52+AH55)*(AM52+AM55)</f>
        <v>364855.18046316714</v>
      </c>
      <c r="AN63" s="140">
        <f>+AI63/(AI52+AI55)*(AN52+AN55)</f>
        <v>370830.47960298788</v>
      </c>
      <c r="AO63" s="140">
        <f t="shared" ref="AO63" si="35">+AJ63/(AJ52+AJ55)*(AO52+AO55)</f>
        <v>378232.5156612976</v>
      </c>
      <c r="AP63" s="140">
        <f>+AK63/(AK52+AK55)*(AP52+AP55)</f>
        <v>373065.61202753504</v>
      </c>
      <c r="AQ63" s="136"/>
    </row>
    <row r="64" spans="2:43" outlineLevel="1" x14ac:dyDescent="0.3">
      <c r="B64" s="585" t="s">
        <v>544</v>
      </c>
      <c r="C64" s="586"/>
      <c r="D64" s="168">
        <f>D60/(D63/1000)</f>
        <v>22.895742957200405</v>
      </c>
      <c r="E64" s="395">
        <f t="shared" ref="E64:AP64" si="36">E60/(E63/1000)</f>
        <v>22.920225895430519</v>
      </c>
      <c r="F64" s="168">
        <f t="shared" si="36"/>
        <v>21.416255945361936</v>
      </c>
      <c r="G64" s="168">
        <f t="shared" si="36"/>
        <v>22.548427268257811</v>
      </c>
      <c r="H64" s="136"/>
      <c r="I64" s="168">
        <f t="shared" si="36"/>
        <v>29.19463864341758</v>
      </c>
      <c r="J64" s="168">
        <f t="shared" si="36"/>
        <v>29.896751677680914</v>
      </c>
      <c r="K64" s="168">
        <f t="shared" si="36"/>
        <v>28.487448845345451</v>
      </c>
      <c r="L64" s="168">
        <f t="shared" si="36"/>
        <v>30.105057766351475</v>
      </c>
      <c r="M64" s="136"/>
      <c r="N64" s="168">
        <f t="shared" si="36"/>
        <v>26.887519220489907</v>
      </c>
      <c r="O64" s="168">
        <f t="shared" si="36"/>
        <v>28.452497191028851</v>
      </c>
      <c r="P64" s="168">
        <f t="shared" si="36"/>
        <v>27.922120943621476</v>
      </c>
      <c r="Q64" s="168">
        <f t="shared" si="36"/>
        <v>30.272057529087828</v>
      </c>
      <c r="R64" s="136"/>
      <c r="S64" s="168">
        <f t="shared" si="36"/>
        <v>29.273403209780138</v>
      </c>
      <c r="T64" s="140">
        <f t="shared" si="36"/>
        <v>29.492010929844163</v>
      </c>
      <c r="U64" s="140">
        <f t="shared" si="36"/>
        <v>28.662663874695145</v>
      </c>
      <c r="V64" s="140">
        <f t="shared" si="36"/>
        <v>30.707423711057281</v>
      </c>
      <c r="W64" s="136"/>
      <c r="X64" s="140">
        <f t="shared" si="36"/>
        <v>30.119316460858943</v>
      </c>
      <c r="Y64" s="140">
        <f t="shared" si="36"/>
        <v>30.526348882864731</v>
      </c>
      <c r="Z64" s="140">
        <f t="shared" si="36"/>
        <v>29.57571633452849</v>
      </c>
      <c r="AA64" s="140">
        <f t="shared" si="36"/>
        <v>31.486063177377101</v>
      </c>
      <c r="AB64" s="136"/>
      <c r="AC64" s="140">
        <f t="shared" si="36"/>
        <v>29.460478775321778</v>
      </c>
      <c r="AD64" s="140">
        <f t="shared" si="36"/>
        <v>29.899275373968035</v>
      </c>
      <c r="AE64" s="140">
        <f t="shared" si="36"/>
        <v>28.940327946987406</v>
      </c>
      <c r="AF64" s="140">
        <f t="shared" si="36"/>
        <v>30.747658992294145</v>
      </c>
      <c r="AG64" s="136"/>
      <c r="AH64" s="140">
        <f t="shared" si="36"/>
        <v>28.724835316506908</v>
      </c>
      <c r="AI64" s="140">
        <f t="shared" si="36"/>
        <v>29.16663411146013</v>
      </c>
      <c r="AJ64" s="140">
        <f t="shared" si="36"/>
        <v>28.208393056404862</v>
      </c>
      <c r="AK64" s="140">
        <f t="shared" si="36"/>
        <v>29.894374079580032</v>
      </c>
      <c r="AL64" s="136"/>
      <c r="AM64" s="140">
        <f t="shared" si="36"/>
        <v>27.900166163613434</v>
      </c>
      <c r="AN64" s="140">
        <f t="shared" si="36"/>
        <v>28.336962708661872</v>
      </c>
      <c r="AO64" s="140">
        <f t="shared" si="36"/>
        <v>27.38731954606282</v>
      </c>
      <c r="AP64" s="140">
        <f t="shared" si="36"/>
        <v>28.951711091214428</v>
      </c>
      <c r="AQ64" s="136"/>
    </row>
    <row r="65" spans="2:43" outlineLevel="1" x14ac:dyDescent="0.3">
      <c r="B65" s="178" t="s">
        <v>257</v>
      </c>
      <c r="C65" s="128"/>
      <c r="D65" s="318">
        <v>1.8813570936527344</v>
      </c>
      <c r="E65" s="318">
        <v>1.603624447823883</v>
      </c>
      <c r="F65" s="318">
        <v>1.2991575732446072</v>
      </c>
      <c r="G65" s="318">
        <v>1.3014247535808992</v>
      </c>
      <c r="H65" s="136"/>
      <c r="I65" s="318">
        <v>1.5159274214953833</v>
      </c>
      <c r="J65" s="318">
        <v>1.556415144766147</v>
      </c>
      <c r="K65" s="318">
        <v>1.6862896055540604</v>
      </c>
      <c r="L65" s="318">
        <v>1.6893428524625969</v>
      </c>
      <c r="M65" s="136"/>
      <c r="N65" s="318">
        <v>1.6185668972271923</v>
      </c>
      <c r="O65" s="318">
        <v>1.8777031644815629</v>
      </c>
      <c r="P65" s="318">
        <v>2.056</v>
      </c>
      <c r="Q65" s="318">
        <v>2.1629999999999998</v>
      </c>
      <c r="R65" s="319"/>
      <c r="S65" s="318">
        <v>2.306</v>
      </c>
      <c r="T65" s="184">
        <v>2.2000000000000002</v>
      </c>
      <c r="U65" s="184">
        <v>2</v>
      </c>
      <c r="V65" s="184">
        <v>2.2999999999999998</v>
      </c>
      <c r="W65" s="136"/>
      <c r="X65" s="184">
        <v>2.1</v>
      </c>
      <c r="Y65" s="184">
        <v>2.1</v>
      </c>
      <c r="Z65" s="184">
        <v>2.1</v>
      </c>
      <c r="AA65" s="184">
        <v>2.1</v>
      </c>
      <c r="AB65" s="136"/>
      <c r="AC65" s="184">
        <v>2.1</v>
      </c>
      <c r="AD65" s="184">
        <v>2.1</v>
      </c>
      <c r="AE65" s="184">
        <v>2.1</v>
      </c>
      <c r="AF65" s="184">
        <v>2.1</v>
      </c>
      <c r="AG65" s="136"/>
      <c r="AH65" s="184">
        <v>2.2000000000000002</v>
      </c>
      <c r="AI65" s="184">
        <v>2.2000000000000002</v>
      </c>
      <c r="AJ65" s="184">
        <v>2.2000000000000002</v>
      </c>
      <c r="AK65" s="184">
        <v>2.2000000000000002</v>
      </c>
      <c r="AL65" s="136"/>
      <c r="AM65" s="184">
        <v>2.2000000000000002</v>
      </c>
      <c r="AN65" s="184">
        <v>2.2000000000000002</v>
      </c>
      <c r="AO65" s="184">
        <v>2.2000000000000002</v>
      </c>
      <c r="AP65" s="184">
        <v>2.2000000000000002</v>
      </c>
      <c r="AQ65" s="136"/>
    </row>
    <row r="66" spans="2:43" outlineLevel="1" x14ac:dyDescent="0.3">
      <c r="B66" s="135" t="s">
        <v>258</v>
      </c>
      <c r="C66" s="134"/>
      <c r="D66" s="149">
        <f>+D63*D65/1000</f>
        <v>521.64200000000005</v>
      </c>
      <c r="E66" s="149">
        <f>+E63*E65/1000</f>
        <v>442.88900000000001</v>
      </c>
      <c r="F66" s="149">
        <f>+F63*F65/1000</f>
        <v>385.38600000000002</v>
      </c>
      <c r="G66" s="149">
        <f>+G63*G65/1000</f>
        <v>376.428</v>
      </c>
      <c r="H66" s="173"/>
      <c r="I66" s="149">
        <f>+I63*I65/1000</f>
        <v>428.34500000000003</v>
      </c>
      <c r="J66" s="149">
        <f>+J63*J65/1000</f>
        <v>436.76900000000001</v>
      </c>
      <c r="K66" s="149">
        <f>+K63*K65/1000</f>
        <v>495.012</v>
      </c>
      <c r="L66" s="149">
        <f>+L63*L65/1000</f>
        <v>495.01799999999997</v>
      </c>
      <c r="M66" s="173"/>
      <c r="N66" s="149">
        <f>+N63*N65/1000</f>
        <v>505.68400000000003</v>
      </c>
      <c r="O66" s="149">
        <f>+O63*O65/1000</f>
        <v>598.94600000000003</v>
      </c>
      <c r="P66" s="149">
        <f>+P63*P65/1000</f>
        <v>669.949656</v>
      </c>
      <c r="Q66" s="169">
        <f>+Q63*Q65/1000</f>
        <v>685.79429099999993</v>
      </c>
      <c r="R66" s="173"/>
      <c r="S66" s="149">
        <f>+S63*S65/1000</f>
        <v>726.40383599999996</v>
      </c>
      <c r="T66" s="185">
        <f>+T63*T65/1000</f>
        <v>721.40240137384353</v>
      </c>
      <c r="U66" s="185">
        <f>+U63*U65/1000</f>
        <v>663.23918226794126</v>
      </c>
      <c r="V66" s="185">
        <f>+V63*V65/1000</f>
        <v>747.84287544076994</v>
      </c>
      <c r="W66" s="173"/>
      <c r="X66" s="185">
        <f>+X63*X65/1000</f>
        <v>664.20453610093989</v>
      </c>
      <c r="Y66" s="185">
        <f>+Y63*Y65/1000</f>
        <v>680.49604734218849</v>
      </c>
      <c r="Z66" s="185">
        <f>+Z63*Z65/1000</f>
        <v>691.25983031988858</v>
      </c>
      <c r="AA66" s="185">
        <f>+AA63*AA65/1000</f>
        <v>678.93743560352607</v>
      </c>
      <c r="AB66" s="173"/>
      <c r="AC66" s="185">
        <f>+AC63*AC65/1000</f>
        <v>697.29568977568692</v>
      </c>
      <c r="AD66" s="185">
        <f>+AD63*AD65/1000</f>
        <v>711.69223801979751</v>
      </c>
      <c r="AE66" s="185">
        <f>+AE63*AE65/1000</f>
        <v>724.67986286742098</v>
      </c>
      <c r="AF66" s="185">
        <f>+AF63*AF65/1000</f>
        <v>713.28899264907693</v>
      </c>
      <c r="AG66" s="173"/>
      <c r="AH66" s="185">
        <f>+AH63*AH65/1000</f>
        <v>766.07081234849977</v>
      </c>
      <c r="AI66" s="185">
        <f>+AI63*AI65/1000</f>
        <v>780.18616226674101</v>
      </c>
      <c r="AJ66" s="185">
        <f>+AJ63*AJ65/1000</f>
        <v>795.25750287404162</v>
      </c>
      <c r="AK66" s="185">
        <f>+AK63*AK65/1000</f>
        <v>783.60917204059581</v>
      </c>
      <c r="AL66" s="173"/>
      <c r="AM66" s="185">
        <f>+AM63*AM65/1000</f>
        <v>802.6813970189678</v>
      </c>
      <c r="AN66" s="185">
        <f>+AN63*AN65/1000</f>
        <v>815.82705512657344</v>
      </c>
      <c r="AO66" s="185">
        <f>+AO63*AO65/1000</f>
        <v>832.11153445485479</v>
      </c>
      <c r="AP66" s="185">
        <f>+AP63*AP65/1000</f>
        <v>820.74434646057705</v>
      </c>
      <c r="AQ66" s="173"/>
    </row>
    <row r="67" spans="2:43" outlineLevel="1" x14ac:dyDescent="0.3">
      <c r="B67" s="178" t="s">
        <v>259</v>
      </c>
      <c r="C67" s="128"/>
      <c r="D67" s="129">
        <f>+D68-D66</f>
        <v>85.357999999999947</v>
      </c>
      <c r="E67" s="129">
        <f>+E68-E66</f>
        <v>74.11099999999999</v>
      </c>
      <c r="F67" s="129">
        <f>+F68-F66</f>
        <v>69.613999999999976</v>
      </c>
      <c r="G67" s="129">
        <f>+G68-G66</f>
        <v>67.572000000000003</v>
      </c>
      <c r="H67" s="136"/>
      <c r="I67" s="129">
        <f>+I68-I66</f>
        <v>126.65499999999997</v>
      </c>
      <c r="J67" s="129">
        <f>+J68-J66</f>
        <v>128.23099999999999</v>
      </c>
      <c r="K67" s="129">
        <f>+K68-K66</f>
        <v>137.988</v>
      </c>
      <c r="L67" s="129">
        <f>+L68-L66</f>
        <v>129.98200000000003</v>
      </c>
      <c r="M67" s="136"/>
      <c r="N67" s="129">
        <f>+N68-N66</f>
        <v>97.315999999999974</v>
      </c>
      <c r="O67" s="129">
        <f>+O68-O66</f>
        <v>104.05399999999997</v>
      </c>
      <c r="P67" s="129">
        <f>+P68-P66</f>
        <v>112.050344</v>
      </c>
      <c r="Q67" s="129">
        <f>+Q68-Q66</f>
        <v>115.20570900000007</v>
      </c>
      <c r="R67" s="136"/>
      <c r="S67" s="129">
        <f>+S68-S66</f>
        <v>118.59616400000004</v>
      </c>
      <c r="T67" s="140">
        <f>+S67/(S52+S55)*(T52+T55)</f>
        <v>128.95566824682882</v>
      </c>
      <c r="U67" s="140">
        <f t="shared" ref="U67:V67" si="37">+T67/(T52+T55)*(U52+U55)</f>
        <v>126.585548433233</v>
      </c>
      <c r="V67" s="140">
        <f t="shared" si="37"/>
        <v>127.48729613898469</v>
      </c>
      <c r="W67" s="136"/>
      <c r="X67" s="140">
        <f>+V67/(V52+V55)*(X52+X55)</f>
        <v>125.34607900768634</v>
      </c>
      <c r="Y67" s="140">
        <f>+X67/(X52+X55)*(Y52+Y55)</f>
        <v>134.14306969868758</v>
      </c>
      <c r="Z67" s="140">
        <f t="shared" ref="Z67:AA67" si="38">+Y67/(Y52+Y55)*(Z52+Z55)</f>
        <v>132.26421795579077</v>
      </c>
      <c r="AA67" s="140">
        <f t="shared" si="38"/>
        <v>133.43545517756522</v>
      </c>
      <c r="AB67" s="136"/>
      <c r="AC67" s="140">
        <f>(AA67/(AA52+AA55)*(AC52+AC55))*(1+0.5%)</f>
        <v>132.24886650293053</v>
      </c>
      <c r="AD67" s="140">
        <f>(AC67/(AC52+AC55)*(AD52+AD55))*(1+0.5%)</f>
        <v>141.69906554893049</v>
      </c>
      <c r="AE67" s="140">
        <f t="shared" ref="AE67:AF67" si="39">(AD67/(AD52+AD55)*(AE52+AE55))*(1+0.5%)</f>
        <v>140.74903526175365</v>
      </c>
      <c r="AF67" s="140">
        <f t="shared" si="39"/>
        <v>143.01159650127246</v>
      </c>
      <c r="AG67" s="136"/>
      <c r="AH67" s="140">
        <f>(AF67/(AF52+AF55)*(AH52+AH55))*(1+0.5%)</f>
        <v>141.48316109353192</v>
      </c>
      <c r="AI67" s="140">
        <f>(AH67/(AH52+AH55)*(AI52+AI55))*(1+0.5%)</f>
        <v>151.26340109955711</v>
      </c>
      <c r="AJ67" s="140">
        <f t="shared" ref="AJ67:AK67" si="40">(AI67/(AI52+AI55)*(AJ52+AJ55))*(1+0.5%)</f>
        <v>150.40693780234875</v>
      </c>
      <c r="AK67" s="140">
        <f t="shared" si="40"/>
        <v>152.99107788620648</v>
      </c>
      <c r="AL67" s="136"/>
      <c r="AM67" s="140">
        <f>(AK67/(AK52+AK55)*(AM52+AM55))*(1+0.5%)</f>
        <v>151.23185650842348</v>
      </c>
      <c r="AN67" s="140">
        <f>(AM67/(AM52+AM55)*(AN52+AN55))*(1+0.5%)</f>
        <v>161.36077407325902</v>
      </c>
      <c r="AO67" s="140">
        <f t="shared" ref="AO67" si="41">(AN67/(AN52+AN55)*(AO52+AO55))*(1+0.5%)</f>
        <v>160.54836359312557</v>
      </c>
      <c r="AP67" s="140">
        <f>(AO67/(AO52+AO55)*(AP52+AP55))*(1+0.5%)</f>
        <v>163.47025519266529</v>
      </c>
      <c r="AQ67" s="136"/>
    </row>
    <row r="68" spans="2:43" s="55" customFormat="1" outlineLevel="1" x14ac:dyDescent="0.3">
      <c r="B68" s="172" t="s">
        <v>256</v>
      </c>
      <c r="C68" s="134"/>
      <c r="D68" s="149">
        <v>607</v>
      </c>
      <c r="E68" s="149">
        <v>517</v>
      </c>
      <c r="F68" s="149">
        <v>455</v>
      </c>
      <c r="G68" s="149">
        <v>444</v>
      </c>
      <c r="H68" s="173"/>
      <c r="I68" s="149">
        <v>555</v>
      </c>
      <c r="J68" s="149">
        <v>565</v>
      </c>
      <c r="K68" s="149">
        <v>633</v>
      </c>
      <c r="L68" s="149">
        <v>625</v>
      </c>
      <c r="M68" s="173"/>
      <c r="N68" s="149">
        <v>603</v>
      </c>
      <c r="O68" s="149">
        <v>703</v>
      </c>
      <c r="P68" s="149">
        <v>782</v>
      </c>
      <c r="Q68" s="169">
        <v>801</v>
      </c>
      <c r="R68" s="173"/>
      <c r="S68" s="169">
        <v>845</v>
      </c>
      <c r="T68" s="169">
        <f>+T67+T66</f>
        <v>850.35806962067238</v>
      </c>
      <c r="U68" s="169">
        <f>+U67+U66</f>
        <v>789.8247307011743</v>
      </c>
      <c r="V68" s="169">
        <f>+V67+V66</f>
        <v>875.33017157975462</v>
      </c>
      <c r="W68" s="173"/>
      <c r="X68" s="169">
        <f>+X67+X66</f>
        <v>789.55061510862629</v>
      </c>
      <c r="Y68" s="169">
        <f>+Y67+Y66</f>
        <v>814.63911704087604</v>
      </c>
      <c r="Z68" s="169">
        <f>+Z67+Z66</f>
        <v>823.52404827567932</v>
      </c>
      <c r="AA68" s="169">
        <f>+AA67+AA66</f>
        <v>812.37289078109131</v>
      </c>
      <c r="AB68" s="173"/>
      <c r="AC68" s="169">
        <f>+AC67+AC66</f>
        <v>829.54455627861739</v>
      </c>
      <c r="AD68" s="169">
        <f>+AD67+AD66</f>
        <v>853.39130356872806</v>
      </c>
      <c r="AE68" s="169">
        <f>+AE67+AE66</f>
        <v>865.42889812917463</v>
      </c>
      <c r="AF68" s="169">
        <f>+AF67+AF66</f>
        <v>856.30058915034942</v>
      </c>
      <c r="AG68" s="173"/>
      <c r="AH68" s="169">
        <f>+AH67+AH66</f>
        <v>907.55397344203175</v>
      </c>
      <c r="AI68" s="169">
        <f>+AI67+AI66</f>
        <v>931.44956336629809</v>
      </c>
      <c r="AJ68" s="169">
        <f>+AJ67+AJ66</f>
        <v>945.66444067639031</v>
      </c>
      <c r="AK68" s="169">
        <f>+AK67+AK66</f>
        <v>936.60024992680223</v>
      </c>
      <c r="AL68" s="173"/>
      <c r="AM68" s="169">
        <f>+AM67+AM66</f>
        <v>953.91325352739125</v>
      </c>
      <c r="AN68" s="169">
        <f>+AN67+AN66</f>
        <v>977.18782919983244</v>
      </c>
      <c r="AO68" s="169">
        <f>+AO67+AO66</f>
        <v>992.65989804798039</v>
      </c>
      <c r="AP68" s="169">
        <f>+AP67+AP66</f>
        <v>984.21460165324231</v>
      </c>
      <c r="AQ68" s="173"/>
    </row>
    <row r="69" spans="2:43" outlineLevel="1" x14ac:dyDescent="0.3">
      <c r="B69" s="178" t="s">
        <v>157</v>
      </c>
      <c r="C69" s="128"/>
      <c r="D69" s="129">
        <v>345</v>
      </c>
      <c r="E69" s="129">
        <v>347</v>
      </c>
      <c r="F69" s="129">
        <v>340</v>
      </c>
      <c r="G69" s="129">
        <v>345</v>
      </c>
      <c r="H69" s="136"/>
      <c r="I69" s="129">
        <v>418</v>
      </c>
      <c r="J69" s="129">
        <v>410</v>
      </c>
      <c r="K69" s="129">
        <v>418</v>
      </c>
      <c r="L69" s="129">
        <v>416</v>
      </c>
      <c r="M69" s="136"/>
      <c r="N69" s="129">
        <v>415</v>
      </c>
      <c r="O69" s="129">
        <v>410</v>
      </c>
      <c r="P69" s="129">
        <v>423</v>
      </c>
      <c r="Q69" s="168">
        <v>431</v>
      </c>
      <c r="R69" s="136"/>
      <c r="S69" s="168">
        <v>436</v>
      </c>
      <c r="T69" s="168">
        <f>S69/(S69+S148+S165+S179)*T18</f>
        <v>401.23760231766749</v>
      </c>
      <c r="U69" s="168">
        <f>T69/(T69+T148+T165+T179)*U18</f>
        <v>406.33342477070232</v>
      </c>
      <c r="V69" s="168">
        <f>U69/(U69+U148+U165+U179)*V18</f>
        <v>416.78538907331415</v>
      </c>
      <c r="W69" s="136"/>
      <c r="X69" s="168">
        <f>V69/(V69+V148+V165+V179)*X18</f>
        <v>432.23270797829417</v>
      </c>
      <c r="Y69" s="168">
        <f>X69/(X69+X148+X165+X179)*Y18</f>
        <v>442.47613867212647</v>
      </c>
      <c r="Z69" s="168">
        <f>Y69/(Y69+Y148+Y165+Y179)*Z18</f>
        <v>447.8111010701075</v>
      </c>
      <c r="AA69" s="168">
        <f>Z69/(Z69+Z148+Z165+Z179)*AA18</f>
        <v>458.66425313417272</v>
      </c>
      <c r="AB69" s="136"/>
      <c r="AC69" s="168">
        <f>AA69/(AA69+AA148+AA165+AA179)*AC18</f>
        <v>474.91849901159532</v>
      </c>
      <c r="AD69" s="168">
        <f>AC69/(AC69+AC148+AC165+AC179)*AD18</f>
        <v>485.81651848105327</v>
      </c>
      <c r="AE69" s="168">
        <f>AD69/(AD69+AD148+AD165+AD179)*AE18</f>
        <v>491.44133360965805</v>
      </c>
      <c r="AF69" s="168">
        <f>AE69/(AE69+AE148+AE165+AE179)*AF18</f>
        <v>502.8764116831403</v>
      </c>
      <c r="AG69" s="136"/>
      <c r="AH69" s="168">
        <f>AF69/(AF69+AF148+AF165+AF179)*AH18</f>
        <v>520.03538995124222</v>
      </c>
      <c r="AI69" s="168">
        <f>AH69/(AH69+AH148+AH165+AH179)*AI18</f>
        <v>531.51658749811338</v>
      </c>
      <c r="AJ69" s="168">
        <f>AI69/(AI69+AI148+AI165+AI179)*AJ18</f>
        <v>537.43216009327546</v>
      </c>
      <c r="AK69" s="168">
        <f>AJ69/(AJ69+AJ148+AJ165+AJ179)*AK18</f>
        <v>549.44762806677829</v>
      </c>
      <c r="AL69" s="136"/>
      <c r="AM69" s="168">
        <f>AK69/(AK69+AK148+AK165+AK179)*AM18</f>
        <v>567.47556480112939</v>
      </c>
      <c r="AN69" s="168">
        <f>AM69/(AM69+AM148+AM165+AM179)*AN18</f>
        <v>579.50757859773557</v>
      </c>
      <c r="AO69" s="168">
        <f>AN69/(AN69+AN148+AN165+AN179)*AO18</f>
        <v>585.70029216608691</v>
      </c>
      <c r="AP69" s="168">
        <f>AO69/(AO69+AO148+AO165+AO179)*AP18</f>
        <v>598.26990336093957</v>
      </c>
      <c r="AQ69" s="136"/>
    </row>
    <row r="70" spans="2:43" outlineLevel="1" x14ac:dyDescent="0.3">
      <c r="B70" s="178" t="s">
        <v>253</v>
      </c>
      <c r="C70" s="128"/>
      <c r="D70" s="129">
        <v>4863</v>
      </c>
      <c r="E70" s="129">
        <v>4855</v>
      </c>
      <c r="F70" s="129">
        <v>4970</v>
      </c>
      <c r="G70" s="129">
        <v>4980</v>
      </c>
      <c r="H70" s="136"/>
      <c r="I70" s="129">
        <f>6669+97</f>
        <v>6766</v>
      </c>
      <c r="J70" s="129">
        <f>6705+97</f>
        <v>6802</v>
      </c>
      <c r="K70" s="129">
        <f>6748+98</f>
        <v>6846</v>
      </c>
      <c r="L70" s="129">
        <f>6893+97</f>
        <v>6990</v>
      </c>
      <c r="M70" s="136"/>
      <c r="N70" s="129">
        <f>6944+118</f>
        <v>7062</v>
      </c>
      <c r="O70" s="129">
        <f>7244+118</f>
        <v>7362</v>
      </c>
      <c r="P70" s="129">
        <f>7462+114</f>
        <v>7576</v>
      </c>
      <c r="Q70" s="129">
        <f>7376+123</f>
        <v>7499</v>
      </c>
      <c r="R70" s="136"/>
      <c r="S70" s="168">
        <v>7573.5</v>
      </c>
      <c r="T70" s="129">
        <f>+T71*(T54+T57+T58)</f>
        <v>7675.4196296085756</v>
      </c>
      <c r="U70" s="129">
        <f>+U71*(U54+U57+U58)</f>
        <v>7731.156355449848</v>
      </c>
      <c r="V70" s="129">
        <f>+V71*(V54+V57+V58)</f>
        <v>7696.1573852885422</v>
      </c>
      <c r="W70" s="136"/>
      <c r="X70" s="129">
        <f>+X71*(X54+X57+X58)</f>
        <v>7652.5865347002818</v>
      </c>
      <c r="Y70" s="129">
        <f>+Y71*(Y54+Y57+Y58)</f>
        <v>7672.9278073059613</v>
      </c>
      <c r="Z70" s="129">
        <f>+Z71*(Z54+Z57+Z58)</f>
        <v>7743.2997346635311</v>
      </c>
      <c r="AA70" s="129">
        <f>+AA71*(AA54+AA57+AA58)</f>
        <v>7663.2838722933366</v>
      </c>
      <c r="AB70" s="136"/>
      <c r="AC70" s="129">
        <f>+AC71*(AC54+AC57+AC58)</f>
        <v>7711.3762760275968</v>
      </c>
      <c r="AD70" s="129">
        <f>+AD71*(AD54+AD57+AD58)</f>
        <v>7707.8434550914617</v>
      </c>
      <c r="AE70" s="129">
        <f>+AE71*(AE54+AE57+AE58)</f>
        <v>7793.462868540546</v>
      </c>
      <c r="AF70" s="129">
        <f>+AF71*(AF54+AF57+AF58)</f>
        <v>7705.5482720906684</v>
      </c>
      <c r="AG70" s="136"/>
      <c r="AH70" s="129">
        <f>+AH71*(AH54+AH57+AH58)</f>
        <v>7909.9423101228094</v>
      </c>
      <c r="AI70" s="129">
        <f>+AI71*(AI54+AI57+AI58)</f>
        <v>7893.8006706721626</v>
      </c>
      <c r="AJ70" s="129">
        <f>+AJ71*(AJ54+AJ57+AJ58)</f>
        <v>7982.7522625258334</v>
      </c>
      <c r="AK70" s="129">
        <f>+AK71*(AK54+AK57+AK58)</f>
        <v>7882.8022699659568</v>
      </c>
      <c r="AL70" s="136"/>
      <c r="AM70" s="129">
        <f>+AM71*(AM54+AM57+AM58)</f>
        <v>8075.4665949013215</v>
      </c>
      <c r="AN70" s="129">
        <f>+AN71*(AN54+AN57+AN58)</f>
        <v>8045.8759532540944</v>
      </c>
      <c r="AO70" s="129">
        <f>+AO71*(AO54+AO57+AO58)</f>
        <v>8135.4627197608115</v>
      </c>
      <c r="AP70" s="129">
        <f>+AP71*(AP54+AP57+AP58)</f>
        <v>8023.0207832953365</v>
      </c>
      <c r="AQ70" s="136"/>
    </row>
    <row r="71" spans="2:43" outlineLevel="1" x14ac:dyDescent="0.3">
      <c r="B71" s="127" t="s">
        <v>255</v>
      </c>
      <c r="C71" s="128"/>
      <c r="D71" s="146">
        <f>+D70/(D54+D57+D58)</f>
        <v>0.76603429408350565</v>
      </c>
      <c r="E71" s="146">
        <f>+E70/(E54+E57+E58)</f>
        <v>0.76696953817486646</v>
      </c>
      <c r="F71" s="146">
        <f>+F70/(F54+F57+F58)</f>
        <v>0.7823097369669022</v>
      </c>
      <c r="G71" s="146">
        <f>+G70/(G54+G57+G58)</f>
        <v>0.76357241359418604</v>
      </c>
      <c r="H71" s="136"/>
      <c r="I71" s="146">
        <f>+I70/(I54+I57+I58)</f>
        <v>0.82018835035356952</v>
      </c>
      <c r="J71" s="146">
        <f>+J70/(J54+J57+J58)</f>
        <v>0.81074870759486339</v>
      </c>
      <c r="K71" s="146">
        <f>+K70/(K54+K57+K58)</f>
        <v>0.81865283910378295</v>
      </c>
      <c r="L71" s="146">
        <f>+L70/(L54+L57+L58)</f>
        <v>0.7923818484765025</v>
      </c>
      <c r="M71" s="136"/>
      <c r="N71" s="146">
        <f>+N70/(N54+N57+N58)</f>
        <v>0.84067555784298453</v>
      </c>
      <c r="O71" s="146">
        <f>+O70/(O54+O57+O58)</f>
        <v>0.81117525370408738</v>
      </c>
      <c r="P71" s="146">
        <f>+P70/(P54+P57+P58)</f>
        <v>0.83266920640531594</v>
      </c>
      <c r="Q71" s="146">
        <f>+Q70/(Q54+Q57+Q58)</f>
        <v>0.78131123171234529</v>
      </c>
      <c r="R71" s="545"/>
      <c r="S71" s="146">
        <f>+S70/(S54+S57+S58)</f>
        <v>0.82130523124020871</v>
      </c>
      <c r="T71" s="177">
        <f>+O71-1.75%</f>
        <v>0.79367525370408742</v>
      </c>
      <c r="U71" s="177">
        <f>+P71-1.93%</f>
        <v>0.81336920640531596</v>
      </c>
      <c r="V71" s="177">
        <f>+Q71-1.05%</f>
        <v>0.77081123171234533</v>
      </c>
      <c r="W71" s="136"/>
      <c r="X71" s="177">
        <f>+S71-1.8%</f>
        <v>0.80330523124020869</v>
      </c>
      <c r="Y71" s="177">
        <f>+T71-1.8%</f>
        <v>0.77567525370408741</v>
      </c>
      <c r="Z71" s="177">
        <f>+U71-1.8%</f>
        <v>0.79536920640531594</v>
      </c>
      <c r="AA71" s="177">
        <f>+V71-1.8%</f>
        <v>0.75281123171234532</v>
      </c>
      <c r="AB71" s="136"/>
      <c r="AC71" s="177">
        <f>+X71-1.5%</f>
        <v>0.78830523124020868</v>
      </c>
      <c r="AD71" s="177">
        <f>+Y71-1.5%</f>
        <v>0.7606752537040874</v>
      </c>
      <c r="AE71" s="177">
        <f>+Z71-1.5%</f>
        <v>0.78036920640531593</v>
      </c>
      <c r="AF71" s="177">
        <f>+AA71-1.5%</f>
        <v>0.73781123171234531</v>
      </c>
      <c r="AG71" s="136"/>
      <c r="AH71" s="177">
        <f>+AC71+0.25%</f>
        <v>0.79080523124020863</v>
      </c>
      <c r="AI71" s="177">
        <f>+AD71+0.25%</f>
        <v>0.76317525370408734</v>
      </c>
      <c r="AJ71" s="177">
        <f>+AE71+0.25%</f>
        <v>0.78286920640531588</v>
      </c>
      <c r="AK71" s="177">
        <f>+AF71+0.25%</f>
        <v>0.74031123171234525</v>
      </c>
      <c r="AL71" s="136"/>
      <c r="AM71" s="177">
        <f>+AH71+0.25%</f>
        <v>0.79330523124020857</v>
      </c>
      <c r="AN71" s="177">
        <f>+AI71+0.25%</f>
        <v>0.76567525370408729</v>
      </c>
      <c r="AO71" s="177">
        <f>+AJ71+0.25%</f>
        <v>0.78536920640531582</v>
      </c>
      <c r="AP71" s="177">
        <f>+AK71+0.25%</f>
        <v>0.7428112317123452</v>
      </c>
      <c r="AQ71" s="136"/>
    </row>
    <row r="72" spans="2:43" outlineLevel="1" x14ac:dyDescent="0.3">
      <c r="B72" s="135" t="s">
        <v>262</v>
      </c>
      <c r="C72" s="134"/>
      <c r="D72" s="149">
        <f>+D54+D57+D58-D68-D69-D70</f>
        <v>533.27975399999923</v>
      </c>
      <c r="E72" s="149">
        <f>+E54+E57+E58-E68-E69-E70</f>
        <v>611.10798780000096</v>
      </c>
      <c r="F72" s="149">
        <f>+F54+F57+F58-F68-F69-F70</f>
        <v>587.98241240000061</v>
      </c>
      <c r="G72" s="149">
        <f>+G54+G57+G58-G68-G69-G70</f>
        <v>752.9747483526935</v>
      </c>
      <c r="H72" s="136"/>
      <c r="I72" s="149">
        <f>+I54+I57+I58-I68-I69-I70</f>
        <v>510.3246790000012</v>
      </c>
      <c r="J72" s="149">
        <f>+J54+J57+J58-J68-J69-J70</f>
        <v>612.77593954920667</v>
      </c>
      <c r="K72" s="149">
        <f>+K54+K57+K58-K68-K69-K70</f>
        <v>465.51909599999999</v>
      </c>
      <c r="L72" s="149">
        <f>+L54+L57+L58-L68-L69-L70</f>
        <v>790.50444692737437</v>
      </c>
      <c r="M72" s="191">
        <f>+SUM(I72:L72)</f>
        <v>2379.1241614765822</v>
      </c>
      <c r="N72" s="149">
        <f>+N54+N57+N58-N68-N69-N70</f>
        <v>320.38696750000054</v>
      </c>
      <c r="O72" s="149">
        <f>+O54+O57+O58-O68-O69-O70</f>
        <v>600.72064900000078</v>
      </c>
      <c r="P72" s="149">
        <f>+P54+P57+P58-P68-P69-P70</f>
        <v>317.45103159999962</v>
      </c>
      <c r="Q72" s="149">
        <f>+Q54+Q57+Q58-Q68-Q69-Q70</f>
        <v>866.96774399999958</v>
      </c>
      <c r="R72" s="191">
        <f>+SUM(N72:Q72)</f>
        <v>2105.5263921000005</v>
      </c>
      <c r="S72" s="149">
        <f>+S54+S57+S58-S68-S69-S70</f>
        <v>366.79765149999912</v>
      </c>
      <c r="T72" s="149">
        <f>+T54+T57+T58-T68-T69-T70</f>
        <v>743.71538305909235</v>
      </c>
      <c r="U72" s="149">
        <f>+U54+U57+U58-U68-U69-U70</f>
        <v>577.78636401510994</v>
      </c>
      <c r="V72" s="149">
        <f>+V54+V57+V58-V68-V69-V70</f>
        <v>996.21750860410884</v>
      </c>
      <c r="W72" s="191">
        <f>+SUM(S72:V72)</f>
        <v>2684.5169071783102</v>
      </c>
      <c r="X72" s="149">
        <f>+X54+X57+X58-X68-X69-X70</f>
        <v>652.00472200432887</v>
      </c>
      <c r="Y72" s="149">
        <f>+Y54+Y57+Y58-Y68-Y69-Y70</f>
        <v>961.89015344678774</v>
      </c>
      <c r="Z72" s="149">
        <f>+Z54+Z57+Z58-Z68-Z69-Z70</f>
        <v>720.84352313131058</v>
      </c>
      <c r="AA72" s="149">
        <f>+AA54+AA57+AA58-AA68-AA69-AA70</f>
        <v>1245.2346937433113</v>
      </c>
      <c r="AB72" s="429">
        <f>+SUM(X72:AA72)</f>
        <v>3579.9730923257384</v>
      </c>
      <c r="AC72" s="149">
        <f>+AC54+AC57+AC58-AC68-AC69-AC70</f>
        <v>766.38203475837508</v>
      </c>
      <c r="AD72" s="149">
        <f>+AD54+AD57+AD58-AD68-AD69-AD70</f>
        <v>1085.8450114632951</v>
      </c>
      <c r="AE72" s="149">
        <f>+AE54+AE57+AE58-AE68-AE69-AE70</f>
        <v>836.55875113063121</v>
      </c>
      <c r="AF72" s="149">
        <f>+AF54+AF57+AF58-AF68-AF69-AF70</f>
        <v>1379.0683979952819</v>
      </c>
      <c r="AG72" s="136"/>
      <c r="AH72" s="149">
        <f>+AH54+AH57+AH58-AH68-AH69-AH70</f>
        <v>664.85829261724393</v>
      </c>
      <c r="AI72" s="149">
        <f>+AI54+AI57+AI58-AI68-AI69-AI70</f>
        <v>986.59878467174167</v>
      </c>
      <c r="AJ72" s="149">
        <f>+AJ54+AJ57+AJ58-AJ68-AJ69-AJ70</f>
        <v>730.94032857994716</v>
      </c>
      <c r="AK72" s="149">
        <f>+AK54+AK57+AK58-AK68-AK69-AK70</f>
        <v>1279.1069980275342</v>
      </c>
      <c r="AL72" s="136"/>
      <c r="AM72" s="149">
        <f>+AM54+AM57+AM58-AM68-AM69-AM70</f>
        <v>582.66474734768781</v>
      </c>
      <c r="AN72" s="149">
        <f>+AN54+AN57+AN58-AN68-AN69-AN70</f>
        <v>905.63811069340136</v>
      </c>
      <c r="AO72" s="149">
        <f>+AO54+AO57+AO58-AO68-AO69-AO70</f>
        <v>644.95185915228831</v>
      </c>
      <c r="AP72" s="149">
        <f>+AP54+AP57+AP58-AP68-AP69-AP70</f>
        <v>1195.3825291787671</v>
      </c>
      <c r="AQ72" s="136"/>
    </row>
    <row r="73" spans="2:43" ht="15" outlineLevel="1" thickBot="1" x14ac:dyDescent="0.35">
      <c r="B73" s="181" t="s">
        <v>254</v>
      </c>
      <c r="C73" s="182"/>
      <c r="D73" s="183">
        <f>+D72/(D54+D57+D58)</f>
        <v>8.4003820667163262E-2</v>
      </c>
      <c r="E73" s="183">
        <f>+E72/(E54+E57+E58)</f>
        <v>9.6539899315744318E-2</v>
      </c>
      <c r="F73" s="183">
        <f>+F72/(F54+F57+F58)</f>
        <v>9.255218639553503E-2</v>
      </c>
      <c r="G73" s="183">
        <f>+G72/(G54+G57+G58)</f>
        <v>0.11545195702312068</v>
      </c>
      <c r="H73" s="138"/>
      <c r="I73" s="183">
        <f>+I72/(I54+I57+I58)</f>
        <v>6.1862600741017716E-2</v>
      </c>
      <c r="J73" s="183">
        <f>+J72/(J54+J57+J58)</f>
        <v>7.303841532413223E-2</v>
      </c>
      <c r="K73" s="183">
        <f>+K72/(K54+K57+K58)</f>
        <v>5.5667328308125395E-2</v>
      </c>
      <c r="L73" s="183">
        <f>+L72/(L54+L57+L58)</f>
        <v>8.961106936841319E-2</v>
      </c>
      <c r="M73" s="138"/>
      <c r="N73" s="183">
        <f>+N72/(N54+N57+N58)</f>
        <v>3.8139548658833913E-2</v>
      </c>
      <c r="O73" s="183">
        <f>+O72/(O54+O57+O58)</f>
        <v>6.6189856677242545E-2</v>
      </c>
      <c r="P73" s="183">
        <f>+P72/(P54+P57+P58)</f>
        <v>3.4890667707882864E-2</v>
      </c>
      <c r="Q73" s="183">
        <f>+Q72/(Q54+Q57+Q58)</f>
        <v>9.0328261890853842E-2</v>
      </c>
      <c r="R73" s="138"/>
      <c r="S73" s="183">
        <f>+S72/(S54+S57+S58)</f>
        <v>3.9777227171528651E-2</v>
      </c>
      <c r="T73" s="183">
        <f>+T72/(T54+T57+T58)</f>
        <v>7.6903742572724934E-2</v>
      </c>
      <c r="U73" s="183">
        <f>+U72/(U54+U57+U58)</f>
        <v>6.078697865675723E-2</v>
      </c>
      <c r="V73" s="183">
        <f>+V72/(V54+V57+V58)</f>
        <v>9.9776499676110436E-2</v>
      </c>
      <c r="W73" s="428">
        <f>+W72-M72</f>
        <v>305.39274570172802</v>
      </c>
      <c r="X73" s="183">
        <f>+X72/(X54+X57+X58)</f>
        <v>6.8442062249729096E-2</v>
      </c>
      <c r="Y73" s="183">
        <f>+Y72/(Y54+Y57+Y58)</f>
        <v>9.7239855182772603E-2</v>
      </c>
      <c r="Z73" s="183">
        <f>+Z72/(Z54+Z57+Z58)</f>
        <v>7.4042948172182002E-2</v>
      </c>
      <c r="AA73" s="183">
        <f>+AA72/(AA54+AA57+AA58)</f>
        <v>0.12232701791944844</v>
      </c>
      <c r="AB73" s="430">
        <f>+AB72-M72</f>
        <v>1200.8489308491562</v>
      </c>
      <c r="AC73" s="183">
        <f>+AC72/(AC54+AC57+AC58)</f>
        <v>7.8344376607149296E-2</v>
      </c>
      <c r="AD73" s="183">
        <f>+AD72/(AD54+AD57+AD58)</f>
        <v>0.10716037947456714</v>
      </c>
      <c r="AE73" s="183">
        <f>+AE72/(AE54+AE57+AE58)</f>
        <v>8.3765676406370698E-2</v>
      </c>
      <c r="AF73" s="183">
        <f>+AF72/(AF54+AF57+AF58)</f>
        <v>0.13204669121674373</v>
      </c>
      <c r="AG73" s="138"/>
      <c r="AH73" s="183">
        <f>+AH72/(AH54+AH57+AH58)</f>
        <v>6.6469943170418239E-2</v>
      </c>
      <c r="AI73" s="183">
        <f>+AI72/(AI54+AI57+AI58)</f>
        <v>9.5384696068324545E-2</v>
      </c>
      <c r="AJ73" s="183">
        <f>+AJ72/(AJ54+AJ57+AJ58)</f>
        <v>7.1683381388559314E-2</v>
      </c>
      <c r="AK73" s="183">
        <f>+AK72/(AK54+AK57+AK58)</f>
        <v>0.12012698590824018</v>
      </c>
      <c r="AL73" s="138"/>
      <c r="AM73" s="183">
        <f>+AM72/(AM54+AM57+AM58)</f>
        <v>5.7238920711035819E-2</v>
      </c>
      <c r="AN73" s="183">
        <f>+AN72/(AN54+AN57+AN58)</f>
        <v>8.6183865398621995E-2</v>
      </c>
      <c r="AO73" s="183">
        <f>+AO72/(AO54+AO57+AO58)</f>
        <v>6.226140383653038E-2</v>
      </c>
      <c r="AP73" s="183">
        <f>+AP72/(AP54+AP57+AP58)</f>
        <v>0.11067446948604173</v>
      </c>
      <c r="AQ73" s="138"/>
    </row>
    <row r="74" spans="2:43" ht="15.6" x14ac:dyDescent="0.3">
      <c r="B74" s="705" t="s">
        <v>200</v>
      </c>
      <c r="C74" s="713"/>
      <c r="D74" s="90" t="s">
        <v>71</v>
      </c>
      <c r="E74" s="90" t="s">
        <v>74</v>
      </c>
      <c r="F74" s="90" t="s">
        <v>75</v>
      </c>
      <c r="G74" s="90" t="s">
        <v>78</v>
      </c>
      <c r="H74" s="403"/>
      <c r="I74" s="90" t="s">
        <v>80</v>
      </c>
      <c r="J74" s="90" t="s">
        <v>91</v>
      </c>
      <c r="K74" s="90" t="s">
        <v>109</v>
      </c>
      <c r="L74" s="90" t="s">
        <v>113</v>
      </c>
      <c r="M74" s="403"/>
      <c r="N74" s="90" t="s">
        <v>115</v>
      </c>
      <c r="O74" s="90" t="s">
        <v>116</v>
      </c>
      <c r="P74" s="90" t="s">
        <v>117</v>
      </c>
      <c r="Q74" s="90" t="s">
        <v>118</v>
      </c>
      <c r="R74" s="403"/>
      <c r="S74" s="90" t="s">
        <v>511</v>
      </c>
      <c r="T74" s="92" t="s">
        <v>377</v>
      </c>
      <c r="U74" s="92" t="s">
        <v>378</v>
      </c>
      <c r="V74" s="92" t="s">
        <v>379</v>
      </c>
      <c r="W74" s="407"/>
      <c r="X74" s="92" t="s">
        <v>381</v>
      </c>
      <c r="Y74" s="92" t="s">
        <v>382</v>
      </c>
      <c r="Z74" s="92" t="s">
        <v>383</v>
      </c>
      <c r="AA74" s="92" t="s">
        <v>384</v>
      </c>
      <c r="AB74" s="407"/>
      <c r="AC74" s="92" t="s">
        <v>386</v>
      </c>
      <c r="AD74" s="92" t="s">
        <v>387</v>
      </c>
      <c r="AE74" s="92" t="s">
        <v>388</v>
      </c>
      <c r="AF74" s="92" t="s">
        <v>389</v>
      </c>
      <c r="AG74" s="407"/>
      <c r="AH74" s="92" t="s">
        <v>391</v>
      </c>
      <c r="AI74" s="92" t="s">
        <v>392</v>
      </c>
      <c r="AJ74" s="92" t="s">
        <v>393</v>
      </c>
      <c r="AK74" s="92" t="s">
        <v>394</v>
      </c>
      <c r="AL74" s="407"/>
      <c r="AM74" s="92" t="s">
        <v>396</v>
      </c>
      <c r="AN74" s="92" t="s">
        <v>397</v>
      </c>
      <c r="AO74" s="92" t="s">
        <v>398</v>
      </c>
      <c r="AP74" s="92" t="s">
        <v>399</v>
      </c>
      <c r="AQ74" s="407"/>
    </row>
    <row r="75" spans="2:43" ht="16.2" outlineLevel="1" x14ac:dyDescent="0.45">
      <c r="B75" s="718" t="s">
        <v>168</v>
      </c>
      <c r="C75" s="719"/>
      <c r="D75" s="266">
        <f>+ROUND((1658-D80),0)</f>
        <v>0</v>
      </c>
      <c r="E75" s="266">
        <f>ROUND((1682-E80),0)</f>
        <v>0</v>
      </c>
      <c r="F75" s="266">
        <f>ROUND((1704-F80),0)</f>
        <v>0</v>
      </c>
      <c r="G75" s="266">
        <f>ROUND((1719-G80),0)</f>
        <v>0</v>
      </c>
      <c r="H75" s="267"/>
      <c r="I75" s="266">
        <f>ROUND((1722-I80),0)</f>
        <v>0</v>
      </c>
      <c r="J75" s="266">
        <f>ROUND((1709-J80),0)</f>
        <v>0</v>
      </c>
      <c r="K75" s="266">
        <f>ROUND((1742-K80),0)</f>
        <v>0</v>
      </c>
      <c r="L75" s="266">
        <f>ROUND((1782-L80),0)</f>
        <v>0</v>
      </c>
      <c r="M75" s="48"/>
      <c r="N75" s="266">
        <f>ROUND((1750-N80),0)</f>
        <v>0</v>
      </c>
      <c r="O75" s="266">
        <f>ROUND((1787-O80),0)</f>
        <v>0</v>
      </c>
      <c r="P75" s="266">
        <f>ROUND((1836-P80),0)</f>
        <v>0</v>
      </c>
      <c r="Q75" s="266"/>
      <c r="R75" s="75"/>
      <c r="S75" s="47"/>
      <c r="T75" s="47"/>
      <c r="U75" s="47"/>
      <c r="V75" s="47"/>
      <c r="W75" s="75"/>
      <c r="X75" s="47"/>
      <c r="Y75" s="47"/>
      <c r="Z75" s="47"/>
      <c r="AA75" s="47"/>
      <c r="AB75" s="75"/>
      <c r="AC75" s="47"/>
      <c r="AD75" s="47"/>
      <c r="AE75" s="47"/>
      <c r="AF75" s="47"/>
      <c r="AG75" s="75"/>
      <c r="AH75" s="47"/>
      <c r="AI75" s="47"/>
      <c r="AJ75" s="47"/>
      <c r="AK75" s="47"/>
      <c r="AL75" s="75"/>
      <c r="AM75" s="47"/>
      <c r="AN75" s="47"/>
      <c r="AO75" s="47"/>
      <c r="AP75" s="47"/>
      <c r="AQ75" s="75"/>
    </row>
    <row r="76" spans="2:43" outlineLevel="2" x14ac:dyDescent="0.3">
      <c r="B76" s="123" t="s">
        <v>362</v>
      </c>
      <c r="C76" s="287"/>
      <c r="D76" s="264">
        <v>1210</v>
      </c>
      <c r="E76" s="264">
        <v>1290</v>
      </c>
      <c r="F76" s="264">
        <v>1315.5</v>
      </c>
      <c r="G76" s="264">
        <v>1269.5039999999999</v>
      </c>
      <c r="H76" s="54"/>
      <c r="I76" s="264">
        <v>1255</v>
      </c>
      <c r="J76" s="264">
        <v>1282.604</v>
      </c>
      <c r="K76" s="264">
        <v>1322.4</v>
      </c>
      <c r="L76" s="264">
        <v>1201.7</v>
      </c>
      <c r="M76" s="54"/>
      <c r="N76" s="264">
        <v>1188.2</v>
      </c>
      <c r="O76" s="264">
        <v>1248</v>
      </c>
      <c r="P76" s="264">
        <v>1314.5</v>
      </c>
      <c r="Q76" s="264">
        <v>1257.2</v>
      </c>
      <c r="R76" s="50"/>
      <c r="S76" s="264">
        <v>1231</v>
      </c>
      <c r="T76" s="124">
        <f>+O76*(1+T77)</f>
        <v>1263.3666141626038</v>
      </c>
      <c r="U76" s="124">
        <f>+P76*(1+U77)</f>
        <v>1343.5979196151388</v>
      </c>
      <c r="V76" s="124">
        <f>+Q76*(1+V77)</f>
        <v>1293.8645244925501</v>
      </c>
      <c r="W76" s="50"/>
      <c r="X76" s="124">
        <f>+S76*(1+X77)</f>
        <v>1268.190466515164</v>
      </c>
      <c r="Y76" s="124">
        <f>+T76*(1+Y77)</f>
        <v>1274.0497467419375</v>
      </c>
      <c r="Z76" s="124">
        <f>+U76*(1+Z77)</f>
        <v>1353.6639608842911</v>
      </c>
      <c r="AA76" s="124">
        <f>+V76*(1+AA77)</f>
        <v>1298.8210492227724</v>
      </c>
      <c r="AB76" s="50"/>
      <c r="AC76" s="124">
        <f>+X76*(1+AC77)</f>
        <v>1284.0397778668062</v>
      </c>
      <c r="AD76" s="124">
        <f>+Y76*(1+AD77)</f>
        <v>1284.3301525115014</v>
      </c>
      <c r="AE76" s="124">
        <f>+Z76*(1+AE77)</f>
        <v>1364.4558110440444</v>
      </c>
      <c r="AF76" s="124">
        <f>+AA76*(1+AF77)</f>
        <v>1309.3316851127327</v>
      </c>
      <c r="AG76" s="50"/>
      <c r="AH76" s="124">
        <f>+AC76*(1+AH77)</f>
        <v>1292.5887304868922</v>
      </c>
      <c r="AI76" s="124">
        <f>+AD76*(1+AI77)</f>
        <v>1291.006005286835</v>
      </c>
      <c r="AJ76" s="124">
        <f>+AE76*(1+AJ77)</f>
        <v>1370.568761222627</v>
      </c>
      <c r="AK76" s="124">
        <f>+AF76*(1+AK77)</f>
        <v>1314.0545635262633</v>
      </c>
      <c r="AL76" s="50"/>
      <c r="AM76" s="124">
        <f>+AH76*(1+AM77)</f>
        <v>1295.8017865038451</v>
      </c>
      <c r="AN76" s="124">
        <f>+AI76*(1+AN77)</f>
        <v>1292.8685742878874</v>
      </c>
      <c r="AO76" s="124">
        <f>+AJ76*(1+AO77)</f>
        <v>1371.2594279621103</v>
      </c>
      <c r="AP76" s="124">
        <f>+AK76*(1+AP77)</f>
        <v>1313.4105117460472</v>
      </c>
      <c r="AQ76" s="50"/>
    </row>
    <row r="77" spans="2:43" outlineLevel="2" x14ac:dyDescent="0.3">
      <c r="B77" s="141" t="s">
        <v>204</v>
      </c>
      <c r="C77" s="287"/>
      <c r="D77" s="166">
        <f>+D76/1211-1</f>
        <v>-8.2576383154420174E-4</v>
      </c>
      <c r="E77" s="166">
        <f>+E76/1259-1</f>
        <v>2.4622716441620396E-2</v>
      </c>
      <c r="F77" s="166">
        <f>+F76/1258-1</f>
        <v>4.5707472178060371E-2</v>
      </c>
      <c r="G77" s="166">
        <f>+G76/1231-1</f>
        <v>3.1278635255889364E-2</v>
      </c>
      <c r="H77" s="84"/>
      <c r="I77" s="166">
        <f>+I76/D76-1</f>
        <v>3.7190082644628086E-2</v>
      </c>
      <c r="J77" s="166">
        <f>+J76/E76-1</f>
        <v>-5.733333333333257E-3</v>
      </c>
      <c r="K77" s="166">
        <f>+K76/F76-1</f>
        <v>5.2451539338655984E-3</v>
      </c>
      <c r="L77" s="166">
        <f>+L76/G76-1</f>
        <v>-5.3409835652349136E-2</v>
      </c>
      <c r="M77" s="84"/>
      <c r="N77" s="166">
        <f>+N76/I76-1</f>
        <v>-5.3227091633466062E-2</v>
      </c>
      <c r="O77" s="166">
        <f>+O76/J76-1</f>
        <v>-2.697948860287358E-2</v>
      </c>
      <c r="P77" s="166">
        <f>+P76/K76-1</f>
        <v>-5.9739866908651296E-3</v>
      </c>
      <c r="Q77" s="166">
        <f>+Q76/L76-1</f>
        <v>4.6184571856536571E-2</v>
      </c>
      <c r="R77" s="76"/>
      <c r="S77" s="166">
        <f>+S76/N76-1</f>
        <v>3.6020871907086249E-2</v>
      </c>
      <c r="T77" s="177">
        <f>AVERAGE(S77,Q77,P77,O77)</f>
        <v>1.2312992117471028E-2</v>
      </c>
      <c r="U77" s="177">
        <f>AVERAGE(T77,S77,Q77,P77)</f>
        <v>2.213611229755718E-2</v>
      </c>
      <c r="V77" s="177">
        <f>AVERAGE(U77,T77,S77,Q77)</f>
        <v>2.9163637044662759E-2</v>
      </c>
      <c r="W77" s="57"/>
      <c r="X77" s="142">
        <f>AVERAGE(V77,U77,T77,S77)+0.53031860288693%</f>
        <v>3.0211589370563605E-2</v>
      </c>
      <c r="Y77" s="142">
        <f>AVERAGE(X77,V77,U77,T77)-1.5%</f>
        <v>8.4560827075636433E-3</v>
      </c>
      <c r="Z77" s="142">
        <f>AVERAGE(Y77,X77,V77,U77)-1.5%</f>
        <v>7.4918553550867989E-3</v>
      </c>
      <c r="AA77" s="142">
        <f>AVERAGE(Z77,Y77,X77,V77)-1.5%</f>
        <v>3.8307911194692019E-3</v>
      </c>
      <c r="AB77" s="57"/>
      <c r="AC77" s="142">
        <f>AVERAGE(AA77,Z77,Y77,X77)</f>
        <v>1.2497579638170813E-2</v>
      </c>
      <c r="AD77" s="142">
        <f>AVERAGE(AC77,AA77,Z77,Y77)</f>
        <v>8.0690772050726143E-3</v>
      </c>
      <c r="AE77" s="142">
        <f>AVERAGE(AD77,AC77,AA77,Z77)</f>
        <v>7.9723258294498583E-3</v>
      </c>
      <c r="AF77" s="142">
        <f>AVERAGE(AE77,AD77,AC77,AA77)</f>
        <v>8.0924434480406215E-3</v>
      </c>
      <c r="AG77" s="57"/>
      <c r="AH77" s="177">
        <f>AVERAGE(AF77,AE77,AD77,AC77)-0.25%</f>
        <v>6.6578565301834754E-3</v>
      </c>
      <c r="AI77" s="177">
        <f>AVERAGE(AH77,AF77,AE77,AD77)-0.25%</f>
        <v>5.1979257531866423E-3</v>
      </c>
      <c r="AJ77" s="177">
        <f>AVERAGE(AI77,AH77,AF77,AE77)-0.25%</f>
        <v>4.4801378902151485E-3</v>
      </c>
      <c r="AK77" s="177">
        <f>AVERAGE(AJ77,AI77,AH77,AF77)-0.25%</f>
        <v>3.6070909054064727E-3</v>
      </c>
      <c r="AL77" s="57"/>
      <c r="AM77" s="177">
        <f>AVERAGE(AK77,AJ77,AI77,AH77)-0.25%</f>
        <v>2.485752769747935E-3</v>
      </c>
      <c r="AN77" s="177">
        <f>AVERAGE(AM77,AK77,AJ77,AI77)-0.25%</f>
        <v>1.4427268296390489E-3</v>
      </c>
      <c r="AO77" s="177">
        <f>AVERAGE(AN77,AM77,AK77,AJ77)-0.25%</f>
        <v>5.0392709875215136E-4</v>
      </c>
      <c r="AP77" s="177">
        <f>AVERAGE(AO77,AN77,AM77,AK77)-0.25%</f>
        <v>-4.9012559911359825E-4</v>
      </c>
      <c r="AQ77" s="57"/>
    </row>
    <row r="78" spans="2:43" outlineLevel="2" x14ac:dyDescent="0.3">
      <c r="B78" s="123" t="s">
        <v>173</v>
      </c>
      <c r="C78" s="287"/>
      <c r="D78" s="143">
        <v>21.074999999999999</v>
      </c>
      <c r="E78" s="143">
        <v>20.7</v>
      </c>
      <c r="F78" s="143">
        <v>20.56</v>
      </c>
      <c r="G78" s="143">
        <v>20.834</v>
      </c>
      <c r="H78" s="54"/>
      <c r="I78" s="143">
        <v>21.11</v>
      </c>
      <c r="J78" s="143">
        <v>21.155999999999999</v>
      </c>
      <c r="K78" s="143">
        <v>21.244</v>
      </c>
      <c r="L78" s="143">
        <v>22.814</v>
      </c>
      <c r="M78" s="54"/>
      <c r="N78" s="143">
        <v>22.664999999999999</v>
      </c>
      <c r="O78" s="143">
        <v>22.73</v>
      </c>
      <c r="P78" s="143">
        <v>22.53</v>
      </c>
      <c r="Q78" s="143">
        <v>23.263000000000002</v>
      </c>
      <c r="R78" s="420"/>
      <c r="S78" s="143">
        <v>23.57</v>
      </c>
      <c r="T78" s="143">
        <f>+O78*(1+T79)</f>
        <v>23.640298946167544</v>
      </c>
      <c r="U78" s="143">
        <f>+P78*(1+U79)</f>
        <v>23.432289276601615</v>
      </c>
      <c r="V78" s="143">
        <f>+Q78*(1+V79)</f>
        <v>24.075500984829379</v>
      </c>
      <c r="W78" s="50"/>
      <c r="X78" s="143">
        <f>+S78*(1+X79)</f>
        <v>24.483059681678043</v>
      </c>
      <c r="Y78" s="143">
        <f>+T78*(1+Y79)</f>
        <v>24.194437356477025</v>
      </c>
      <c r="Z78" s="143">
        <f>+U78*(1+Z79)</f>
        <v>23.884261380501517</v>
      </c>
      <c r="AA78" s="143">
        <f>+V78*(1+AA79)</f>
        <v>24.503425366253186</v>
      </c>
      <c r="AB78" s="50"/>
      <c r="AC78" s="143">
        <f>+X78*(1+AC79)</f>
        <v>25.090492508887163</v>
      </c>
      <c r="AD78" s="143">
        <f>+Y78*(1+AD79)</f>
        <v>24.710465053766761</v>
      </c>
      <c r="AE78" s="143">
        <f>+Z78*(1+AE79)</f>
        <v>24.381062322842883</v>
      </c>
      <c r="AF78" s="143">
        <f>+AA78*(1+AF79)</f>
        <v>25.022366917231004</v>
      </c>
      <c r="AG78" s="50"/>
      <c r="AH78" s="143">
        <f>+AC78*(1+AH79)</f>
        <v>25.580493313182313</v>
      </c>
      <c r="AI78" s="143">
        <f>+AD78*(1+AI79)</f>
        <v>25.160420244082406</v>
      </c>
      <c r="AJ78" s="143">
        <f>+AE78*(1+AJ79)</f>
        <v>24.806006628475188</v>
      </c>
      <c r="AK78" s="143">
        <f>+AF78*(1+AK79)</f>
        <v>25.437400660777811</v>
      </c>
      <c r="AL78" s="50"/>
      <c r="AM78" s="143">
        <f>+AH78*(1+AM79)</f>
        <v>25.975419192054265</v>
      </c>
      <c r="AN78" s="143">
        <f>+AI78*(1+AN79)</f>
        <v>25.52312932892907</v>
      </c>
      <c r="AO78" s="143">
        <f>+AJ78*(1+AO79)</f>
        <v>25.140082784428508</v>
      </c>
      <c r="AP78" s="143">
        <f>+AK78*(1+AP79)</f>
        <v>25.754786139809479</v>
      </c>
      <c r="AQ78" s="50"/>
    </row>
    <row r="79" spans="2:43" outlineLevel="2" x14ac:dyDescent="0.3">
      <c r="B79" s="141" t="s">
        <v>203</v>
      </c>
      <c r="C79" s="292"/>
      <c r="D79" s="166">
        <f>+D78/21.69-1</f>
        <v>-2.835408022130026E-2</v>
      </c>
      <c r="E79" s="166">
        <f>+E78/21.5-1</f>
        <v>-3.7209302325581395E-2</v>
      </c>
      <c r="F79" s="166">
        <f>+F78/20.85-1</f>
        <v>-1.3908872901678748E-2</v>
      </c>
      <c r="G79" s="166">
        <f>+G78/21.12-1</f>
        <v>-1.3541666666666785E-2</v>
      </c>
      <c r="H79" s="84"/>
      <c r="I79" s="166">
        <f>+I78/D78-1</f>
        <v>1.6607354685647113E-3</v>
      </c>
      <c r="J79" s="166">
        <f>+J78/E78-1</f>
        <v>2.2028985507246412E-2</v>
      </c>
      <c r="K79" s="166">
        <f>+K78/F78-1</f>
        <v>3.3268482490272477E-2</v>
      </c>
      <c r="L79" s="166">
        <f>+L78/G78-1</f>
        <v>9.5036958817317885E-2</v>
      </c>
      <c r="M79" s="84"/>
      <c r="N79" s="166">
        <f>+N78/I78-1</f>
        <v>7.3661771672193233E-2</v>
      </c>
      <c r="O79" s="166">
        <f>+O78/J78-1</f>
        <v>7.4399697485347138E-2</v>
      </c>
      <c r="P79" s="166">
        <f>+P78/K78-1</f>
        <v>6.05347392204858E-2</v>
      </c>
      <c r="Q79" s="166">
        <f>+Q78/L78-1</f>
        <v>1.9680897694398292E-2</v>
      </c>
      <c r="R79" s="57"/>
      <c r="S79" s="166">
        <f>+S78/N78-1</f>
        <v>3.9929406574012782E-2</v>
      </c>
      <c r="T79" s="142">
        <f>AVERAGE(S79,Q79,P79)</f>
        <v>4.0048347829632291E-2</v>
      </c>
      <c r="U79" s="142">
        <f>AVERAGE(T79,S79,Q79,P79)</f>
        <v>4.0048347829632291E-2</v>
      </c>
      <c r="V79" s="142">
        <f>AVERAGE(U79,T79,S79,Q79)</f>
        <v>3.4926749981918914E-2</v>
      </c>
      <c r="W79" s="57"/>
      <c r="X79" s="142">
        <f>AVERAGE(V79,U79,T79,S79)</f>
        <v>3.873821305379907E-2</v>
      </c>
      <c r="Y79" s="142">
        <f>AVERAGE(X79,V79,U79,T79)-1.5%</f>
        <v>2.3440414673745642E-2</v>
      </c>
      <c r="Z79" s="142">
        <f>AVERAGE(Y79,X79,V79,U79)-1.5%</f>
        <v>1.9288431384773978E-2</v>
      </c>
      <c r="AA79" s="142">
        <f>AVERAGE(Z79,Y79,X79,V79)-1.13241853250356%</f>
        <v>1.7774266948523798E-2</v>
      </c>
      <c r="AB79" s="57"/>
      <c r="AC79" s="142">
        <f>AVERAGE(AA79,Z79,Y79,X79)</f>
        <v>2.4810331515210622E-2</v>
      </c>
      <c r="AD79" s="142">
        <f>AVERAGE(AC79,AA79,Z79,Y79)</f>
        <v>2.1328361130563508E-2</v>
      </c>
      <c r="AE79" s="142">
        <f>AVERAGE(AD79,AC79,AA79,Z79)</f>
        <v>2.080034774476798E-2</v>
      </c>
      <c r="AF79" s="142">
        <f>AVERAGE(AE79,AD79,AC79,AA79)</f>
        <v>2.1178326834766475E-2</v>
      </c>
      <c r="AG79" s="57"/>
      <c r="AH79" s="177">
        <f>AVERAGE(AF79,AE79,AD79,AC79)-0.25%</f>
        <v>1.9529341806327146E-2</v>
      </c>
      <c r="AI79" s="177">
        <f>AVERAGE(AH79,AF79,AE79,AD79)-0.25%</f>
        <v>1.820909437910628E-2</v>
      </c>
      <c r="AJ79" s="177">
        <f>AVERAGE(AI79,AH79,AF79,AE79)-0.25%</f>
        <v>1.742927769124197E-2</v>
      </c>
      <c r="AK79" s="177">
        <f>AVERAGE(AJ79,AI79,AH79,AF79)-0.25%</f>
        <v>1.6586510177860468E-2</v>
      </c>
      <c r="AL79" s="57"/>
      <c r="AM79" s="177">
        <f>AVERAGE(AK79,AJ79,AI79,AH79)-0.25%</f>
        <v>1.5438556013633966E-2</v>
      </c>
      <c r="AN79" s="177">
        <f>AVERAGE(AM79,AK79,AJ79,AI79)-0.25%</f>
        <v>1.4415859565460673E-2</v>
      </c>
      <c r="AO79" s="177">
        <f>AVERAGE(AN79,AM79,AK79,AJ79)-0.25%</f>
        <v>1.3467550862049269E-2</v>
      </c>
      <c r="AP79" s="177">
        <f>AVERAGE(AO79,AN79,AM79,AK79)-0.25%</f>
        <v>1.2477119154751094E-2</v>
      </c>
      <c r="AQ79" s="57"/>
    </row>
    <row r="80" spans="2:43" s="55" customFormat="1" outlineLevel="2" x14ac:dyDescent="0.3">
      <c r="B80" s="119" t="s">
        <v>167</v>
      </c>
      <c r="C80" s="167"/>
      <c r="D80" s="144">
        <f>+D76*D78*D61/1000</f>
        <v>1657.5487499999999</v>
      </c>
      <c r="E80" s="144">
        <f>+E76*E78*E61/1000</f>
        <v>1682.289</v>
      </c>
      <c r="F80" s="144">
        <f>+F76*F78*F61/1000</f>
        <v>1703.9408399999998</v>
      </c>
      <c r="G80" s="144">
        <f>+G76*G78*G61/1000</f>
        <v>1719.1750118399998</v>
      </c>
      <c r="H80" s="122"/>
      <c r="I80" s="144">
        <f>+I76*I78*I61/1000</f>
        <v>1722.0482500000001</v>
      </c>
      <c r="J80" s="144">
        <f>+J76*J78*J61/1000</f>
        <v>1709.490524112</v>
      </c>
      <c r="K80" s="144">
        <f>+K76*K78*K61/1000</f>
        <v>1741.7700672000001</v>
      </c>
      <c r="L80" s="144">
        <f>+L76*L78*L61/1000</f>
        <v>1782.0129469999999</v>
      </c>
      <c r="M80" s="122"/>
      <c r="N80" s="144">
        <f>+N76*N78*N61/1000</f>
        <v>1750.4859450000001</v>
      </c>
      <c r="O80" s="144">
        <f>+O76*O78*O61/1000</f>
        <v>1787.1235200000001</v>
      </c>
      <c r="P80" s="144">
        <f>+P76*P78*P61/1000</f>
        <v>1836.17247</v>
      </c>
      <c r="Q80" s="144">
        <f>+Q76*Q78*Q61/1000</f>
        <v>1901.005834</v>
      </c>
      <c r="R80" s="122"/>
      <c r="S80" s="144">
        <f>+S76*S78*S61/1000</f>
        <v>1885.95355</v>
      </c>
      <c r="T80" s="144">
        <f>+T76*T78*T61/1000</f>
        <v>1881.5809595569219</v>
      </c>
      <c r="U80" s="144">
        <f>+U76*U78*U61/1000</f>
        <v>1951.9816576794476</v>
      </c>
      <c r="V80" s="144">
        <f>+V76*V78*V61/1000</f>
        <v>2024.7783811876523</v>
      </c>
      <c r="W80" s="121"/>
      <c r="X80" s="144">
        <f>+X76*X78*X61/1000</f>
        <v>2018.1968871626821</v>
      </c>
      <c r="Y80" s="144">
        <f>+Y76*Y78*Y61/1000</f>
        <v>1941.9697575547432</v>
      </c>
      <c r="Z80" s="144">
        <f>+Z76*Z78*Z61/1000</f>
        <v>2004.5383595137744</v>
      </c>
      <c r="AA80" s="144">
        <f>+AA76*AA78*AA61/1000</f>
        <v>2068.6617018436759</v>
      </c>
      <c r="AB80" s="121"/>
      <c r="AC80" s="144">
        <f>+AC76*AC78*AC61/1000</f>
        <v>2094.1173777992153</v>
      </c>
      <c r="AD80" s="144">
        <f>+AD76*AD78*AD61/1000</f>
        <v>1999.3929071214666</v>
      </c>
      <c r="AE80" s="144">
        <f>+AE76*AE78*AE61/1000</f>
        <v>2062.5466942814587</v>
      </c>
      <c r="AF80" s="144">
        <f>+AF76*AF78*AF61/1000</f>
        <v>2129.5675596810652</v>
      </c>
      <c r="AG80" s="121"/>
      <c r="AH80" s="144">
        <f>+AH76*AH78*AH61/1000</f>
        <v>2149.2287294994594</v>
      </c>
      <c r="AI80" s="144">
        <f>+AI76*AI78*AI61/1000</f>
        <v>2046.3819787310028</v>
      </c>
      <c r="AJ80" s="144">
        <f>+AJ76*AJ78*AJ61/1000</f>
        <v>2107.8969420915096</v>
      </c>
      <c r="AK80" s="144">
        <f>+AK76*AK78*AK61/1000</f>
        <v>2172.69860746517</v>
      </c>
      <c r="AL80" s="121"/>
      <c r="AM80" s="144">
        <f>+AM76*AM78*AM61/1000</f>
        <v>2187.8346486262617</v>
      </c>
      <c r="AN80" s="144">
        <f>+AN76*AN78*AN61/1000</f>
        <v>2078.8772650920469</v>
      </c>
      <c r="AO80" s="144">
        <f>+AO76*AO78*AO61/1000</f>
        <v>2137.3616833495225</v>
      </c>
      <c r="AP80" s="144">
        <f>+AP76*AP78*AP61/1000</f>
        <v>2198.729444846816</v>
      </c>
      <c r="AQ80" s="121"/>
    </row>
    <row r="81" spans="2:43" ht="16.2" outlineLevel="1" x14ac:dyDescent="0.45">
      <c r="B81" s="749" t="s">
        <v>169</v>
      </c>
      <c r="C81" s="750"/>
      <c r="D81" s="126"/>
      <c r="E81" s="126"/>
      <c r="F81" s="126"/>
      <c r="G81" s="126"/>
      <c r="H81" s="136"/>
      <c r="I81" s="126"/>
      <c r="J81" s="126"/>
      <c r="K81" s="126"/>
      <c r="L81" s="126"/>
      <c r="M81" s="136"/>
      <c r="N81" s="126"/>
      <c r="O81" s="126"/>
      <c r="P81" s="126"/>
      <c r="Q81" s="126"/>
      <c r="R81" s="136"/>
      <c r="S81" s="126"/>
      <c r="T81" s="126"/>
      <c r="U81" s="126"/>
      <c r="V81" s="126"/>
      <c r="W81" s="136"/>
      <c r="X81" s="126"/>
      <c r="Y81" s="126"/>
      <c r="Z81" s="126"/>
      <c r="AA81" s="126"/>
      <c r="AB81" s="136"/>
      <c r="AC81" s="126"/>
      <c r="AD81" s="126"/>
      <c r="AE81" s="126"/>
      <c r="AF81" s="126"/>
      <c r="AG81" s="136"/>
      <c r="AH81" s="126"/>
      <c r="AI81" s="126"/>
      <c r="AJ81" s="126"/>
      <c r="AK81" s="126"/>
      <c r="AL81" s="136"/>
      <c r="AM81" s="126"/>
      <c r="AN81" s="126"/>
      <c r="AO81" s="126"/>
      <c r="AP81" s="126"/>
      <c r="AQ81" s="136"/>
    </row>
    <row r="82" spans="2:43" outlineLevel="2" x14ac:dyDescent="0.3">
      <c r="B82" s="127" t="s">
        <v>363</v>
      </c>
      <c r="C82" s="128"/>
      <c r="D82" s="129">
        <v>541</v>
      </c>
      <c r="E82" s="129">
        <v>531</v>
      </c>
      <c r="F82" s="129">
        <v>535</v>
      </c>
      <c r="G82" s="129">
        <v>558</v>
      </c>
      <c r="H82" s="136"/>
      <c r="I82" s="129">
        <v>570</v>
      </c>
      <c r="J82" s="129">
        <v>557.4</v>
      </c>
      <c r="K82" s="129">
        <v>549.4</v>
      </c>
      <c r="L82" s="129">
        <v>565</v>
      </c>
      <c r="M82" s="136"/>
      <c r="N82" s="129">
        <v>557.29999999999995</v>
      </c>
      <c r="O82" s="129">
        <v>547</v>
      </c>
      <c r="P82" s="129">
        <v>541</v>
      </c>
      <c r="Q82" s="129">
        <v>551</v>
      </c>
      <c r="R82" s="136"/>
      <c r="S82" s="129">
        <v>550.5</v>
      </c>
      <c r="T82" s="129">
        <f>+O82*(1+T83)</f>
        <v>537.30060835568327</v>
      </c>
      <c r="U82" s="129">
        <f>+P82*(1+U83)</f>
        <v>531.5322522486415</v>
      </c>
      <c r="V82" s="129">
        <f>+Q82*(1+V83)</f>
        <v>541.05267534906761</v>
      </c>
      <c r="W82" s="136"/>
      <c r="X82" s="129">
        <f>+S82*(1+X83)</f>
        <v>541.48730444047385</v>
      </c>
      <c r="Y82" s="129">
        <f>+T82*(1+Y83)</f>
        <v>519.88434604253882</v>
      </c>
      <c r="Z82" s="129">
        <f>+U82*(1+Z83)</f>
        <v>512.35192588766017</v>
      </c>
      <c r="AA82" s="129">
        <f>+V82*(1+AA83)</f>
        <v>519.01500454686243</v>
      </c>
      <c r="AB82" s="136"/>
      <c r="AC82" s="129">
        <f>+X82*(1+AC83)</f>
        <v>524.48429431735599</v>
      </c>
      <c r="AD82" s="129">
        <f>+Y82*(1+AD83)</f>
        <v>501.6063801793282</v>
      </c>
      <c r="AE82" s="129">
        <f>+Z82*(1+AE83)</f>
        <v>493.98738887933877</v>
      </c>
      <c r="AF82" s="129">
        <f>+AA82*(1+AF83)</f>
        <v>500.44295784401538</v>
      </c>
      <c r="AG82" s="136"/>
      <c r="AH82" s="129">
        <f>+AC82*(1+AH83)</f>
        <v>505.05409456200044</v>
      </c>
      <c r="AI82" s="129">
        <f>+AD82*(1+AI83)</f>
        <v>482.31573951312515</v>
      </c>
      <c r="AJ82" s="129">
        <f>+AE82*(1+AJ83)</f>
        <v>474.58222114967907</v>
      </c>
      <c r="AK82" s="129">
        <f>+AF82*(1+AK83)</f>
        <v>480.35392698898642</v>
      </c>
      <c r="AL82" s="136"/>
      <c r="AM82" s="129">
        <f>+AH82*(1+AM83)</f>
        <v>484.2295477774752</v>
      </c>
      <c r="AN82" s="129">
        <f>+AI82*(1+AN83)</f>
        <v>461.9240024123236</v>
      </c>
      <c r="AO82" s="129">
        <f>+AJ82*(1+AO83)</f>
        <v>454.06409298900093</v>
      </c>
      <c r="AP82" s="129">
        <f>+AK82*(1+AP83)</f>
        <v>459.11175083068048</v>
      </c>
      <c r="AQ82" s="136"/>
    </row>
    <row r="83" spans="2:43" outlineLevel="2" x14ac:dyDescent="0.3">
      <c r="B83" s="145" t="s">
        <v>204</v>
      </c>
      <c r="C83" s="128"/>
      <c r="D83" s="146">
        <f>+D82/527-1</f>
        <v>2.6565464895635715E-2</v>
      </c>
      <c r="E83" s="146">
        <f>+E82/521.4-1</f>
        <v>1.8411967779056404E-2</v>
      </c>
      <c r="F83" s="146">
        <f>+F82/516-1</f>
        <v>3.6821705426356655E-2</v>
      </c>
      <c r="G83" s="146">
        <f>+G82/547-1</f>
        <v>2.0109689213893889E-2</v>
      </c>
      <c r="H83" s="147"/>
      <c r="I83" s="146">
        <f>+I82/D82-1</f>
        <v>5.3604436229205188E-2</v>
      </c>
      <c r="J83" s="146">
        <f>+J82/E82-1</f>
        <v>4.9717514124293816E-2</v>
      </c>
      <c r="K83" s="146">
        <f>+K82/F82-1</f>
        <v>2.6915887850467168E-2</v>
      </c>
      <c r="L83" s="146">
        <f>+L82/G82-1</f>
        <v>1.2544802867383575E-2</v>
      </c>
      <c r="M83" s="147"/>
      <c r="N83" s="146">
        <f>+N82/I82-1</f>
        <v>-2.2280701754386012E-2</v>
      </c>
      <c r="O83" s="146">
        <f>+O82/J82-1</f>
        <v>-1.8658055256548178E-2</v>
      </c>
      <c r="P83" s="146">
        <f>+P82/K82-1</f>
        <v>-1.5289406625409452E-2</v>
      </c>
      <c r="Q83" s="146">
        <f>+Q82/L82-1</f>
        <v>-2.4778761061946875E-2</v>
      </c>
      <c r="R83" s="147"/>
      <c r="S83" s="146">
        <f>+S82/N82-1</f>
        <v>-1.2201686703750103E-2</v>
      </c>
      <c r="T83" s="142">
        <f>AVERAGE(S83,Q83,P83,O83)</f>
        <v>-1.7731977411913652E-2</v>
      </c>
      <c r="U83" s="142">
        <f>AVERAGE(T83,S83,Q83,P83)</f>
        <v>-1.750045795075502E-2</v>
      </c>
      <c r="V83" s="142">
        <f>AVERAGE(U83,T83,S83,Q83)</f>
        <v>-1.8053220782091414E-2</v>
      </c>
      <c r="W83" s="147"/>
      <c r="X83" s="142">
        <f>AVERAGE(V83,U83,T83,S83)</f>
        <v>-1.6371835712127546E-2</v>
      </c>
      <c r="Y83" s="142">
        <f>AVERAGE(X83,V83,U83,T83)-1.5%</f>
        <v>-3.2414372964221908E-2</v>
      </c>
      <c r="Z83" s="142">
        <f>AVERAGE(Y83,X83,V83,U83)-1.5%</f>
        <v>-3.6084971852298975E-2</v>
      </c>
      <c r="AA83" s="142">
        <f>AVERAGE(Z83,Y83,X83,V83)-1.5%</f>
        <v>-4.0731100327684955E-2</v>
      </c>
      <c r="AB83" s="147"/>
      <c r="AC83" s="142">
        <f>AVERAGE(AA83,Z83,Y83,X83)</f>
        <v>-3.1400570214083344E-2</v>
      </c>
      <c r="AD83" s="142">
        <f>AVERAGE(AC83,AA83,Z83,Y83)</f>
        <v>-3.51577538395723E-2</v>
      </c>
      <c r="AE83" s="142">
        <f>AVERAGE(AD83,AC83,AA83,Z83)</f>
        <v>-3.5843599058409892E-2</v>
      </c>
      <c r="AF83" s="142">
        <f>AVERAGE(AE83,AD83,AC83,AA83)</f>
        <v>-3.5783255859937621E-2</v>
      </c>
      <c r="AG83" s="147"/>
      <c r="AH83" s="177">
        <f>AVERAGE(AF83,AE83,AD83,AC83)-0.25%</f>
        <v>-3.7046294743000793E-2</v>
      </c>
      <c r="AI83" s="177">
        <f>AVERAGE(AH83,AF83,AE83,AD83)-0.25%</f>
        <v>-3.845772587523015E-2</v>
      </c>
      <c r="AJ83" s="177">
        <f>AVERAGE(AI83,AH83,AF83,AE83)-0.25%</f>
        <v>-3.9282718884144613E-2</v>
      </c>
      <c r="AK83" s="177">
        <f>AVERAGE(AJ83,AI83,AH83,AF83)-0.25%</f>
        <v>-4.01424988405783E-2</v>
      </c>
      <c r="AL83" s="147"/>
      <c r="AM83" s="177">
        <f>AVERAGE(AK83,AJ83,AI83,AH83)-0.25%</f>
        <v>-4.1232309585738466E-2</v>
      </c>
      <c r="AN83" s="177">
        <f>AVERAGE(AM83,AK83,AJ83,AI83)-0.25%</f>
        <v>-4.2278813296422885E-2</v>
      </c>
      <c r="AO83" s="177">
        <f>AVERAGE(AN83,AM83,AK83,AJ83)-0.25%</f>
        <v>-4.3234085151721072E-2</v>
      </c>
      <c r="AP83" s="177">
        <f>AVERAGE(AO83,AN83,AM83,AK83)-0.25%</f>
        <v>-4.4221926718615183E-2</v>
      </c>
      <c r="AQ83" s="147"/>
    </row>
    <row r="84" spans="2:43" outlineLevel="2" x14ac:dyDescent="0.3">
      <c r="B84" s="127" t="s">
        <v>174</v>
      </c>
      <c r="C84" s="128"/>
      <c r="D84" s="130">
        <v>11.99</v>
      </c>
      <c r="E84" s="130">
        <v>11.87</v>
      </c>
      <c r="F84" s="130">
        <v>12.11</v>
      </c>
      <c r="G84" s="130">
        <v>11.994</v>
      </c>
      <c r="H84" s="136"/>
      <c r="I84" s="130">
        <v>11.96</v>
      </c>
      <c r="J84" s="130">
        <v>12.004</v>
      </c>
      <c r="K84" s="130">
        <v>12.414</v>
      </c>
      <c r="L84" s="130">
        <v>12.6</v>
      </c>
      <c r="M84" s="136"/>
      <c r="N84" s="130">
        <v>12.43</v>
      </c>
      <c r="O84" s="130">
        <v>12.53</v>
      </c>
      <c r="P84" s="130">
        <v>12.97</v>
      </c>
      <c r="Q84" s="130">
        <v>13.15</v>
      </c>
      <c r="R84" s="136"/>
      <c r="S84" s="130">
        <v>13.085000000000001</v>
      </c>
      <c r="T84" s="130">
        <f>+O84*(1+T85)</f>
        <v>13.119469792738986</v>
      </c>
      <c r="U84" s="130">
        <f>+P84*(1+U85)</f>
        <v>13.580169450265338</v>
      </c>
      <c r="V84" s="130">
        <f>+Q84*(1+V85)</f>
        <v>13.776055846770573</v>
      </c>
      <c r="W84" s="136"/>
      <c r="X84" s="130">
        <f>+S84*(1+X85)</f>
        <v>13.720908933949781</v>
      </c>
      <c r="Y84" s="130">
        <f>+T84*(1+Y85)</f>
        <v>13.546824961904116</v>
      </c>
      <c r="Z84" s="130">
        <f>+U84*(1+Z85)</f>
        <v>13.973403349889249</v>
      </c>
      <c r="AA84" s="130">
        <f>+V84*(1+AA85)</f>
        <v>14.112665925212189</v>
      </c>
      <c r="AB84" s="136"/>
      <c r="AC84" s="130">
        <f>+X84*(1+AC85)</f>
        <v>14.182491776371599</v>
      </c>
      <c r="AD84" s="130">
        <f>+Y84*(1+AD85)</f>
        <v>13.95189488999165</v>
      </c>
      <c r="AE84" s="130">
        <f>+Z84*(1+AE85)</f>
        <v>14.381892083435547</v>
      </c>
      <c r="AF84" s="130">
        <f>+AA84*(1+AF85)</f>
        <v>14.526202442730593</v>
      </c>
      <c r="AG84" s="136"/>
      <c r="AH84" s="130">
        <f>+AC84*(1+AH85)</f>
        <v>14.579878507377792</v>
      </c>
      <c r="AI84" s="130">
        <f>+AD84*(1+AI85)</f>
        <v>14.323213432991279</v>
      </c>
      <c r="AJ84" s="130">
        <f>+AE84*(1+AJ85)</f>
        <v>14.752835387326028</v>
      </c>
      <c r="AK84" s="130">
        <f>+AF84*(1+AK85)</f>
        <v>14.888371988878875</v>
      </c>
      <c r="AL84" s="136"/>
      <c r="AM84" s="130">
        <f>+AH84*(1+AM85)</f>
        <v>14.927456510508073</v>
      </c>
      <c r="AN84" s="130">
        <f>+AI84*(1+AN85)</f>
        <v>14.649705034965251</v>
      </c>
      <c r="AO84" s="130">
        <f>+AJ84*(1+AO85)</f>
        <v>15.075032469873502</v>
      </c>
      <c r="AP84" s="130">
        <f>+AK84*(1+AP85)</f>
        <v>15.198816778470166</v>
      </c>
      <c r="AQ84" s="136"/>
    </row>
    <row r="85" spans="2:43" outlineLevel="2" x14ac:dyDescent="0.3">
      <c r="B85" s="145" t="s">
        <v>203</v>
      </c>
      <c r="C85" s="128"/>
      <c r="D85" s="146">
        <f>+D84/12.32-1</f>
        <v>-2.6785714285714302E-2</v>
      </c>
      <c r="E85" s="146">
        <f>+E84/12.15-1</f>
        <v>-2.3045267489712029E-2</v>
      </c>
      <c r="F85" s="146">
        <f>+F84/12.07-1</f>
        <v>3.314001657000798E-3</v>
      </c>
      <c r="G85" s="146">
        <f>+G84/12.07-1</f>
        <v>-6.2966031483016049E-3</v>
      </c>
      <c r="H85" s="147"/>
      <c r="I85" s="146">
        <f>+I84/D84-1</f>
        <v>-2.5020850708923348E-3</v>
      </c>
      <c r="J85" s="146">
        <f>+J84/E84-1</f>
        <v>1.1288963774220839E-2</v>
      </c>
      <c r="K85" s="146">
        <f>+K84/F84-1</f>
        <v>2.5103220478942978E-2</v>
      </c>
      <c r="L85" s="146">
        <f>+L84/G84-1</f>
        <v>5.0525262631315737E-2</v>
      </c>
      <c r="M85" s="147"/>
      <c r="N85" s="146">
        <f>+N84/I84-1</f>
        <v>3.9297658862876172E-2</v>
      </c>
      <c r="O85" s="146">
        <f>+O84/J84-1</f>
        <v>4.3818727090969567E-2</v>
      </c>
      <c r="P85" s="146">
        <f>+P84/K84-1</f>
        <v>4.4788142419848631E-2</v>
      </c>
      <c r="Q85" s="146">
        <f>+Q84/L84-1</f>
        <v>4.3650793650793718E-2</v>
      </c>
      <c r="R85" s="147"/>
      <c r="S85" s="146">
        <f>+S84/N84-1</f>
        <v>5.2695092518101561E-2</v>
      </c>
      <c r="T85" s="142">
        <f>AVERAGE(S85,Q85,P85)</f>
        <v>4.704467619624797E-2</v>
      </c>
      <c r="U85" s="142">
        <f>AVERAGE(T85,S85,Q85,P85)</f>
        <v>4.704467619624797E-2</v>
      </c>
      <c r="V85" s="142">
        <f>AVERAGE(U85,T85,S85,Q85)</f>
        <v>4.7608809640347804E-2</v>
      </c>
      <c r="W85" s="147"/>
      <c r="X85" s="142">
        <f>AVERAGE(V85,U85,T85,S85)</f>
        <v>4.8598313637736326E-2</v>
      </c>
      <c r="Y85" s="142">
        <f>AVERAGE(X85,V85,U85,T85)-1.5%</f>
        <v>3.2574118917645015E-2</v>
      </c>
      <c r="Z85" s="142">
        <f>AVERAGE(Y85,X85,V85,U85)-1.5%</f>
        <v>2.8956479597994279E-2</v>
      </c>
      <c r="AA85" s="142">
        <f>AVERAGE(Z85,Y85,X85,V85)-1.5%</f>
        <v>2.4434430448430855E-2</v>
      </c>
      <c r="AB85" s="147"/>
      <c r="AC85" s="142">
        <f>AVERAGE(AA85,Z85,Y85,X85)</f>
        <v>3.3640835650451617E-2</v>
      </c>
      <c r="AD85" s="142">
        <f>AVERAGE(AC85,AA85,Z85,Y85)</f>
        <v>2.990146615363044E-2</v>
      </c>
      <c r="AE85" s="142">
        <f>AVERAGE(AD85,AC85,AA85,Z85)</f>
        <v>2.92333029626268E-2</v>
      </c>
      <c r="AF85" s="142">
        <f>AVERAGE(AE85,AD85,AC85,AA85)</f>
        <v>2.9302508803784929E-2</v>
      </c>
      <c r="AG85" s="147"/>
      <c r="AH85" s="177">
        <f>AVERAGE(AF85,AE85,AD85,AC85)-0.25%</f>
        <v>2.801952839262345E-2</v>
      </c>
      <c r="AI85" s="177">
        <f>AVERAGE(AH85,AF85,AE85,AD85)-0.25%</f>
        <v>2.6614201578166408E-2</v>
      </c>
      <c r="AJ85" s="177">
        <f>AVERAGE(AI85,AH85,AF85,AE85)-0.25%</f>
        <v>2.5792385434300399E-2</v>
      </c>
      <c r="AK85" s="177">
        <f>AVERAGE(AJ85,AI85,AH85,AF85)-0.25%</f>
        <v>2.4932156052218799E-2</v>
      </c>
      <c r="AL85" s="147"/>
      <c r="AM85" s="177">
        <f>AVERAGE(AK85,AJ85,AI85,AH85)-0.25%</f>
        <v>2.3839567864327265E-2</v>
      </c>
      <c r="AN85" s="177">
        <f>AVERAGE(AM85,AK85,AJ85,AI85)-0.25%</f>
        <v>2.279457773225322E-2</v>
      </c>
      <c r="AO85" s="177">
        <f>AVERAGE(AN85,AM85,AK85,AJ85)-0.25%</f>
        <v>2.1839671770774921E-2</v>
      </c>
      <c r="AP85" s="177">
        <f>AVERAGE(AO85,AN85,AM85,AK85)-0.25%</f>
        <v>2.0851493354893551E-2</v>
      </c>
      <c r="AQ85" s="147"/>
    </row>
    <row r="86" spans="2:43" outlineLevel="2" x14ac:dyDescent="0.3">
      <c r="B86" s="132" t="s">
        <v>170</v>
      </c>
      <c r="C86" s="131"/>
      <c r="D86" s="148">
        <f>+D82*D84*D61/1000</f>
        <v>421.62835000000001</v>
      </c>
      <c r="E86" s="148">
        <f>+E82*E84*E61/1000</f>
        <v>397.08711</v>
      </c>
      <c r="F86" s="148">
        <f>+F82*F84*F61/1000</f>
        <v>408.16755000000001</v>
      </c>
      <c r="G86" s="148">
        <f>+G82*G84*G61/1000</f>
        <v>435.02238</v>
      </c>
      <c r="H86" s="137"/>
      <c r="I86" s="148">
        <f>+I82*I84*I61/1000</f>
        <v>443.11800000000005</v>
      </c>
      <c r="J86" s="148">
        <f>+J82*J84*J61/1000</f>
        <v>421.53486479999998</v>
      </c>
      <c r="K86" s="148">
        <f>+K82*K84*K61/1000</f>
        <v>422.85559919999997</v>
      </c>
      <c r="L86" s="148">
        <f>+L82*L84*L61/1000</f>
        <v>462.73500000000001</v>
      </c>
      <c r="M86" s="137"/>
      <c r="N86" s="148">
        <f>+N82*N84*N61/1000</f>
        <v>450.270535</v>
      </c>
      <c r="O86" s="148">
        <f>+O82*O84*O61/1000</f>
        <v>431.79633000000001</v>
      </c>
      <c r="P86" s="148">
        <f>+P82*P84*P61/1000</f>
        <v>435.03974000000005</v>
      </c>
      <c r="Q86" s="148">
        <f>+Q82*Q84*Q61/1000</f>
        <v>470.96725000000004</v>
      </c>
      <c r="R86" s="137"/>
      <c r="S86" s="148">
        <f>+S82*S84*S61/1000</f>
        <v>468.21401250000002</v>
      </c>
      <c r="T86" s="148">
        <f>+T82*T84*T61/1000</f>
        <v>444.09324335938805</v>
      </c>
      <c r="U86" s="148">
        <f>+U82*U84*U61/1000</f>
        <v>447.53447933669929</v>
      </c>
      <c r="V86" s="148">
        <f>+V82*V84*V61/1000</f>
        <v>484.48217165746996</v>
      </c>
      <c r="W86" s="137"/>
      <c r="X86" s="148">
        <f>+X82*X84*X61/1000</f>
        <v>482.93036955264938</v>
      </c>
      <c r="Y86" s="148">
        <f>+Y82*Y84*Y61/1000</f>
        <v>443.69528088515256</v>
      </c>
      <c r="Z86" s="148">
        <f>+Z82*Z84*Z61/1000</f>
        <v>443.87660728629203</v>
      </c>
      <c r="AA86" s="148">
        <f>+AA82*AA84*AA61/1000</f>
        <v>476.10454900725301</v>
      </c>
      <c r="AB86" s="137"/>
      <c r="AC86" s="148">
        <f>+AC82*AC84*AC61/1000</f>
        <v>483.50212241447758</v>
      </c>
      <c r="AD86" s="148">
        <f>+AD82*AD84*AD61/1000</f>
        <v>440.89664802190418</v>
      </c>
      <c r="AE86" s="148">
        <f>+AE82*AE84*AE61/1000</f>
        <v>440.47734568132705</v>
      </c>
      <c r="AF86" s="148">
        <f>+AF82*AF84*AF61/1000</f>
        <v>472.51982158426881</v>
      </c>
      <c r="AG86" s="137"/>
      <c r="AH86" s="148">
        <f>+AH82*AH84*AH61/1000</f>
        <v>478.63577699389805</v>
      </c>
      <c r="AI86" s="148">
        <f>+AI82*AI84*AI61/1000</f>
        <v>435.22361058566361</v>
      </c>
      <c r="AJ86" s="148">
        <f>+AJ82*AJ84*AJ61/1000</f>
        <v>434.08886995511187</v>
      </c>
      <c r="AK86" s="148">
        <f>+AK82*AK84*AK61/1000</f>
        <v>464.8597168365016</v>
      </c>
      <c r="AL86" s="137"/>
      <c r="AM86" s="148">
        <f>+AM82*AM84*AM61/1000</f>
        <v>469.8405085108314</v>
      </c>
      <c r="AN86" s="148">
        <f>+AN82*AN84*AN61/1000</f>
        <v>426.32417418640046</v>
      </c>
      <c r="AO86" s="148">
        <f>+AO82*AO84*AO61/1000</f>
        <v>424.39191860319676</v>
      </c>
      <c r="AP86" s="148">
        <f>+AP82*AP84*AP61/1000</f>
        <v>453.56709981168046</v>
      </c>
      <c r="AQ86" s="137"/>
    </row>
    <row r="87" spans="2:43" ht="16.2" outlineLevel="1" x14ac:dyDescent="0.45">
      <c r="B87" s="718" t="s">
        <v>171</v>
      </c>
      <c r="C87" s="719"/>
      <c r="D87" s="46"/>
      <c r="E87" s="46"/>
      <c r="F87" s="46"/>
      <c r="G87" s="46"/>
      <c r="H87" s="54"/>
      <c r="I87" s="46"/>
      <c r="J87" s="46"/>
      <c r="K87" s="46"/>
      <c r="L87" s="46"/>
      <c r="M87" s="54"/>
      <c r="N87" s="46"/>
      <c r="O87" s="46"/>
      <c r="P87" s="46"/>
      <c r="Q87" s="46"/>
      <c r="R87" s="50"/>
      <c r="S87" s="47"/>
      <c r="T87" s="47"/>
      <c r="U87" s="47"/>
      <c r="V87" s="47"/>
      <c r="W87" s="50"/>
      <c r="X87" s="47"/>
      <c r="Y87" s="47"/>
      <c r="Z87" s="47"/>
      <c r="AA87" s="47"/>
      <c r="AB87" s="50"/>
      <c r="AC87" s="47"/>
      <c r="AD87" s="47"/>
      <c r="AE87" s="47"/>
      <c r="AF87" s="47"/>
      <c r="AG87" s="50"/>
      <c r="AH87" s="47"/>
      <c r="AI87" s="47"/>
      <c r="AJ87" s="47"/>
      <c r="AK87" s="47"/>
      <c r="AL87" s="50"/>
      <c r="AM87" s="47"/>
      <c r="AN87" s="47"/>
      <c r="AO87" s="47"/>
      <c r="AP87" s="47"/>
      <c r="AQ87" s="50"/>
    </row>
    <row r="88" spans="2:43" outlineLevel="2" x14ac:dyDescent="0.3">
      <c r="B88" s="123" t="s">
        <v>367</v>
      </c>
      <c r="C88" s="287"/>
      <c r="D88" s="264">
        <v>865</v>
      </c>
      <c r="E88" s="264">
        <v>900.4</v>
      </c>
      <c r="F88" s="264">
        <v>1015</v>
      </c>
      <c r="G88" s="264">
        <v>825.2</v>
      </c>
      <c r="H88" s="54"/>
      <c r="I88" s="264">
        <v>824</v>
      </c>
      <c r="J88" s="264">
        <v>865.5</v>
      </c>
      <c r="K88" s="264">
        <v>1025.4000000000001</v>
      </c>
      <c r="L88" s="264">
        <v>890.4</v>
      </c>
      <c r="M88" s="54"/>
      <c r="N88" s="264">
        <v>876</v>
      </c>
      <c r="O88" s="264">
        <v>939</v>
      </c>
      <c r="P88" s="264">
        <v>1026</v>
      </c>
      <c r="Q88" s="264">
        <v>878</v>
      </c>
      <c r="R88" s="50"/>
      <c r="S88" s="264">
        <v>916</v>
      </c>
      <c r="T88" s="124">
        <f>+O88*(1+T89)</f>
        <v>966.52277620135624</v>
      </c>
      <c r="U88" s="124">
        <f>+P88*(1+U89)</f>
        <v>1041.8085165566529</v>
      </c>
      <c r="V88" s="124">
        <f>+Q88*(1+V89)</f>
        <v>894.78174450128347</v>
      </c>
      <c r="W88" s="50"/>
      <c r="X88" s="124">
        <f>+S88*(1+X89)</f>
        <v>941.07420530842592</v>
      </c>
      <c r="Y88" s="124">
        <f>+T88*(1+Y89)</f>
        <v>974.06306315457982</v>
      </c>
      <c r="Z88" s="124">
        <f>+U88*(1+Z89)</f>
        <v>1044.3340061975059</v>
      </c>
      <c r="AA88" s="124">
        <f>+V88*(1+AA89)</f>
        <v>894.04641037057513</v>
      </c>
      <c r="AB88" s="50"/>
      <c r="AC88" s="124">
        <f>+X88*(1+AC89)</f>
        <v>949.72676665863492</v>
      </c>
      <c r="AD88" s="124">
        <f>+Y88*(1+AD89)</f>
        <v>978.59200363797265</v>
      </c>
      <c r="AE88" s="124">
        <f>+Z88*(1+AE89)</f>
        <v>1048.3667588281662</v>
      </c>
      <c r="AF88" s="124">
        <f>+AA88*(1+AF89)</f>
        <v>897.82009808633734</v>
      </c>
      <c r="AG88" s="50"/>
      <c r="AH88" s="124">
        <f>+AC88*(1+AH89)</f>
        <v>952.55845849450532</v>
      </c>
      <c r="AI88" s="124">
        <f>+AD88*(1+AI89)</f>
        <v>979.98982042119803</v>
      </c>
      <c r="AJ88" s="124">
        <f>+AE88*(1+AJ89)</f>
        <v>1049.0200077403065</v>
      </c>
      <c r="AK88" s="124">
        <f>+AF88*(1+AK89)</f>
        <v>897.65265481751408</v>
      </c>
      <c r="AL88" s="50"/>
      <c r="AM88" s="124">
        <f>+AH88*(1+AM89)</f>
        <v>951.33122811879423</v>
      </c>
      <c r="AN88" s="124">
        <f>+AI88*(1+AN89)</f>
        <v>977.68112496519132</v>
      </c>
      <c r="AO88" s="124">
        <f>+AJ88*(1+AO89)</f>
        <v>1045.5562546924934</v>
      </c>
      <c r="AP88" s="124">
        <f>+AK88*(1+AP89)</f>
        <v>893.80787791080979</v>
      </c>
      <c r="AQ88" s="50"/>
    </row>
    <row r="89" spans="2:43" outlineLevel="2" x14ac:dyDescent="0.3">
      <c r="B89" s="141" t="s">
        <v>204</v>
      </c>
      <c r="C89" s="287"/>
      <c r="D89" s="166">
        <f>+D88/846.4-1</f>
        <v>2.197542533081287E-2</v>
      </c>
      <c r="E89" s="166">
        <f>+E88/915-1</f>
        <v>-1.595628415300554E-2</v>
      </c>
      <c r="F89" s="166">
        <f>+F88/1024-1</f>
        <v>-8.7890625E-3</v>
      </c>
      <c r="G89" s="166">
        <f>+G88/881-1</f>
        <v>-6.3337116912599245E-2</v>
      </c>
      <c r="H89" s="84"/>
      <c r="I89" s="166">
        <f>+I88/D88-1</f>
        <v>-4.739884393063587E-2</v>
      </c>
      <c r="J89" s="166">
        <f>+J88/E88-1</f>
        <v>-3.8760550866281607E-2</v>
      </c>
      <c r="K89" s="166">
        <f>+K88/F88-1</f>
        <v>1.0246305418719404E-2</v>
      </c>
      <c r="L89" s="166">
        <f>+L88/G88-1</f>
        <v>7.9011148812409004E-2</v>
      </c>
      <c r="M89" s="84"/>
      <c r="N89" s="166">
        <f>+N88/I88-1</f>
        <v>6.3106796116504826E-2</v>
      </c>
      <c r="O89" s="166">
        <f>+O88/J88-1</f>
        <v>8.4922010398613468E-2</v>
      </c>
      <c r="P89" s="166">
        <f>+P88/K88-1</f>
        <v>5.8513750731403746E-4</v>
      </c>
      <c r="Q89" s="166">
        <f>+Q88/L88-1</f>
        <v>-1.3926325247079929E-2</v>
      </c>
      <c r="R89" s="57"/>
      <c r="S89" s="166">
        <f>+S88/N88-1</f>
        <v>4.5662100456621113E-2</v>
      </c>
      <c r="T89" s="142">
        <f>AVERAGE(S89,Q89,P89,O89)</f>
        <v>2.9310730778867172E-2</v>
      </c>
      <c r="U89" s="142">
        <f>AVERAGE(T89,S89,Q89,P89)</f>
        <v>1.5407910873930598E-2</v>
      </c>
      <c r="V89" s="142">
        <f>AVERAGE(U89,T89,S89,Q89)</f>
        <v>1.9113604215584737E-2</v>
      </c>
      <c r="W89" s="57"/>
      <c r="X89" s="142">
        <f>AVERAGE(V89,U89,T89,S89)</f>
        <v>2.7373586581250907E-2</v>
      </c>
      <c r="Y89" s="142">
        <f>AVERAGE(X89,V89,U89,T89)-1.5%</f>
        <v>7.8014581124083542E-3</v>
      </c>
      <c r="Z89" s="142">
        <f>AVERAGE(Y89,X89,V89,U89)-1.5%</f>
        <v>2.4241399457936505E-3</v>
      </c>
      <c r="AA89" s="142">
        <f>AVERAGE(Z89,Y89,X89,V89)-1.5%</f>
        <v>-8.2180278624058647E-4</v>
      </c>
      <c r="AB89" s="57"/>
      <c r="AC89" s="142">
        <f>AVERAGE(AA89,Z89,Y89,X89)</f>
        <v>9.1943454633030813E-3</v>
      </c>
      <c r="AD89" s="142">
        <f>AVERAGE(AC89,AA89,Z89,Y89)</f>
        <v>4.6495351838161253E-3</v>
      </c>
      <c r="AE89" s="142">
        <f>AVERAGE(AD89,AC89,AA89,Z89)</f>
        <v>3.8615544516680676E-3</v>
      </c>
      <c r="AF89" s="142">
        <f>AVERAGE(AE89,AD89,AC89,AA89)</f>
        <v>4.2209080781366723E-3</v>
      </c>
      <c r="AG89" s="57"/>
      <c r="AH89" s="177">
        <f>AVERAGE(AF89,AE89,AD89,AC89)-0.25%</f>
        <v>2.9815857942309871E-3</v>
      </c>
      <c r="AI89" s="177">
        <f>AVERAGE(AH89,AF89,AE89,AD89)-0.25%</f>
        <v>1.4283958769629635E-3</v>
      </c>
      <c r="AJ89" s="177">
        <f>AVERAGE(AI89,AH89,AF89,AE89)-0.25%</f>
        <v>6.2311105024967246E-4</v>
      </c>
      <c r="AK89" s="177">
        <f>AVERAGE(AJ89,AI89,AH89,AF89)-0.25%</f>
        <v>-1.8649980010492602E-4</v>
      </c>
      <c r="AL89" s="57"/>
      <c r="AM89" s="177">
        <f>AVERAGE(AK89,AJ89,AI89,AH89)-0.25%</f>
        <v>-1.2883517696653259E-3</v>
      </c>
      <c r="AN89" s="177">
        <f>AVERAGE(AM89,AK89,AJ89,AI89)-0.25%</f>
        <v>-2.3558361606394042E-3</v>
      </c>
      <c r="AO89" s="177">
        <f>AVERAGE(AN89,AM89,AK89,AJ89)-0.25%</f>
        <v>-3.3018941700399961E-3</v>
      </c>
      <c r="AP89" s="177">
        <f>AVERAGE(AO89,AN89,AM89,AK89)-0.25%</f>
        <v>-4.2831454751124133E-3</v>
      </c>
      <c r="AQ89" s="57"/>
    </row>
    <row r="90" spans="2:43" outlineLevel="2" x14ac:dyDescent="0.3">
      <c r="B90" s="123" t="s">
        <v>175</v>
      </c>
      <c r="C90" s="287"/>
      <c r="D90" s="143">
        <v>14.52</v>
      </c>
      <c r="E90" s="143">
        <v>14.554</v>
      </c>
      <c r="F90" s="143">
        <v>14.48</v>
      </c>
      <c r="G90" s="143">
        <v>15.124999989999999</v>
      </c>
      <c r="H90" s="54"/>
      <c r="I90" s="143">
        <v>15.12</v>
      </c>
      <c r="J90" s="143">
        <v>15.3</v>
      </c>
      <c r="K90" s="143">
        <v>15</v>
      </c>
      <c r="L90" s="143">
        <v>16.042999999999999</v>
      </c>
      <c r="M90" s="54"/>
      <c r="N90" s="143">
        <v>15.42</v>
      </c>
      <c r="O90" s="143">
        <v>15.58</v>
      </c>
      <c r="P90" s="143">
        <v>15.66</v>
      </c>
      <c r="Q90" s="143">
        <v>16.52</v>
      </c>
      <c r="R90" s="50"/>
      <c r="S90" s="143">
        <v>15.984</v>
      </c>
      <c r="T90" s="143">
        <f>+O90*(1+T91)</f>
        <v>16.15286864973859</v>
      </c>
      <c r="U90" s="143">
        <f>+P90*(1+U91)</f>
        <v>16.23581020891568</v>
      </c>
      <c r="V90" s="143">
        <f>+Q90*(1+V91)</f>
        <v>17.097569962586768</v>
      </c>
      <c r="W90" s="50"/>
      <c r="X90" s="143">
        <f>+S90*(1+X91)</f>
        <v>16.563726561354684</v>
      </c>
      <c r="Y90" s="143">
        <f>+T90*(1+Y91)</f>
        <v>16.495188402727475</v>
      </c>
      <c r="Z90" s="143">
        <f>+U90*(1+Z91)</f>
        <v>16.51666146031549</v>
      </c>
      <c r="AA90" s="143">
        <f>+V90*(1+AA91)</f>
        <v>17.310100475476407</v>
      </c>
      <c r="AB90" s="50"/>
      <c r="AC90" s="143">
        <f>+X90*(1+AC91)</f>
        <v>16.924776026654008</v>
      </c>
      <c r="AD90" s="143">
        <f>+Y90*(1+AD91)</f>
        <v>16.795066038958357</v>
      </c>
      <c r="AE90" s="143">
        <f>+Z90*(1+AE91)</f>
        <v>16.80448911437696</v>
      </c>
      <c r="AF90" s="143">
        <f>+AA90*(1+AF91)</f>
        <v>17.612309976800329</v>
      </c>
      <c r="AG90" s="50"/>
      <c r="AH90" s="143">
        <f>+AC90*(1+AH91)</f>
        <v>17.199221297118068</v>
      </c>
      <c r="AI90" s="143">
        <f>+AD90*(1+AI91)</f>
        <v>17.04397044406446</v>
      </c>
      <c r="AJ90" s="143">
        <f>+AE90*(1+AJ91)</f>
        <v>17.039419026428106</v>
      </c>
      <c r="AK90" s="143">
        <f>+AF90*(1+AK91)</f>
        <v>17.84335898185736</v>
      </c>
      <c r="AL90" s="50"/>
      <c r="AM90" s="143">
        <f>+AH90*(1+AM91)</f>
        <v>17.406190189925702</v>
      </c>
      <c r="AN90" s="143">
        <f>+AI90*(1+AN91)</f>
        <v>17.231251753227657</v>
      </c>
      <c r="AO90" s="143">
        <f>+AJ90*(1+AO91)</f>
        <v>17.210326713792149</v>
      </c>
      <c r="AP90" s="143">
        <f>+AK90*(1+AP91)</f>
        <v>18.004709747807322</v>
      </c>
      <c r="AQ90" s="50"/>
    </row>
    <row r="91" spans="2:43" outlineLevel="2" x14ac:dyDescent="0.3">
      <c r="B91" s="141" t="s">
        <v>203</v>
      </c>
      <c r="C91" s="287"/>
      <c r="D91" s="166">
        <f>+D90/14.68-1</f>
        <v>-1.0899182561307952E-2</v>
      </c>
      <c r="E91" s="166">
        <f>+E90/14.48-1</f>
        <v>5.1104972375690672E-3</v>
      </c>
      <c r="F91" s="166">
        <f>+F90/13.88-1</f>
        <v>4.3227665706051743E-2</v>
      </c>
      <c r="G91" s="166">
        <f>+G90/14.5-1</f>
        <v>4.3103447586206878E-2</v>
      </c>
      <c r="H91" s="84"/>
      <c r="I91" s="166">
        <f>+I90/D90-1</f>
        <v>4.1322314049586861E-2</v>
      </c>
      <c r="J91" s="166">
        <f>+J90/E90-1</f>
        <v>5.1257386285557205E-2</v>
      </c>
      <c r="K91" s="166">
        <f>+K90/F90-1</f>
        <v>3.5911602209944826E-2</v>
      </c>
      <c r="L91" s="166">
        <f>+L90/G90-1</f>
        <v>6.0694215577318467E-2</v>
      </c>
      <c r="M91" s="84"/>
      <c r="N91" s="166">
        <f>+N90/I90-1</f>
        <v>1.9841269841269993E-2</v>
      </c>
      <c r="O91" s="166">
        <f>+O90/J90-1</f>
        <v>1.8300653594771177E-2</v>
      </c>
      <c r="P91" s="166">
        <f>+P90/K90-1</f>
        <v>4.4000000000000039E-2</v>
      </c>
      <c r="Q91" s="166">
        <f>+Q90/L90-1</f>
        <v>2.9732593654553385E-2</v>
      </c>
      <c r="R91" s="57"/>
      <c r="S91" s="166">
        <f>+S90/N90-1</f>
        <v>3.6575875486381415E-2</v>
      </c>
      <c r="T91" s="142">
        <f>AVERAGE(S91,Q91,P91)</f>
        <v>3.6769489713644944E-2</v>
      </c>
      <c r="U91" s="142">
        <f>AVERAGE(T91,S91,Q91,P91)</f>
        <v>3.6769489713644944E-2</v>
      </c>
      <c r="V91" s="142">
        <f>AVERAGE(U91,T91,S91,Q91)</f>
        <v>3.4961862142056169E-2</v>
      </c>
      <c r="W91" s="57"/>
      <c r="X91" s="142">
        <f>AVERAGE(V91,U91,T91,S91)</f>
        <v>3.6269179263931868E-2</v>
      </c>
      <c r="Y91" s="142">
        <f>AVERAGE(X91,V91,U91,T91)-1.5%</f>
        <v>2.119250520831948E-2</v>
      </c>
      <c r="Z91" s="142">
        <f>AVERAGE(Y91,X91,V91,U91)-1.5%</f>
        <v>1.7298259081988114E-2</v>
      </c>
      <c r="AA91" s="142">
        <f>AVERAGE(Z91,Y91,X91,V91)-1.5%</f>
        <v>1.2430451424073907E-2</v>
      </c>
      <c r="AB91" s="57"/>
      <c r="AC91" s="142">
        <f>AVERAGE(AA91,Z91,Y91,X91)</f>
        <v>2.1797598744578345E-2</v>
      </c>
      <c r="AD91" s="142">
        <f>AVERAGE(AC91,AA91,Z91,Y91)</f>
        <v>1.8179703614739962E-2</v>
      </c>
      <c r="AE91" s="142">
        <f>AVERAGE(AD91,AC91,AA91,Z91)</f>
        <v>1.7426503216345084E-2</v>
      </c>
      <c r="AF91" s="142">
        <f>AVERAGE(AE91,AD91,AC91,AA91)</f>
        <v>1.7458564249934326E-2</v>
      </c>
      <c r="AG91" s="57"/>
      <c r="AH91" s="177">
        <f>AVERAGE(AF91,AE91,AD91,AC91)-0.25%</f>
        <v>1.621559245639943E-2</v>
      </c>
      <c r="AI91" s="177">
        <f>AVERAGE(AH91,AF91,AE91,AD91)-0.25%</f>
        <v>1.48200908843547E-2</v>
      </c>
      <c r="AJ91" s="177">
        <f>AVERAGE(AI91,AH91,AF91,AE91)-0.25%</f>
        <v>1.3980187701758384E-2</v>
      </c>
      <c r="AK91" s="177">
        <f>AVERAGE(AJ91,AI91,AH91,AF91)-0.25%</f>
        <v>1.3118608823111709E-2</v>
      </c>
      <c r="AL91" s="57"/>
      <c r="AM91" s="177">
        <f>AVERAGE(AK91,AJ91,AI91,AH91)-0.25%</f>
        <v>1.2033619966406056E-2</v>
      </c>
      <c r="AN91" s="177">
        <f>AVERAGE(AM91,AK91,AJ91,AI91)-0.25%</f>
        <v>1.0988126843907712E-2</v>
      </c>
      <c r="AO91" s="177">
        <f>AVERAGE(AN91,AM91,AK91,AJ91)-0.25%</f>
        <v>1.0030135833795965E-2</v>
      </c>
      <c r="AP91" s="177">
        <f>AVERAGE(AO91,AN91,AM91,AK91)-0.25%</f>
        <v>9.0426228668053603E-3</v>
      </c>
      <c r="AQ91" s="57"/>
    </row>
    <row r="92" spans="2:43" outlineLevel="2" x14ac:dyDescent="0.3">
      <c r="B92" s="119" t="s">
        <v>172</v>
      </c>
      <c r="C92" s="120"/>
      <c r="D92" s="144">
        <f>+D88*D90*D61/1000</f>
        <v>816.38699999999994</v>
      </c>
      <c r="E92" s="144">
        <f>+E88*E90*E61/1000</f>
        <v>825.57856079999999</v>
      </c>
      <c r="F92" s="144">
        <f>+F88*F90*F61/1000</f>
        <v>925.92360000000008</v>
      </c>
      <c r="G92" s="144">
        <f>+G88*G90*G61/1000</f>
        <v>811.27474946361997</v>
      </c>
      <c r="H92" s="56"/>
      <c r="I92" s="144">
        <f>+I88*I90*I61/1000</f>
        <v>809.82719999999995</v>
      </c>
      <c r="J92" s="144">
        <f>+J88*J90*J61/1000</f>
        <v>834.25545000000011</v>
      </c>
      <c r="K92" s="144">
        <f>+K88*K90*K61/1000</f>
        <v>953.62200000000007</v>
      </c>
      <c r="L92" s="144">
        <f>+L88*L90*L61/1000</f>
        <v>928.50466799999992</v>
      </c>
      <c r="M92" s="56"/>
      <c r="N92" s="144">
        <f>+N88*N90*N61/1000</f>
        <v>878.01480000000004</v>
      </c>
      <c r="O92" s="144">
        <f>+O88*O90*O61/1000</f>
        <v>921.66606000000002</v>
      </c>
      <c r="P92" s="144">
        <f>+P88*P90*P61/1000</f>
        <v>996.16392000000008</v>
      </c>
      <c r="Q92" s="144">
        <f>+Q88*Q90*Q61/1000</f>
        <v>942.79640000000006</v>
      </c>
      <c r="R92" s="56"/>
      <c r="S92" s="144">
        <f>+S88*S90*S61/1000</f>
        <v>951.68736000000001</v>
      </c>
      <c r="T92" s="144">
        <f>+T88*T90*T61/1000</f>
        <v>983.56327341055533</v>
      </c>
      <c r="U92" s="144">
        <f>+U88*U90*U61/1000</f>
        <v>1048.70553162844</v>
      </c>
      <c r="V92" s="144">
        <f>+V88*V90*V61/1000</f>
        <v>994.40857606064856</v>
      </c>
      <c r="W92" s="51"/>
      <c r="X92" s="144">
        <f>+X88*X90*X61/1000</f>
        <v>1013.2002276937402</v>
      </c>
      <c r="Y92" s="144">
        <f>+Y88*Y90*Y61/1000</f>
        <v>1012.2432858009754</v>
      </c>
      <c r="Z92" s="144">
        <f>+Z88*Z90*Z61/1000</f>
        <v>1069.4324963752717</v>
      </c>
      <c r="AA92" s="144">
        <f>+AA88*AA90*AA61/1000</f>
        <v>1005.9421575614884</v>
      </c>
      <c r="AB92" s="51"/>
      <c r="AC92" s="144">
        <f>+AC88*AC90*AC61/1000</f>
        <v>1044.8043327940197</v>
      </c>
      <c r="AD92" s="144">
        <f>+AD88*AD90*AD61/1000</f>
        <v>1035.4375915566688</v>
      </c>
      <c r="AE92" s="144">
        <f>+AE88*AE90*AE61/1000</f>
        <v>1092.2706027693596</v>
      </c>
      <c r="AF92" s="144">
        <f>+AF88*AF90*AF61/1000</f>
        <v>1027.8245816083602</v>
      </c>
      <c r="AG92" s="51"/>
      <c r="AH92" s="144">
        <f>+AH88*AH90*AH61/1000</f>
        <v>1064.9121421957623</v>
      </c>
      <c r="AI92" s="144">
        <f>+AI88*AI90*AI61/1000</f>
        <v>1052.283804688805</v>
      </c>
      <c r="AJ92" s="144">
        <f>+AJ88*AJ90*AJ61/1000</f>
        <v>1108.230871697624</v>
      </c>
      <c r="AK92" s="144">
        <f>+AK88*AK90*AK61/1000</f>
        <v>1041.1140064602025</v>
      </c>
      <c r="AL92" s="51"/>
      <c r="AM92" s="144">
        <f>+AM88*AM90*AM61/1000</f>
        <v>1076.3383988663361</v>
      </c>
      <c r="AN92" s="144">
        <f>+AN88*AN90*AN61/1000</f>
        <v>1061.3401847152045</v>
      </c>
      <c r="AO92" s="144">
        <f>+AO88*AO90*AO61/1000</f>
        <v>1115.6506139362148</v>
      </c>
      <c r="AP92" s="144">
        <f>+AP88*AP90*AP61/1000</f>
        <v>1046.0288417857025</v>
      </c>
      <c r="AQ92" s="51"/>
    </row>
    <row r="93" spans="2:43" ht="16.2" outlineLevel="1" x14ac:dyDescent="0.45">
      <c r="B93" s="749" t="s">
        <v>176</v>
      </c>
      <c r="C93" s="750"/>
      <c r="D93" s="126"/>
      <c r="E93" s="126"/>
      <c r="F93" s="126"/>
      <c r="G93" s="126"/>
      <c r="H93" s="136"/>
      <c r="I93" s="126"/>
      <c r="J93" s="126"/>
      <c r="K93" s="126"/>
      <c r="L93" s="126"/>
      <c r="M93" s="136"/>
      <c r="N93" s="126"/>
      <c r="O93" s="126"/>
      <c r="P93" s="126"/>
      <c r="Q93" s="126"/>
      <c r="R93" s="136"/>
      <c r="S93" s="126"/>
      <c r="T93" s="126"/>
      <c r="U93" s="126"/>
      <c r="V93" s="126"/>
      <c r="W93" s="136"/>
      <c r="X93" s="126"/>
      <c r="Y93" s="126"/>
      <c r="Z93" s="126"/>
      <c r="AA93" s="126"/>
      <c r="AB93" s="136"/>
      <c r="AC93" s="126"/>
      <c r="AD93" s="126"/>
      <c r="AE93" s="126"/>
      <c r="AF93" s="126"/>
      <c r="AG93" s="136"/>
      <c r="AH93" s="126"/>
      <c r="AI93" s="126"/>
      <c r="AJ93" s="126"/>
      <c r="AK93" s="126"/>
      <c r="AL93" s="136"/>
      <c r="AM93" s="126"/>
      <c r="AN93" s="126"/>
      <c r="AO93" s="126"/>
      <c r="AP93" s="126"/>
      <c r="AQ93" s="136"/>
    </row>
    <row r="94" spans="2:43" outlineLevel="2" x14ac:dyDescent="0.3">
      <c r="B94" s="127" t="s">
        <v>368</v>
      </c>
      <c r="C94" s="128"/>
      <c r="D94" s="129">
        <v>389.4</v>
      </c>
      <c r="E94" s="129">
        <v>402.4</v>
      </c>
      <c r="F94" s="129">
        <v>386</v>
      </c>
      <c r="G94" s="129">
        <v>398.60399999999998</v>
      </c>
      <c r="H94" s="136"/>
      <c r="I94" s="129">
        <v>500</v>
      </c>
      <c r="J94" s="129">
        <v>533.59990000000005</v>
      </c>
      <c r="K94" s="129">
        <v>534.70000000000005</v>
      </c>
      <c r="L94" s="129">
        <v>540.29999999999995</v>
      </c>
      <c r="M94" s="136"/>
      <c r="N94" s="129">
        <v>503.7</v>
      </c>
      <c r="O94" s="129">
        <v>543</v>
      </c>
      <c r="P94" s="129">
        <v>529.20000000000005</v>
      </c>
      <c r="Q94" s="129">
        <v>534</v>
      </c>
      <c r="R94" s="421"/>
      <c r="S94" s="129">
        <v>518.4</v>
      </c>
      <c r="T94" s="129">
        <f>+O94*(1+T95)</f>
        <v>535.51394274247104</v>
      </c>
      <c r="U94" s="129">
        <f>+P94*(1+U95)</f>
        <v>507.16559774463394</v>
      </c>
      <c r="V94" s="129">
        <f>+Q94*(1+V95)</f>
        <v>510.25037395116135</v>
      </c>
      <c r="W94" s="136"/>
      <c r="X94" s="129">
        <f>+S94*(1+X95)</f>
        <v>493.68338953073811</v>
      </c>
      <c r="Y94" s="129">
        <f>+T94*(1+Y95)</f>
        <v>510.4013816434213</v>
      </c>
      <c r="Z94" s="129">
        <f>+U94*(1+Z95)</f>
        <v>484.25627949765783</v>
      </c>
      <c r="AA94" s="129">
        <f>+V94*(1+AA95)</f>
        <v>486.75089529473382</v>
      </c>
      <c r="AB94" s="136"/>
      <c r="AC94" s="129">
        <f>+X94*(1+AC95)</f>
        <v>470.75191429365088</v>
      </c>
      <c r="AD94" s="129">
        <f>+Y94*(1+AD95)</f>
        <v>486.85016597623559</v>
      </c>
      <c r="AE94" s="129">
        <f>+Z94*(1+AE95)</f>
        <v>462.00247864386421</v>
      </c>
      <c r="AF94" s="129">
        <f>+AA94*(1+AF95)</f>
        <v>464.28713541786692</v>
      </c>
      <c r="AG94" s="136"/>
      <c r="AH94" s="129">
        <f>+AC94*(1+AH95)</f>
        <v>447.83838059879969</v>
      </c>
      <c r="AI94" s="129">
        <f>+AD94*(1+AI95)</f>
        <v>462.88230276301329</v>
      </c>
      <c r="AJ94" s="129">
        <f>+AE94*(1+AJ95)</f>
        <v>438.90122067994866</v>
      </c>
      <c r="AK94" s="129">
        <f>+AF94*(1+AK95)</f>
        <v>440.60179663954852</v>
      </c>
      <c r="AL94" s="136"/>
      <c r="AM94" s="129">
        <f>+AH94*(1+AM95)</f>
        <v>424.44759444049572</v>
      </c>
      <c r="AN94" s="129">
        <f>+AI94*(1+AN95)</f>
        <v>438.29425352991427</v>
      </c>
      <c r="AO94" s="129">
        <f>+AJ94*(1+AO95)</f>
        <v>415.160314743372</v>
      </c>
      <c r="AP94" s="129">
        <f>+AK94*(1+AP95)</f>
        <v>416.3184732814052</v>
      </c>
      <c r="AQ94" s="136"/>
    </row>
    <row r="95" spans="2:43" outlineLevel="2" x14ac:dyDescent="0.3">
      <c r="B95" s="145" t="s">
        <v>204</v>
      </c>
      <c r="C95" s="128"/>
      <c r="D95" s="146">
        <f>+D94/409.44-1</f>
        <v>-4.894490035169996E-2</v>
      </c>
      <c r="E95" s="146">
        <f>+E94/424.4-1</f>
        <v>-5.1837888784165842E-2</v>
      </c>
      <c r="F95" s="146">
        <f>+F94/397.7-1</f>
        <v>-2.9419160170983116E-2</v>
      </c>
      <c r="G95" s="146">
        <f>+G94/407.5-1</f>
        <v>-2.1830674846625819E-2</v>
      </c>
      <c r="H95" s="147"/>
      <c r="I95" s="146">
        <f>+I94/D94-1</f>
        <v>0.28402670775552141</v>
      </c>
      <c r="J95" s="146">
        <f>+J94/E94-1</f>
        <v>0.32604348906560654</v>
      </c>
      <c r="K95" s="146">
        <f>+K94/F94-1</f>
        <v>0.38523316062176183</v>
      </c>
      <c r="L95" s="146">
        <f>+L94/G94-1</f>
        <v>0.35548062738958963</v>
      </c>
      <c r="M95" s="147"/>
      <c r="N95" s="146">
        <f>+N94/I94-1</f>
        <v>7.4000000000000732E-3</v>
      </c>
      <c r="O95" s="146">
        <f>+O94/J94-1</f>
        <v>1.761638261176568E-2</v>
      </c>
      <c r="P95" s="146">
        <f>+P94/K94-1</f>
        <v>-1.028614176173559E-2</v>
      </c>
      <c r="Q95" s="146">
        <f>+Q94/L94-1</f>
        <v>-1.1660188784008763E-2</v>
      </c>
      <c r="R95" s="147"/>
      <c r="S95" s="146">
        <f>+S94/N94-1</f>
        <v>2.9184038117927358E-2</v>
      </c>
      <c r="T95" s="142">
        <v>-1.3786477454012829E-2</v>
      </c>
      <c r="U95" s="142">
        <f>AVERAGE(T95,S95,Q95,P95)-4%</f>
        <v>-4.1637192470457454E-2</v>
      </c>
      <c r="V95" s="142">
        <f>AVERAGE(U95,T95,S95,Q95)-3.5%</f>
        <v>-4.4474955147637926E-2</v>
      </c>
      <c r="W95" s="147"/>
      <c r="X95" s="142">
        <f>AVERAGE(V95,U95,T95,S95)-3%</f>
        <v>-4.7678646738545216E-2</v>
      </c>
      <c r="Y95" s="142">
        <f>AVERAGE(X95,V95,U95,T95)-1%</f>
        <v>-4.6894317952663356E-2</v>
      </c>
      <c r="Z95" s="142">
        <f>AVERAGE(Y95,X95,V95,U95)</f>
        <v>-4.5171278077325988E-2</v>
      </c>
      <c r="AA95" s="142">
        <f>AVERAGE(Z95,Y95,X95,V95)</f>
        <v>-4.6054799479043118E-2</v>
      </c>
      <c r="AB95" s="147"/>
      <c r="AC95" s="142">
        <f>AVERAGE(AA95,Z95,Y95,X95)</f>
        <v>-4.644976056189442E-2</v>
      </c>
      <c r="AD95" s="142">
        <f>AVERAGE(AC95,AA95,Z95,Y95)</f>
        <v>-4.6142539017731722E-2</v>
      </c>
      <c r="AE95" s="142">
        <f>AVERAGE(AD95,AC95,AA95,Z95)</f>
        <v>-4.5954594283998812E-2</v>
      </c>
      <c r="AF95" s="142">
        <f>AVERAGE(AE95,AD95,AC95,AA95)</f>
        <v>-4.6150423335667018E-2</v>
      </c>
      <c r="AG95" s="147"/>
      <c r="AH95" s="177">
        <f>AVERAGE(AF95,AE95,AD95,AC95)-0.25%</f>
        <v>-4.8674329299822995E-2</v>
      </c>
      <c r="AI95" s="177">
        <f>AVERAGE(AH95,AF95,AE95,AD95)-0.25%</f>
        <v>-4.9230471484305136E-2</v>
      </c>
      <c r="AJ95" s="177">
        <f>AVERAGE(AI95,AH95,AF95,AE95)-0.25%</f>
        <v>-5.0002454600948494E-2</v>
      </c>
      <c r="AK95" s="177">
        <f>AVERAGE(AJ95,AI95,AH95,AF95)-0.25%</f>
        <v>-5.1014419680185913E-2</v>
      </c>
      <c r="AL95" s="147"/>
      <c r="AM95" s="177">
        <f>AVERAGE(AK95,AJ95,AI95,AH95)-0.25%</f>
        <v>-5.223041876631563E-2</v>
      </c>
      <c r="AN95" s="177">
        <f>AVERAGE(AM95,AK95,AJ95,AI95)-0.25%</f>
        <v>-5.3119441132938788E-2</v>
      </c>
      <c r="AO95" s="177">
        <f>AVERAGE(AN95,AM95,AK95,AJ95)-0.25%</f>
        <v>-5.4091683545097205E-2</v>
      </c>
      <c r="AP95" s="177">
        <f>AVERAGE(AO95,AN95,AM95,AK95)-0.25%</f>
        <v>-5.5113990781134388E-2</v>
      </c>
      <c r="AQ95" s="147"/>
    </row>
    <row r="96" spans="2:43" outlineLevel="2" x14ac:dyDescent="0.3">
      <c r="B96" s="127" t="s">
        <v>177</v>
      </c>
      <c r="C96" s="128"/>
      <c r="D96" s="130">
        <v>57.86</v>
      </c>
      <c r="E96" s="130">
        <v>56.52</v>
      </c>
      <c r="F96" s="130">
        <v>55.35</v>
      </c>
      <c r="G96" s="130">
        <v>56.124999899999999</v>
      </c>
      <c r="H96" s="136"/>
      <c r="I96" s="130">
        <v>52.78</v>
      </c>
      <c r="J96" s="130">
        <v>52.419998999999997</v>
      </c>
      <c r="K96" s="130">
        <v>50.28</v>
      </c>
      <c r="L96" s="130">
        <v>51.201999999999998</v>
      </c>
      <c r="M96" s="136"/>
      <c r="N96" s="130">
        <v>53.17</v>
      </c>
      <c r="O96" s="130">
        <v>53.75</v>
      </c>
      <c r="P96" s="130">
        <v>55.26</v>
      </c>
      <c r="Q96" s="130">
        <v>56.5</v>
      </c>
      <c r="R96" s="136"/>
      <c r="S96" s="130">
        <v>54.844000000000001</v>
      </c>
      <c r="T96" s="130">
        <f>+O96*(1+T97)</f>
        <v>55.773177629347167</v>
      </c>
      <c r="U96" s="130">
        <f>+P96*(1+U97)</f>
        <v>57.332580637949228</v>
      </c>
      <c r="V96" s="130">
        <f>+Q96*(1+V97)</f>
        <v>58.18986519499974</v>
      </c>
      <c r="W96" s="136"/>
      <c r="X96" s="130">
        <f>+S96*(1+X97)</f>
        <v>55.070773569152784</v>
      </c>
      <c r="Y96" s="130">
        <f>+T96*(1+Y97)</f>
        <v>56.737921136592711</v>
      </c>
      <c r="Z96" s="130">
        <f>+U96*(1+Z97)</f>
        <v>58.606046337281342</v>
      </c>
      <c r="AA96" s="130">
        <f>+V96*(1+AA97)</f>
        <v>59.259882692295257</v>
      </c>
      <c r="AB96" s="136"/>
      <c r="AC96" s="130">
        <f>+X96*(1+AC97)</f>
        <v>55.924822055458527</v>
      </c>
      <c r="AD96" s="130">
        <f>+Y96*(1+AD97)</f>
        <v>57.779148635402123</v>
      </c>
      <c r="AE96" s="130">
        <f>+Z96*(1+AE97)</f>
        <v>59.696998046761081</v>
      </c>
      <c r="AF96" s="130">
        <f>+AA96*(1+AF97)</f>
        <v>60.309717599787739</v>
      </c>
      <c r="AG96" s="136"/>
      <c r="AH96" s="130">
        <f>+AC96*(1+AH97)</f>
        <v>56.766357889238279</v>
      </c>
      <c r="AI96" s="130">
        <f>+AD96*(1+AI97)</f>
        <v>58.641934818742548</v>
      </c>
      <c r="AJ96" s="130">
        <f>+AE96*(1+AJ97)</f>
        <v>60.537395824538784</v>
      </c>
      <c r="AK96" s="130">
        <f>+AF96*(1+AK97)</f>
        <v>61.090330553225613</v>
      </c>
      <c r="AL96" s="136"/>
      <c r="AM96" s="130">
        <f>+AH96*(1+AM97)</f>
        <v>57.433380122974015</v>
      </c>
      <c r="AN96" s="130">
        <f>+AI96*(1+AN97)</f>
        <v>59.282655388056412</v>
      </c>
      <c r="AO96" s="130">
        <f>+AJ96*(1+AO97)</f>
        <v>61.13819032996728</v>
      </c>
      <c r="AP96" s="130">
        <f>+AK96*(1+AP97)</f>
        <v>61.633179902957636</v>
      </c>
      <c r="AQ96" s="136"/>
    </row>
    <row r="97" spans="2:43" outlineLevel="2" x14ac:dyDescent="0.3">
      <c r="B97" s="145" t="s">
        <v>203</v>
      </c>
      <c r="C97" s="128"/>
      <c r="D97" s="146">
        <f>+D96/62.19-1</f>
        <v>-6.9625341694806164E-2</v>
      </c>
      <c r="E97" s="146">
        <f>+E96/61.65-1</f>
        <v>-8.3211678832116664E-2</v>
      </c>
      <c r="F97" s="146">
        <f>+F96/58.4-1</f>
        <v>-5.2226027397260233E-2</v>
      </c>
      <c r="G97" s="146">
        <f>+G96/57.85-1</f>
        <v>-2.9818497839239511E-2</v>
      </c>
      <c r="H97" s="147"/>
      <c r="I97" s="146">
        <f>+I96/D96-1</f>
        <v>-8.7798133425509794E-2</v>
      </c>
      <c r="J97" s="146">
        <f>+J96/E96-1</f>
        <v>-7.2540711252654044E-2</v>
      </c>
      <c r="K97" s="146">
        <f>+K96/F96-1</f>
        <v>-9.1598915989159924E-2</v>
      </c>
      <c r="L97" s="146">
        <f>+L96/G96-1</f>
        <v>-8.7714920423545562E-2</v>
      </c>
      <c r="M97" s="147"/>
      <c r="N97" s="146">
        <f>+N96/I96-1</f>
        <v>7.3891625615762901E-3</v>
      </c>
      <c r="O97" s="146">
        <f>+O96/J96-1</f>
        <v>2.5372014982297131E-2</v>
      </c>
      <c r="P97" s="146">
        <f>+P96/K96-1</f>
        <v>9.9045346062052397E-2</v>
      </c>
      <c r="Q97" s="146">
        <f>+Q96/L96-1</f>
        <v>0.10347252060466383</v>
      </c>
      <c r="R97" s="147"/>
      <c r="S97" s="146">
        <f>+S96/N96-1</f>
        <v>3.1483919503479285E-2</v>
      </c>
      <c r="T97" s="142">
        <v>3.764051403436576E-2</v>
      </c>
      <c r="U97" s="142">
        <f>AVERAGE(T97,S97,Q97,P97)-3.04045917368221%</f>
        <v>3.7505983314318217E-2</v>
      </c>
      <c r="V97" s="142">
        <f>AVERAGE(U97,T97,S97,Q97)-2.26166158686361%</f>
        <v>2.9909118495570673E-2</v>
      </c>
      <c r="W97" s="147"/>
      <c r="X97" s="142">
        <f>AVERAGE(V97,U97,T97,S97)-3%</f>
        <v>4.1348838369334867E-3</v>
      </c>
      <c r="Y97" s="142">
        <f>AVERAGE(X97,V97,U97,T97)-1%</f>
        <v>1.7297624920297038E-2</v>
      </c>
      <c r="Z97" s="142">
        <f>AVERAGE(Y97,X97,V97,U97)</f>
        <v>2.2211902641779854E-2</v>
      </c>
      <c r="AA97" s="142">
        <f>AVERAGE(Z97,Y97,X97,V97)</f>
        <v>1.8388382473645264E-2</v>
      </c>
      <c r="AB97" s="147"/>
      <c r="AC97" s="142">
        <f>AVERAGE(AA97,Z97,Y97,X97)</f>
        <v>1.5508198468163909E-2</v>
      </c>
      <c r="AD97" s="142">
        <f>AVERAGE(AC97,AA97,Z97,Y97)</f>
        <v>1.8351527125971517E-2</v>
      </c>
      <c r="AE97" s="142">
        <f>AVERAGE(AD97,AC97,AA97,Z97)</f>
        <v>1.8615002677390136E-2</v>
      </c>
      <c r="AF97" s="142">
        <f>AVERAGE(AE97,AD97,AC97,AA97)</f>
        <v>1.7715777686292705E-2</v>
      </c>
      <c r="AG97" s="147"/>
      <c r="AH97" s="177">
        <f>AVERAGE(AF97,AE97,AD97,AC97)-0.25%</f>
        <v>1.5047626489454567E-2</v>
      </c>
      <c r="AI97" s="177">
        <f>AVERAGE(AH97,AF97,AE97,AD97)-0.25%</f>
        <v>1.4932483494777231E-2</v>
      </c>
      <c r="AJ97" s="177">
        <f>AVERAGE(AI97,AH97,AF97,AE97)-0.25%</f>
        <v>1.4077722586978659E-2</v>
      </c>
      <c r="AK97" s="177">
        <f>AVERAGE(AJ97,AI97,AH97,AF97)-0.25%</f>
        <v>1.2943402564375791E-2</v>
      </c>
      <c r="AL97" s="147"/>
      <c r="AM97" s="177">
        <f>AVERAGE(AK97,AJ97,AI97,AH97)-0.25%</f>
        <v>1.1750308783896561E-2</v>
      </c>
      <c r="AN97" s="177">
        <f>AVERAGE(AM97,AK97,AJ97,AI97)-0.25%</f>
        <v>1.0925979357507059E-2</v>
      </c>
      <c r="AO97" s="177">
        <f>AVERAGE(AN97,AM97,AK97,AJ97)-0.25%</f>
        <v>9.9243533231895172E-3</v>
      </c>
      <c r="AP97" s="177">
        <f>AVERAGE(AO97,AN97,AM97,AK97)-0.25%</f>
        <v>8.8860110072422303E-3</v>
      </c>
      <c r="AQ97" s="147"/>
    </row>
    <row r="98" spans="2:43" outlineLevel="2" x14ac:dyDescent="0.3">
      <c r="B98" s="132" t="s">
        <v>178</v>
      </c>
      <c r="C98" s="131"/>
      <c r="D98" s="148">
        <f>+D94*D96*D61/1000</f>
        <v>1464.4944599999997</v>
      </c>
      <c r="E98" s="148">
        <f>+E94*E96*E61/1000</f>
        <v>1432.8498240000001</v>
      </c>
      <c r="F98" s="148">
        <f>+F94*F96*F61/1000</f>
        <v>1346.0013000000001</v>
      </c>
      <c r="G98" s="148">
        <f>+G94*G96*G61/1000</f>
        <v>1454.1572149090739</v>
      </c>
      <c r="H98" s="137"/>
      <c r="I98" s="148">
        <f>+I94*I96*I61/1000</f>
        <v>1715.35</v>
      </c>
      <c r="J98" s="148">
        <f>+J94*J96*J61/1000</f>
        <v>1762.1922921372063</v>
      </c>
      <c r="K98" s="148">
        <f>+K94*K96*K61/1000</f>
        <v>1666.8523920000002</v>
      </c>
      <c r="L98" s="148">
        <f>+L94*L96*L61/1000</f>
        <v>1798.188639</v>
      </c>
      <c r="M98" s="137"/>
      <c r="N98" s="148">
        <f>+N94*N96*N61/1000</f>
        <v>1740.8123849999999</v>
      </c>
      <c r="O98" s="148">
        <f>+O94*O96*O61/1000</f>
        <v>1838.7337500000001</v>
      </c>
      <c r="P98" s="148">
        <f>+P94*P96*P61/1000</f>
        <v>1813.1027040000001</v>
      </c>
      <c r="Q98" s="148">
        <f>+Q94*Q96*Q61/1000</f>
        <v>1961.115</v>
      </c>
      <c r="R98" s="137"/>
      <c r="S98" s="148">
        <f>+S94*S96*S61/1000</f>
        <v>1848.0234240000002</v>
      </c>
      <c r="T98" s="148">
        <f>+T94*T96*T61/1000</f>
        <v>1881.6407978487766</v>
      </c>
      <c r="U98" s="148">
        <f>+U94*U96*U61/1000</f>
        <v>1802.7809768282527</v>
      </c>
      <c r="V98" s="148">
        <f>+V94*V96*V61/1000</f>
        <v>1929.9410309345585</v>
      </c>
      <c r="W98" s="137"/>
      <c r="X98" s="148">
        <f>+X94*X96*X61/1000</f>
        <v>1767.1892003804433</v>
      </c>
      <c r="Y98" s="148">
        <f>+Y94*Y96*Y61/1000</f>
        <v>1824.4241404006211</v>
      </c>
      <c r="Z98" s="148">
        <f>+Z94*Z96*Z61/1000</f>
        <v>1759.5814492322704</v>
      </c>
      <c r="AA98" s="148">
        <f>+AA94*AA96*AA61/1000</f>
        <v>1874.9120621098152</v>
      </c>
      <c r="AB98" s="137"/>
      <c r="AC98" s="148">
        <f>+AC94*AC96*AC61/1000</f>
        <v>1711.2366075440277</v>
      </c>
      <c r="AD98" s="148">
        <f>+AD94*AD96*AD61/1000</f>
        <v>1772.1766504959999</v>
      </c>
      <c r="AE98" s="148">
        <f>+AE94*AE96*AE61/1000</f>
        <v>1709.9699860424955</v>
      </c>
      <c r="AF98" s="148">
        <f>+AF94*AF96*AF61/1000</f>
        <v>1820.0666914472877</v>
      </c>
      <c r="AG98" s="137"/>
      <c r="AH98" s="148">
        <f>+AH94*AH96*AH61/1000</f>
        <v>1652.4399963245439</v>
      </c>
      <c r="AI98" s="148">
        <f>+AI94*AI96*AI61/1000</f>
        <v>1710.0917711248192</v>
      </c>
      <c r="AJ98" s="148">
        <f>+AJ94*AJ96*AJ61/1000</f>
        <v>1647.3360892988685</v>
      </c>
      <c r="AK98" s="148">
        <f>+AK94*AK96*AK61/1000</f>
        <v>1749.5731109385822</v>
      </c>
      <c r="AL98" s="137"/>
      <c r="AM98" s="148">
        <f>+AM94*AM96*AM61/1000</f>
        <v>1584.5349021958889</v>
      </c>
      <c r="AN98" s="148">
        <f>+AN94*AN96*AN61/1000</f>
        <v>1636.9445730064981</v>
      </c>
      <c r="AO98" s="148">
        <f>+AO94*AO96*AO61/1000</f>
        <v>1573.6933210942227</v>
      </c>
      <c r="AP98" s="148">
        <f>+AP94*AP96*AP61/1000</f>
        <v>1667.8370384440379</v>
      </c>
      <c r="AQ98" s="137"/>
    </row>
    <row r="99" spans="2:43" ht="16.2" outlineLevel="1" x14ac:dyDescent="0.45">
      <c r="B99" s="718" t="s">
        <v>179</v>
      </c>
      <c r="C99" s="719"/>
      <c r="D99" s="46"/>
      <c r="E99" s="46"/>
      <c r="F99" s="46"/>
      <c r="G99" s="46"/>
      <c r="H99" s="54"/>
      <c r="I99" s="46"/>
      <c r="J99" s="46"/>
      <c r="K99" s="46"/>
      <c r="L99" s="46"/>
      <c r="M99" s="54"/>
      <c r="N99" s="46"/>
      <c r="O99" s="46"/>
      <c r="P99" s="46"/>
      <c r="Q99" s="46"/>
      <c r="R99" s="50"/>
      <c r="S99" s="47"/>
      <c r="T99" s="47"/>
      <c r="U99" s="47"/>
      <c r="V99" s="47"/>
      <c r="W99" s="50"/>
      <c r="X99" s="47"/>
      <c r="Y99" s="47"/>
      <c r="Z99" s="47"/>
      <c r="AA99" s="47"/>
      <c r="AB99" s="50"/>
      <c r="AC99" s="47"/>
      <c r="AD99" s="47"/>
      <c r="AE99" s="47"/>
      <c r="AF99" s="47"/>
      <c r="AG99" s="50"/>
      <c r="AH99" s="47"/>
      <c r="AI99" s="47"/>
      <c r="AJ99" s="47"/>
      <c r="AK99" s="47"/>
      <c r="AL99" s="50"/>
      <c r="AM99" s="47"/>
      <c r="AN99" s="47"/>
      <c r="AO99" s="47"/>
      <c r="AP99" s="47"/>
      <c r="AQ99" s="50"/>
    </row>
    <row r="100" spans="2:43" outlineLevel="2" x14ac:dyDescent="0.3">
      <c r="B100" s="123" t="s">
        <v>369</v>
      </c>
      <c r="C100" s="287"/>
      <c r="D100" s="264">
        <v>176</v>
      </c>
      <c r="E100" s="264">
        <v>185.7</v>
      </c>
      <c r="F100" s="264">
        <v>179.2</v>
      </c>
      <c r="G100" s="264">
        <v>184.4</v>
      </c>
      <c r="H100" s="54"/>
      <c r="I100" s="264">
        <v>238</v>
      </c>
      <c r="J100" s="264">
        <v>259.39999999999998</v>
      </c>
      <c r="K100" s="264">
        <v>253.4</v>
      </c>
      <c r="L100" s="264">
        <v>265.499999</v>
      </c>
      <c r="M100" s="54"/>
      <c r="N100" s="264">
        <v>252.2</v>
      </c>
      <c r="O100" s="264">
        <v>276.5</v>
      </c>
      <c r="P100" s="264">
        <v>266.39999999999998</v>
      </c>
      <c r="Q100" s="264">
        <v>277</v>
      </c>
      <c r="R100" s="50"/>
      <c r="S100" s="264">
        <v>275.8</v>
      </c>
      <c r="T100" s="124">
        <f>+O100*(1+T101)</f>
        <v>288.53567706742575</v>
      </c>
      <c r="U100" s="124">
        <f>+P100*(1+U101)</f>
        <v>271.17668450938595</v>
      </c>
      <c r="V100" s="124">
        <f>+Q100*(1+V101)</f>
        <v>281.04075122304232</v>
      </c>
      <c r="W100" s="50"/>
      <c r="X100" s="124">
        <f>+S100*(1+X101)</f>
        <v>279.22152259361832</v>
      </c>
      <c r="Y100" s="124">
        <f>+T100*(1+Y101)</f>
        <v>292.03074773688792</v>
      </c>
      <c r="Z100" s="124">
        <f>+U100*(1+Z101)</f>
        <v>275.04345992960162</v>
      </c>
      <c r="AA100" s="124">
        <f>+V100*(1+AA101)</f>
        <v>284.79023809194757</v>
      </c>
      <c r="AB100" s="50"/>
      <c r="AC100" s="124">
        <f>+X100*(1+AC101)</f>
        <v>282.85975283100055</v>
      </c>
      <c r="AD100" s="124">
        <f>+Y100*(1+AD101)</f>
        <v>295.88144474119434</v>
      </c>
      <c r="AE100" s="124">
        <f>+Z100*(1+AE101)</f>
        <v>278.7439302831595</v>
      </c>
      <c r="AF100" s="124">
        <f>+AA100*(1+AF101)</f>
        <v>288.5645204425125</v>
      </c>
      <c r="AG100" s="50"/>
      <c r="AH100" s="124">
        <f>+AC100*(1+AH101)</f>
        <v>285.89503710718958</v>
      </c>
      <c r="AI100" s="124">
        <f>+AD100*(1+AI101)</f>
        <v>298.88638812307846</v>
      </c>
      <c r="AJ100" s="124">
        <f>+AE100*(1+AJ101)</f>
        <v>281.36367634322869</v>
      </c>
      <c r="AK100" s="124">
        <f>+AF100*(1+AK101)</f>
        <v>290.98397915792356</v>
      </c>
      <c r="AL100" s="50"/>
      <c r="AM100" s="124">
        <f>+AH100*(1+AM101)</f>
        <v>287.94415174757154</v>
      </c>
      <c r="AN100" s="124">
        <f>+AI100*(1+AN101)</f>
        <v>300.76235830961809</v>
      </c>
      <c r="AO100" s="124">
        <f>+AJ100*(1+AO101)</f>
        <v>282.85678615273366</v>
      </c>
      <c r="AP100" s="124">
        <f>+AK100*(1+AP101)</f>
        <v>292.23048565177936</v>
      </c>
      <c r="AQ100" s="50"/>
    </row>
    <row r="101" spans="2:43" outlineLevel="2" x14ac:dyDescent="0.3">
      <c r="B101" s="141" t="s">
        <v>204</v>
      </c>
      <c r="C101" s="287"/>
      <c r="D101" s="166">
        <f>+D100/169.5-1</f>
        <v>3.8348082595870192E-2</v>
      </c>
      <c r="E101" s="166">
        <f>+E100/179.5-1</f>
        <v>3.4540389972144814E-2</v>
      </c>
      <c r="F101" s="166">
        <f>+F100/175.4-1</f>
        <v>2.1664766248574496E-2</v>
      </c>
      <c r="G101" s="166">
        <f>+G100/178.4-1</f>
        <v>3.3632286995515681E-2</v>
      </c>
      <c r="H101" s="84"/>
      <c r="I101" s="166">
        <f>+I100/D100-1</f>
        <v>0.35227272727272729</v>
      </c>
      <c r="J101" s="166">
        <f>+J100/E100-1</f>
        <v>0.39687668282175559</v>
      </c>
      <c r="K101" s="166">
        <f>+K100/F100-1</f>
        <v>0.41406250000000022</v>
      </c>
      <c r="L101" s="166">
        <f>+L100/G100-1</f>
        <v>0.43980476681127989</v>
      </c>
      <c r="M101" s="84"/>
      <c r="N101" s="166">
        <f>+N100/I100-1</f>
        <v>5.9663865546218497E-2</v>
      </c>
      <c r="O101" s="166">
        <f>+O100/J100-1</f>
        <v>6.5921356977640899E-2</v>
      </c>
      <c r="P101" s="166">
        <f>+P100/K100-1</f>
        <v>5.1302288871349466E-2</v>
      </c>
      <c r="Q101" s="166">
        <f>+Q100/L100-1</f>
        <v>4.3314504871241111E-2</v>
      </c>
      <c r="R101" s="57"/>
      <c r="S101" s="166">
        <f>+S100/N100-1</f>
        <v>9.35765265662174E-2</v>
      </c>
      <c r="T101" s="142">
        <f>AVERAGE(S101,Q101,P101,O101)-2%</f>
        <v>4.3528669321612215E-2</v>
      </c>
      <c r="U101" s="142">
        <f>AVERAGE(T101,S101,Q101,P101)-4%</f>
        <v>1.7930497407605044E-2</v>
      </c>
      <c r="V101" s="142">
        <f>AVERAGE(U101,T101,S101,Q101)-3.5%</f>
        <v>1.4587549541668937E-2</v>
      </c>
      <c r="W101" s="57"/>
      <c r="X101" s="142">
        <f>AVERAGE(V101,U101,T101,S101)-3%</f>
        <v>1.2405810709275898E-2</v>
      </c>
      <c r="Y101" s="142">
        <f>AVERAGE(X101,V101,U101,T101)-1%</f>
        <v>1.2113131745040523E-2</v>
      </c>
      <c r="Z101" s="142">
        <f>AVERAGE(Y101,X101,V101,U101)</f>
        <v>1.42592473508976E-2</v>
      </c>
      <c r="AA101" s="142">
        <f>AVERAGE(Z101,Y101,X101,V101)</f>
        <v>1.3341434836720741E-2</v>
      </c>
      <c r="AB101" s="57"/>
      <c r="AC101" s="142">
        <f>AVERAGE(AA101,Z101,Y101,X101)</f>
        <v>1.302990616048369E-2</v>
      </c>
      <c r="AD101" s="142">
        <f>AVERAGE(AC101,AA101,Z101,Y101)</f>
        <v>1.3185930023285638E-2</v>
      </c>
      <c r="AE101" s="142">
        <f>AVERAGE(AD101,AC101,AA101,Z101)</f>
        <v>1.3454129592846916E-2</v>
      </c>
      <c r="AF101" s="142">
        <f>AVERAGE(AE101,AD101,AC101,AA101)</f>
        <v>1.3252850153334246E-2</v>
      </c>
      <c r="AG101" s="57"/>
      <c r="AH101" s="177">
        <f>AVERAGE(AF101,AE101,AD101,AC101)-0.25%</f>
        <v>1.0730703982487622E-2</v>
      </c>
      <c r="AI101" s="177">
        <f>AVERAGE(AH101,AF101,AE101,AD101)-0.25%</f>
        <v>1.0155903437988605E-2</v>
      </c>
      <c r="AJ101" s="177">
        <f>AVERAGE(AI101,AH101,AF101,AE101)-0.25%</f>
        <v>9.3983967916643468E-3</v>
      </c>
      <c r="AK101" s="177">
        <f>AVERAGE(AJ101,AI101,AH101,AF101)-0.25%</f>
        <v>8.384463591368704E-3</v>
      </c>
      <c r="AL101" s="57"/>
      <c r="AM101" s="177">
        <f>AVERAGE(AK101,AJ101,AI101,AH101)-0.25%</f>
        <v>7.1673669508773193E-3</v>
      </c>
      <c r="AN101" s="177">
        <f>AVERAGE(AM101,AK101,AJ101,AI101)-0.25%</f>
        <v>6.2765326929747432E-3</v>
      </c>
      <c r="AO101" s="177">
        <f>AVERAGE(AN101,AM101,AK101,AJ101)-0.25%</f>
        <v>5.3066900067212774E-3</v>
      </c>
      <c r="AP101" s="177">
        <f>AVERAGE(AO101,AN101,AM101,AK101)-0.25%</f>
        <v>4.28376331048551E-3</v>
      </c>
      <c r="AQ101" s="57"/>
    </row>
    <row r="102" spans="2:43" outlineLevel="2" x14ac:dyDescent="0.3">
      <c r="B102" s="123" t="s">
        <v>180</v>
      </c>
      <c r="C102" s="287"/>
      <c r="D102" s="143">
        <v>50.18</v>
      </c>
      <c r="E102" s="143">
        <v>48.53</v>
      </c>
      <c r="F102" s="143">
        <v>48.36</v>
      </c>
      <c r="G102" s="143">
        <v>49.494</v>
      </c>
      <c r="H102" s="54"/>
      <c r="I102" s="143">
        <v>44.78</v>
      </c>
      <c r="J102" s="143">
        <v>43.8</v>
      </c>
      <c r="K102" s="143">
        <v>44.05</v>
      </c>
      <c r="L102" s="143">
        <v>44.884999899999997</v>
      </c>
      <c r="M102" s="54"/>
      <c r="N102" s="143">
        <v>46.95</v>
      </c>
      <c r="O102" s="143">
        <v>46.78</v>
      </c>
      <c r="P102" s="143">
        <v>48.01</v>
      </c>
      <c r="Q102" s="143">
        <v>48.72</v>
      </c>
      <c r="R102" s="50"/>
      <c r="S102" s="143">
        <v>47.424999999999997</v>
      </c>
      <c r="T102" s="143">
        <f>+O102*(1+T103)</f>
        <v>48.808990012487499</v>
      </c>
      <c r="U102" s="143">
        <f>+P102*(1+U103)</f>
        <v>48.836115090869818</v>
      </c>
      <c r="V102" s="143">
        <f>+Q102*(1+V103)</f>
        <v>48.916559473750603</v>
      </c>
      <c r="W102" s="50"/>
      <c r="X102" s="143">
        <f>+S102*(1+X103)</f>
        <v>46.888288749866064</v>
      </c>
      <c r="Y102" s="143">
        <f>+T102*(1+Y103)</f>
        <v>48.971250470947176</v>
      </c>
      <c r="Z102" s="143">
        <f>+U102*(1+Z103)</f>
        <v>48.99787204814789</v>
      </c>
      <c r="AA102" s="143">
        <f>+V102*(1+AA103)</f>
        <v>48.908660136197923</v>
      </c>
      <c r="AB102" s="50"/>
      <c r="AC102" s="143">
        <f>+X102*(1+AC103)</f>
        <v>46.831531627961127</v>
      </c>
      <c r="AD102" s="143">
        <f>+Y102*(1+AD103)</f>
        <v>49.035704913322377</v>
      </c>
      <c r="AE102" s="143">
        <f>+Z102*(1+AE103)</f>
        <v>49.037761804903987</v>
      </c>
      <c r="AF102" s="143">
        <f>+AA102*(1+AF103)</f>
        <v>48.917932235551902</v>
      </c>
      <c r="AG102" s="50"/>
      <c r="AH102" s="143">
        <f>+AC102*(1+AH103)</f>
        <v>46.727441354498367</v>
      </c>
      <c r="AI102" s="143">
        <f>+AD102*(1+AI103)</f>
        <v>48.914307308426743</v>
      </c>
      <c r="AJ102" s="143">
        <f>+AE102*(1+AJ103)</f>
        <v>48.869872937848058</v>
      </c>
      <c r="AK102" s="143">
        <f>+AF102*(1+AK103)</f>
        <v>48.698627802906579</v>
      </c>
      <c r="AL102" s="50"/>
      <c r="AM102" s="143">
        <f>+AH102*(1+AM103)</f>
        <v>46.463371429977954</v>
      </c>
      <c r="AN102" s="143">
        <f>+AI102*(1+AN103)</f>
        <v>48.595951549505024</v>
      </c>
      <c r="AO102" s="143">
        <f>+AJ102*(1+AO103)</f>
        <v>48.502536500898294</v>
      </c>
      <c r="AP102" s="143">
        <f>+AK102*(1+AP103)</f>
        <v>48.28274818469697</v>
      </c>
      <c r="AQ102" s="50"/>
    </row>
    <row r="103" spans="2:43" outlineLevel="2" x14ac:dyDescent="0.3">
      <c r="B103" s="141" t="s">
        <v>203</v>
      </c>
      <c r="C103" s="287"/>
      <c r="D103" s="166">
        <f>+D102/52.6-1</f>
        <v>-4.600760456273767E-2</v>
      </c>
      <c r="E103" s="166">
        <f>+E102/52.88-1</f>
        <v>-8.2261724659606683E-2</v>
      </c>
      <c r="F103" s="166">
        <f>+F102/50.6-1</f>
        <v>-4.426877470355739E-2</v>
      </c>
      <c r="G103" s="166">
        <f>+G102/50.1-1</f>
        <v>-1.2095808383233542E-2</v>
      </c>
      <c r="H103" s="84"/>
      <c r="I103" s="166">
        <f>+I102/D102-1</f>
        <v>-0.10761259465922679</v>
      </c>
      <c r="J103" s="166">
        <f>+J102/E102-1</f>
        <v>-9.7465485266845286E-2</v>
      </c>
      <c r="K103" s="166">
        <f>+K102/F102-1</f>
        <v>-8.9123242349048892E-2</v>
      </c>
      <c r="L103" s="166">
        <f>+L102/G102-1</f>
        <v>-9.3122400695033747E-2</v>
      </c>
      <c r="M103" s="84"/>
      <c r="N103" s="166">
        <f>+N102/I102-1</f>
        <v>4.845913354175968E-2</v>
      </c>
      <c r="O103" s="166">
        <f>+O102/J102-1</f>
        <v>6.8036529680365332E-2</v>
      </c>
      <c r="P103" s="166">
        <f>+P102/K102-1</f>
        <v>8.9897843359818319E-2</v>
      </c>
      <c r="Q103" s="166">
        <f>+Q102/L102-1</f>
        <v>8.5440572764711176E-2</v>
      </c>
      <c r="R103" s="57"/>
      <c r="S103" s="166">
        <f>+S102/N102-1</f>
        <v>1.0117145899893432E-2</v>
      </c>
      <c r="T103" s="142">
        <f>AVERAGE(S103,Q103,P103,O103)-2%</f>
        <v>4.3373022926197061E-2</v>
      </c>
      <c r="U103" s="142">
        <f>AVERAGE(T103,S103,Q103,P103)-4%</f>
        <v>1.7207146237654992E-2</v>
      </c>
      <c r="V103" s="142">
        <f>AVERAGE(U103,T103,S103,Q103)-3.5%</f>
        <v>4.0344719571141635E-3</v>
      </c>
      <c r="W103" s="57"/>
      <c r="X103" s="142">
        <f>AVERAGE(V103,U103,T103,S103)-3%</f>
        <v>-1.1317053244785089E-2</v>
      </c>
      <c r="Y103" s="142">
        <f>AVERAGE(X103,V103,U103,T103)-1%</f>
        <v>3.3243969690452818E-3</v>
      </c>
      <c r="Z103" s="142">
        <f>AVERAGE(Y103,X103,V103,U103)</f>
        <v>3.3122404797573373E-3</v>
      </c>
      <c r="AA103" s="142">
        <f>AVERAGE(Z103,Y103,X103,V103)</f>
        <v>-1.6148595971707648E-4</v>
      </c>
      <c r="AB103" s="57"/>
      <c r="AC103" s="142">
        <f>AVERAGE(AA103,Z103,Y103,X103)</f>
        <v>-1.2104754389248864E-3</v>
      </c>
      <c r="AD103" s="142">
        <f>AVERAGE(AC103,AA103,Z103,Y103)</f>
        <v>1.3161690125401641E-3</v>
      </c>
      <c r="AE103" s="142">
        <f>AVERAGE(AD103,AC103,AA103,Z103)</f>
        <v>8.1411202341388463E-4</v>
      </c>
      <c r="AF103" s="142">
        <f>AVERAGE(AE103,AD103,AC103,AA103)</f>
        <v>1.8957990932802146E-4</v>
      </c>
      <c r="AG103" s="57"/>
      <c r="AH103" s="177">
        <f>AVERAGE(AF103,AE103,AD103,AC103)-0.25%</f>
        <v>-2.2226536234107039E-3</v>
      </c>
      <c r="AI103" s="177">
        <f>AVERAGE(AH103,AF103,AE103,AD103)-0.25%</f>
        <v>-2.4756981695321584E-3</v>
      </c>
      <c r="AJ103" s="177">
        <f>AVERAGE(AI103,AH103,AF103,AE103)-0.25%</f>
        <v>-3.4236649650502392E-3</v>
      </c>
      <c r="AK103" s="177">
        <f>AVERAGE(AJ103,AI103,AH103,AF103)-0.25%</f>
        <v>-4.4831092121662697E-3</v>
      </c>
      <c r="AL103" s="57"/>
      <c r="AM103" s="177">
        <f>AVERAGE(AK103,AJ103,AI103,AH103)-0.25%</f>
        <v>-5.6512814925398433E-3</v>
      </c>
      <c r="AN103" s="177">
        <f>AVERAGE(AM103,AK103,AJ103,AI103)-0.25%</f>
        <v>-6.5084384598221284E-3</v>
      </c>
      <c r="AO103" s="177">
        <f>AVERAGE(AN103,AM103,AK103,AJ103)-0.25%</f>
        <v>-7.5166235323946215E-3</v>
      </c>
      <c r="AP103" s="177">
        <f>AVERAGE(AO103,AN103,AM103,AK103)-0.25%</f>
        <v>-8.5398631742307166E-3</v>
      </c>
      <c r="AQ103" s="57"/>
    </row>
    <row r="104" spans="2:43" outlineLevel="2" x14ac:dyDescent="0.3">
      <c r="B104" s="119" t="s">
        <v>181</v>
      </c>
      <c r="C104" s="120"/>
      <c r="D104" s="144">
        <f>+D100*D102*D61/1000</f>
        <v>574.05920000000003</v>
      </c>
      <c r="E104" s="144">
        <f>+E100*E102*E61/1000</f>
        <v>567.75732299999993</v>
      </c>
      <c r="F104" s="144">
        <f>+F100*F102*F61/1000</f>
        <v>545.965056</v>
      </c>
      <c r="G104" s="144">
        <f>+G100*G102*G61/1000</f>
        <v>593.23508400000003</v>
      </c>
      <c r="H104" s="56"/>
      <c r="I104" s="144">
        <f>+I100*I102*I61/1000</f>
        <v>692.74659999999994</v>
      </c>
      <c r="J104" s="144">
        <f>+J100*J102*J61/1000</f>
        <v>715.7883599999999</v>
      </c>
      <c r="K104" s="144">
        <f>+K100*K102*K61/1000</f>
        <v>692.06074000000001</v>
      </c>
      <c r="L104" s="144">
        <f>+L100*L102*L61/1000</f>
        <v>774.60288285672505</v>
      </c>
      <c r="M104" s="56"/>
      <c r="N104" s="144">
        <f>+N100*N102*N61/1000</f>
        <v>769.65135000000009</v>
      </c>
      <c r="O104" s="144">
        <f>+O100*O102*O61/1000</f>
        <v>814.88420999999994</v>
      </c>
      <c r="P104" s="144">
        <f>+P100*P102*P61/1000</f>
        <v>792.97156799999982</v>
      </c>
      <c r="Q104" s="144">
        <f>+Q100*Q102*Q61/1000</f>
        <v>877.20359999999994</v>
      </c>
      <c r="R104" s="56"/>
      <c r="S104" s="144">
        <f>+S100*S102*S61/1000</f>
        <v>850.18797499999994</v>
      </c>
      <c r="T104" s="144">
        <f>+T100*T102*T61/1000</f>
        <v>887.23750375450891</v>
      </c>
      <c r="U104" s="144">
        <f>+U100*U102*U61/1000</f>
        <v>821.07937802897368</v>
      </c>
      <c r="V104" s="144">
        <f>+V100*V102*V61/1000</f>
        <v>893.59053041371737</v>
      </c>
      <c r="W104" s="51"/>
      <c r="X104" s="144">
        <f>+X100*X102*X61/1000</f>
        <v>850.9942594755438</v>
      </c>
      <c r="Y104" s="144">
        <f>+Y100*Y102*Y61/1000</f>
        <v>900.96998623639115</v>
      </c>
      <c r="Z104" s="144">
        <f>+Z100*Z102*Z61/1000</f>
        <v>835.54574395325176</v>
      </c>
      <c r="AA104" s="144">
        <f>+AA100*AA102*AA61/1000</f>
        <v>905.36608272148692</v>
      </c>
      <c r="AB104" s="51"/>
      <c r="AC104" s="144">
        <f>+AC100*AC102*AC61/1000</f>
        <v>861.03910496384742</v>
      </c>
      <c r="AD104" s="144">
        <f>+AD100*AD102*AD61/1000</f>
        <v>914.05157846037253</v>
      </c>
      <c r="AE104" s="144">
        <f>+AE100*AE102*AE61/1000</f>
        <v>847.47666438287695</v>
      </c>
      <c r="AF104" s="144">
        <f>+AF100*AF102*AF61/1000</f>
        <v>917.53867767843826</v>
      </c>
      <c r="AG104" s="51"/>
      <c r="AH104" s="144">
        <f>+AH100*AH102*AH61/1000</f>
        <v>868.34433269794181</v>
      </c>
      <c r="AI104" s="144">
        <f>+AI100*AI102*AI61/1000</f>
        <v>921.04870025435196</v>
      </c>
      <c r="AJ104" s="144">
        <f>+AJ100*AJ102*AJ61/1000</f>
        <v>852.51284095760229</v>
      </c>
      <c r="AK104" s="144">
        <f>+AK100*AK102*AK61/1000</f>
        <v>921.08383234532891</v>
      </c>
      <c r="AL104" s="51"/>
      <c r="AM104" s="144">
        <f>+AM100*AM102*AM61/1000</f>
        <v>869.62564479292791</v>
      </c>
      <c r="AN104" s="144">
        <f>+AN100*AN102*AN61/1000</f>
        <v>920.79747851673153</v>
      </c>
      <c r="AO104" s="144">
        <f>+AO100*AO102*AO61/1000</f>
        <v>850.5948388837844</v>
      </c>
      <c r="AP104" s="144">
        <f>+AP100*AP102*AP61/1000</f>
        <v>917.12991179007679</v>
      </c>
      <c r="AQ104" s="51"/>
    </row>
    <row r="105" spans="2:43" ht="16.2" outlineLevel="1" x14ac:dyDescent="0.45">
      <c r="B105" s="749" t="s">
        <v>182</v>
      </c>
      <c r="C105" s="750"/>
      <c r="D105" s="126"/>
      <c r="E105" s="126"/>
      <c r="F105" s="126"/>
      <c r="G105" s="126"/>
      <c r="H105" s="136"/>
      <c r="I105" s="126"/>
      <c r="J105" s="126"/>
      <c r="K105" s="126"/>
      <c r="L105" s="126"/>
      <c r="M105" s="136"/>
      <c r="N105" s="126"/>
      <c r="O105" s="126"/>
      <c r="P105" s="126"/>
      <c r="Q105" s="126"/>
      <c r="R105" s="136"/>
      <c r="S105" s="126"/>
      <c r="T105" s="126"/>
      <c r="U105" s="126"/>
      <c r="V105" s="126"/>
      <c r="W105" s="136"/>
      <c r="X105" s="126"/>
      <c r="Y105" s="126"/>
      <c r="Z105" s="126"/>
      <c r="AA105" s="126"/>
      <c r="AB105" s="136"/>
      <c r="AC105" s="126"/>
      <c r="AD105" s="126"/>
      <c r="AE105" s="126"/>
      <c r="AF105" s="126"/>
      <c r="AG105" s="136"/>
      <c r="AH105" s="126"/>
      <c r="AI105" s="126"/>
      <c r="AJ105" s="126"/>
      <c r="AK105" s="126"/>
      <c r="AL105" s="136"/>
      <c r="AM105" s="126"/>
      <c r="AN105" s="126"/>
      <c r="AO105" s="126"/>
      <c r="AP105" s="126"/>
      <c r="AQ105" s="136"/>
    </row>
    <row r="106" spans="2:43" outlineLevel="2" x14ac:dyDescent="0.3">
      <c r="B106" s="127" t="s">
        <v>370</v>
      </c>
      <c r="C106" s="128"/>
      <c r="D106" s="129">
        <v>855</v>
      </c>
      <c r="E106" s="129">
        <v>954</v>
      </c>
      <c r="F106" s="129">
        <v>878</v>
      </c>
      <c r="G106" s="129">
        <v>868.5</v>
      </c>
      <c r="H106" s="136"/>
      <c r="I106" s="129">
        <v>2172</v>
      </c>
      <c r="J106" s="129">
        <v>2536</v>
      </c>
      <c r="K106" s="129">
        <v>2471</v>
      </c>
      <c r="L106" s="129">
        <v>2404.5990000000002</v>
      </c>
      <c r="M106" s="136"/>
      <c r="N106" s="129">
        <v>2238.1999999999998</v>
      </c>
      <c r="O106" s="129">
        <v>2662.5</v>
      </c>
      <c r="P106" s="129">
        <v>2445</v>
      </c>
      <c r="Q106" s="129">
        <v>2377</v>
      </c>
      <c r="R106" s="136"/>
      <c r="S106" s="129">
        <v>2395</v>
      </c>
      <c r="T106" s="129">
        <f>+O106*(1+T107)</f>
        <v>2674.440216519683</v>
      </c>
      <c r="U106" s="129">
        <f>+P106*(1+U107)</f>
        <v>2379.3158319420299</v>
      </c>
      <c r="V106" s="129">
        <f>+Q106*(1+V107)</f>
        <v>2315.3160203001548</v>
      </c>
      <c r="W106" s="136"/>
      <c r="X106" s="129">
        <f>+S106*(1+X107)</f>
        <v>2336.158349176324</v>
      </c>
      <c r="Y106" s="129">
        <f>+T106*(1+Y107)</f>
        <v>2598.9548166594618</v>
      </c>
      <c r="Z106" s="129">
        <f>+U106*(1+Z107)</f>
        <v>2316.4969414634711</v>
      </c>
      <c r="AA106" s="129">
        <f>+V106*(1+AA107)</f>
        <v>2254.454629527595</v>
      </c>
      <c r="AB106" s="136"/>
      <c r="AC106" s="129">
        <f>+X106*(1+AC107)</f>
        <v>2274.5528038574744</v>
      </c>
      <c r="AD106" s="129">
        <f>+Y106*(1+AD107)</f>
        <v>2529.2484395273154</v>
      </c>
      <c r="AE106" s="129">
        <f>+Z106*(1+AE107)</f>
        <v>2255.1793328981171</v>
      </c>
      <c r="AF106" s="129">
        <f>+AA106*(1+AF107)</f>
        <v>2194.7410153345263</v>
      </c>
      <c r="AG106" s="136"/>
      <c r="AH106" s="129">
        <f>+AC106*(1+AH107)</f>
        <v>2208.5064479183789</v>
      </c>
      <c r="AI106" s="129">
        <f>+AD106*(1+AI107)</f>
        <v>2454.1203293174412</v>
      </c>
      <c r="AJ106" s="129">
        <f>+AE106*(1+AJ107)</f>
        <v>2186.5667882262128</v>
      </c>
      <c r="AK106" s="129">
        <f>+AF106*(1+AK107)</f>
        <v>2125.7975193215589</v>
      </c>
      <c r="AL106" s="136"/>
      <c r="AM106" s="129">
        <f>+AH106*(1+AM107)</f>
        <v>2136.4107070449822</v>
      </c>
      <c r="AN106" s="129">
        <f>+AI106*(1+AN107)</f>
        <v>2371.7933219611164</v>
      </c>
      <c r="AO106" s="129">
        <f>+AJ106*(1+AO107)</f>
        <v>2111.1146628247275</v>
      </c>
      <c r="AP106" s="129">
        <f>+AK106*(1+AP107)</f>
        <v>2050.2726224376406</v>
      </c>
      <c r="AQ106" s="136"/>
    </row>
    <row r="107" spans="2:43" outlineLevel="2" x14ac:dyDescent="0.3">
      <c r="B107" s="145" t="s">
        <v>204</v>
      </c>
      <c r="C107" s="128"/>
      <c r="D107" s="146">
        <f>+D106/816-1</f>
        <v>4.7794117647058876E-2</v>
      </c>
      <c r="E107" s="146">
        <f>+E106/917-1</f>
        <v>4.0348964013086075E-2</v>
      </c>
      <c r="F107" s="146">
        <f>+F106/830.5-1</f>
        <v>5.7194461167971111E-2</v>
      </c>
      <c r="G107" s="146">
        <f>+G106/850-1</f>
        <v>2.1764705882352908E-2</v>
      </c>
      <c r="H107" s="147"/>
      <c r="I107" s="146">
        <f>+I106/D106-1</f>
        <v>1.5403508771929824</v>
      </c>
      <c r="J107" s="146">
        <f>+J106/E106-1</f>
        <v>1.658280922431866</v>
      </c>
      <c r="K107" s="146">
        <f>+K106/F106-1</f>
        <v>1.8143507972665147</v>
      </c>
      <c r="L107" s="146">
        <f>+L106/G106-1</f>
        <v>1.768680483592401</v>
      </c>
      <c r="M107" s="147"/>
      <c r="N107" s="146">
        <f>+N106/I106-1</f>
        <v>3.0478821362799113E-2</v>
      </c>
      <c r="O107" s="146">
        <f>+O106/J106-1</f>
        <v>4.9881703470031624E-2</v>
      </c>
      <c r="P107" s="146">
        <f>+P106/K106-1</f>
        <v>-1.0522055847834832E-2</v>
      </c>
      <c r="Q107" s="146">
        <f>+Q106/L106-1</f>
        <v>-1.1477589402640542E-2</v>
      </c>
      <c r="R107" s="147"/>
      <c r="S107" s="146">
        <f>+S106/N106-1</f>
        <v>7.0056295237244326E-2</v>
      </c>
      <c r="T107" s="142">
        <f>AVERAGE(S107,Q107,P107,O107)-2%</f>
        <v>4.4845883642001434E-3</v>
      </c>
      <c r="U107" s="142">
        <f>AVERAGE(T107,S107,Q107,P107)-4%</f>
        <v>-2.6864690412257728E-2</v>
      </c>
      <c r="V107" s="142">
        <f>AVERAGE(U107,T107,S107,Q107)-3.5%</f>
        <v>-2.5950349053363454E-2</v>
      </c>
      <c r="W107" s="147"/>
      <c r="X107" s="142">
        <f>AVERAGE(V107,U107,T107,S107)-3%</f>
        <v>-2.4568538966044176E-2</v>
      </c>
      <c r="Y107" s="142">
        <f>AVERAGE(X107,V107,U107,T107)-1%</f>
        <v>-2.8224747516866301E-2</v>
      </c>
      <c r="Z107" s="142">
        <f>AVERAGE(Y107,X107,V107,U107)</f>
        <v>-2.6402081487132915E-2</v>
      </c>
      <c r="AA107" s="142">
        <f>AVERAGE(Z107,Y107,X107,V107)</f>
        <v>-2.6286429255851711E-2</v>
      </c>
      <c r="AB107" s="147"/>
      <c r="AC107" s="142">
        <f>AVERAGE(AA107,Z107,Y107,X107)</f>
        <v>-2.6370449306473778E-2</v>
      </c>
      <c r="AD107" s="142">
        <f>AVERAGE(AC107,AA107,Z107,Y107)</f>
        <v>-2.6820926891581179E-2</v>
      </c>
      <c r="AE107" s="142">
        <f>AVERAGE(AD107,AC107,AA107,Z107)</f>
        <v>-2.6469971735259896E-2</v>
      </c>
      <c r="AF107" s="142">
        <f>AVERAGE(AE107,AD107,AC107,AA107)</f>
        <v>-2.6486944297291641E-2</v>
      </c>
      <c r="AG107" s="147"/>
      <c r="AH107" s="177">
        <f>AVERAGE(AF107,AE107,AD107,AC107)-0.25%</f>
        <v>-2.9037073057651623E-2</v>
      </c>
      <c r="AI107" s="177">
        <f>AVERAGE(AH107,AF107,AE107,AD107)-0.25%</f>
        <v>-2.9703728995446085E-2</v>
      </c>
      <c r="AJ107" s="177">
        <f>AVERAGE(AI107,AH107,AF107,AE107)-0.25%</f>
        <v>-3.0424429521412309E-2</v>
      </c>
      <c r="AK107" s="177">
        <f>AVERAGE(AJ107,AI107,AH107,AF107)-0.25%</f>
        <v>-3.1413043967950416E-2</v>
      </c>
      <c r="AL107" s="147"/>
      <c r="AM107" s="177">
        <f>AVERAGE(AK107,AJ107,AI107,AH107)-0.25%</f>
        <v>-3.2644568885615108E-2</v>
      </c>
      <c r="AN107" s="177">
        <f>AVERAGE(AM107,AK107,AJ107,AI107)-0.25%</f>
        <v>-3.3546442842605981E-2</v>
      </c>
      <c r="AO107" s="177">
        <f>AVERAGE(AN107,AM107,AK107,AJ107)-0.25%</f>
        <v>-3.4507121304395955E-2</v>
      </c>
      <c r="AP107" s="177">
        <f>AVERAGE(AO107,AN107,AM107,AK107)-0.25%</f>
        <v>-3.5527794250141867E-2</v>
      </c>
      <c r="AQ107" s="147"/>
    </row>
    <row r="108" spans="2:43" outlineLevel="2" x14ac:dyDescent="0.3">
      <c r="B108" s="127" t="s">
        <v>183</v>
      </c>
      <c r="C108" s="128"/>
      <c r="D108" s="130">
        <v>5.88</v>
      </c>
      <c r="E108" s="130">
        <v>5.59</v>
      </c>
      <c r="F108" s="130">
        <v>5.47</v>
      </c>
      <c r="G108" s="130">
        <v>5.6550000000000002</v>
      </c>
      <c r="H108" s="136"/>
      <c r="I108" s="130">
        <v>7.19</v>
      </c>
      <c r="J108" s="130">
        <v>6.81</v>
      </c>
      <c r="K108" s="130">
        <v>6.74</v>
      </c>
      <c r="L108" s="130">
        <v>6.9759900000000004</v>
      </c>
      <c r="M108" s="136"/>
      <c r="N108" s="130">
        <v>7.18</v>
      </c>
      <c r="O108" s="130">
        <v>7.24</v>
      </c>
      <c r="P108" s="130">
        <v>7.44</v>
      </c>
      <c r="Q108" s="130">
        <v>7.77</v>
      </c>
      <c r="R108" s="136"/>
      <c r="S108" s="130">
        <v>7.24</v>
      </c>
      <c r="T108" s="130">
        <f>+O108*(1+T109)</f>
        <v>7.6186102872902923</v>
      </c>
      <c r="U108" s="130">
        <f>+P108*(1+U109)</f>
        <v>7.6600914848361628</v>
      </c>
      <c r="V108" s="130">
        <f>+Q108*(1+V109)</f>
        <v>7.8944236854921686</v>
      </c>
      <c r="W108" s="136"/>
      <c r="X108" s="130">
        <f>+S108*(1+X109)</f>
        <v>7.2151058350284236</v>
      </c>
      <c r="Y108" s="130">
        <f>+T108*(1+Y109)</f>
        <v>7.7223211933127311</v>
      </c>
      <c r="Z108" s="130">
        <f>+U108*(1+Z109)</f>
        <v>7.7668922153239404</v>
      </c>
      <c r="AA108" s="130">
        <f>+V108*(1+AA109)</f>
        <v>7.9736249828258172</v>
      </c>
      <c r="AB108" s="136"/>
      <c r="AC108" s="130">
        <f>+X108*(1+AC109)</f>
        <v>7.2767038398477739</v>
      </c>
      <c r="AD108" s="130">
        <f>+Y108*(1+AD109)</f>
        <v>7.8113697007918574</v>
      </c>
      <c r="AE108" s="130">
        <f>+Z108*(1+AE109)</f>
        <v>7.8524129417498028</v>
      </c>
      <c r="AF108" s="130">
        <f>+AA108*(1+AF109)</f>
        <v>8.0555782497123136</v>
      </c>
      <c r="AG108" s="136"/>
      <c r="AH108" s="130">
        <f>+AC108*(1+AH109)</f>
        <v>7.3337489351811866</v>
      </c>
      <c r="AI108" s="130">
        <f>+AD108*(1+AI109)</f>
        <v>7.8712432718459358</v>
      </c>
      <c r="AJ108" s="130">
        <f>+AE108*(1+AJ109)</f>
        <v>7.9050109882684412</v>
      </c>
      <c r="AK108" s="130">
        <f>+AF108*(1+AK109)</f>
        <v>8.1008520357710037</v>
      </c>
      <c r="AL108" s="136"/>
      <c r="AM108" s="130">
        <f>+AH108*(1+AM109)</f>
        <v>7.3664260077346713</v>
      </c>
      <c r="AN108" s="130">
        <f>+AI108*(1+AN109)</f>
        <v>7.8996567783935552</v>
      </c>
      <c r="AO108" s="130">
        <f>+AJ108*(1+AO109)</f>
        <v>7.9255324081060801</v>
      </c>
      <c r="AP108" s="130">
        <f>+AK108*(1+AP109)</f>
        <v>8.1135737717813754</v>
      </c>
      <c r="AQ108" s="136"/>
    </row>
    <row r="109" spans="2:43" outlineLevel="2" x14ac:dyDescent="0.3">
      <c r="B109" s="145" t="s">
        <v>203</v>
      </c>
      <c r="C109" s="128"/>
      <c r="D109" s="146">
        <f>+D108/7.1-1</f>
        <v>-0.17183098591549295</v>
      </c>
      <c r="E109" s="146">
        <f>+E108/6.63-1</f>
        <v>-0.15686274509803921</v>
      </c>
      <c r="F109" s="146">
        <f>+F108/6.28-1</f>
        <v>-0.12898089171974525</v>
      </c>
      <c r="G109" s="146">
        <f>+G108/5.96-1</f>
        <v>-5.1174496644295298E-2</v>
      </c>
      <c r="H109" s="147"/>
      <c r="I109" s="146">
        <f>+I108/D108-1</f>
        <v>0.2227891156462587</v>
      </c>
      <c r="J109" s="146">
        <f>+J108/E108-1</f>
        <v>0.21824686940965998</v>
      </c>
      <c r="K109" s="146">
        <f>+K108/F108-1</f>
        <v>0.23217550274223053</v>
      </c>
      <c r="L109" s="146">
        <f>+L108/G108-1</f>
        <v>0.23359681697612733</v>
      </c>
      <c r="M109" s="147"/>
      <c r="N109" s="146">
        <f>+N108/I108-1</f>
        <v>-1.3908205841447474E-3</v>
      </c>
      <c r="O109" s="146">
        <f>+O108/J108-1</f>
        <v>6.3142437591776845E-2</v>
      </c>
      <c r="P109" s="146">
        <f>+P108/K108-1</f>
        <v>0.10385756676557856</v>
      </c>
      <c r="Q109" s="146">
        <f>+Q108/L108-1</f>
        <v>0.11382040398567073</v>
      </c>
      <c r="R109" s="147"/>
      <c r="S109" s="146">
        <f>+S108/N108-1</f>
        <v>8.3565459610028814E-3</v>
      </c>
      <c r="T109" s="142">
        <f>AVERAGE(S109,Q109,P109,O109)-2%</f>
        <v>5.2294238576007249E-2</v>
      </c>
      <c r="U109" s="142">
        <f>AVERAGE(T109,S109,Q109,P109)-4%</f>
        <v>2.9582188822064849E-2</v>
      </c>
      <c r="V109" s="142">
        <f>AVERAGE(U109,T109,S109,Q109)-3.5%</f>
        <v>1.6013344336186425E-2</v>
      </c>
      <c r="W109" s="147"/>
      <c r="X109" s="142">
        <f>AVERAGE(V109,U109,T109,S109)-3%</f>
        <v>-3.4384205761846462E-3</v>
      </c>
      <c r="Y109" s="142">
        <f>AVERAGE(X109,V109,U109,T109)-1%</f>
        <v>1.3612837789518469E-2</v>
      </c>
      <c r="Z109" s="142">
        <f>AVERAGE(Y109,X109,V109,U109)</f>
        <v>1.3942487592896274E-2</v>
      </c>
      <c r="AA109" s="142">
        <f>AVERAGE(Z109,Y109,X109,V109)</f>
        <v>1.0032562285604131E-2</v>
      </c>
      <c r="AB109" s="147"/>
      <c r="AC109" s="142">
        <f>AVERAGE(AA109,Z109,Y109,X109)</f>
        <v>8.5373667729585559E-3</v>
      </c>
      <c r="AD109" s="142">
        <f>AVERAGE(AC109,AA109,Z109,Y109)</f>
        <v>1.1531313610244356E-2</v>
      </c>
      <c r="AE109" s="142">
        <f>AVERAGE(AD109,AC109,AA109,Z109)</f>
        <v>1.1010932565425829E-2</v>
      </c>
      <c r="AF109" s="142">
        <f>AVERAGE(AE109,AD109,AC109,AA109)</f>
        <v>1.0278043808558218E-2</v>
      </c>
      <c r="AG109" s="147"/>
      <c r="AH109" s="177">
        <f>AVERAGE(AF109,AE109,AD109,AC109)-0.25%</f>
        <v>7.8394141892967392E-3</v>
      </c>
      <c r="AI109" s="177">
        <f>AVERAGE(AH109,AF109,AE109,AD109)-0.25%</f>
        <v>7.6649260433812854E-3</v>
      </c>
      <c r="AJ109" s="177">
        <f>AVERAGE(AI109,AH109,AF109,AE109)-0.25%</f>
        <v>6.6983291516655181E-3</v>
      </c>
      <c r="AK109" s="177">
        <f>AVERAGE(AJ109,AI109,AH109,AF109)-0.25%</f>
        <v>5.6201782982254391E-3</v>
      </c>
      <c r="AL109" s="147"/>
      <c r="AM109" s="177">
        <f>AVERAGE(AK109,AJ109,AI109,AH109)-0.25%</f>
        <v>4.4557119206422458E-3</v>
      </c>
      <c r="AN109" s="177">
        <f>AVERAGE(AM109,AK109,AJ109,AI109)-0.25%</f>
        <v>3.6097863534786221E-3</v>
      </c>
      <c r="AO109" s="177">
        <f>AVERAGE(AN109,AM109,AK109,AJ109)-0.25%</f>
        <v>2.5960014310029565E-3</v>
      </c>
      <c r="AP109" s="177">
        <f>AVERAGE(AO109,AN109,AM109,AK109)-0.25%</f>
        <v>1.5704195008373165E-3</v>
      </c>
      <c r="AQ109" s="147"/>
    </row>
    <row r="110" spans="2:43" ht="15" outlineLevel="2" thickBot="1" x14ac:dyDescent="0.35">
      <c r="B110" s="135" t="s">
        <v>184</v>
      </c>
      <c r="C110" s="134"/>
      <c r="D110" s="149">
        <f>+D106*D108*D61/1000</f>
        <v>326.78100000000001</v>
      </c>
      <c r="E110" s="149">
        <f>+E106*E108*E61/1000</f>
        <v>335.97017999999997</v>
      </c>
      <c r="F110" s="149">
        <f>+F106*F108*F61/1000</f>
        <v>302.56758000000002</v>
      </c>
      <c r="G110" s="149">
        <f>+G106*G108*G61/1000</f>
        <v>319.23888750000003</v>
      </c>
      <c r="H110" s="138"/>
      <c r="I110" s="149">
        <f>+I106*I108*I61/1000</f>
        <v>1015.0842000000001</v>
      </c>
      <c r="J110" s="149">
        <f>+J106*J108*J61/1000</f>
        <v>1088.02008</v>
      </c>
      <c r="K110" s="149">
        <f>+K106*K108*K61/1000</f>
        <v>1032.5814800000001</v>
      </c>
      <c r="L110" s="149">
        <f>+L106*L108*L61/1000</f>
        <v>1090.3398075706502</v>
      </c>
      <c r="M110" s="138"/>
      <c r="N110" s="149">
        <f>+N106*N108*N61/1000</f>
        <v>1044.5679399999999</v>
      </c>
      <c r="O110" s="149">
        <f>+O106*O108*O61/1000</f>
        <v>1214.4195</v>
      </c>
      <c r="P110" s="149">
        <f>+P106*P108*P61/1000</f>
        <v>1127.8295999999998</v>
      </c>
      <c r="Q110" s="149">
        <f>+Q106*Q108*Q61/1000</f>
        <v>1200.5038499999998</v>
      </c>
      <c r="R110" s="138"/>
      <c r="S110" s="149">
        <f>+S106*S108*S61/1000</f>
        <v>1127.087</v>
      </c>
      <c r="T110" s="149">
        <f>+T106*T108*T61/1000</f>
        <v>1283.657618018143</v>
      </c>
      <c r="U110" s="149">
        <f>+U106*U108*U61/1000</f>
        <v>1129.9981705276907</v>
      </c>
      <c r="V110" s="149">
        <f>+V106*V108*V61/1000</f>
        <v>1188.0755659537056</v>
      </c>
      <c r="W110" s="138"/>
      <c r="X110" s="149">
        <f>+X106*X108*X61/1000</f>
        <v>1095.6159328850104</v>
      </c>
      <c r="Y110" s="149">
        <f>+Y106*Y108*Y61/1000</f>
        <v>1264.4077232525485</v>
      </c>
      <c r="Z110" s="149">
        <f>+Z106*Z108*Z61/1000</f>
        <v>1115.5028878114097</v>
      </c>
      <c r="AA110" s="149">
        <f>+AA106*AA108*AA61/1000</f>
        <v>1168.4514241821562</v>
      </c>
      <c r="AB110" s="138"/>
      <c r="AC110" s="149">
        <f>+AC106*AC108*AC61/1000</f>
        <v>1075.8310629148034</v>
      </c>
      <c r="AD110" s="149">
        <f>+AD106*AD108*AD61/1000</f>
        <v>1244.684361456822</v>
      </c>
      <c r="AE110" s="149">
        <f>+AE106*AE108*AE61/1000</f>
        <v>1097.9331615361834</v>
      </c>
      <c r="AF110" s="149">
        <f>+AF106*AF108*AF61/1000</f>
        <v>1149.1940191472215</v>
      </c>
      <c r="AG110" s="138"/>
      <c r="AH110" s="149">
        <f>+AH106*AH108*AH61/1000</f>
        <v>1052.7810676995427</v>
      </c>
      <c r="AI110" s="149">
        <f>+AI106*AI108*AI61/1000</f>
        <v>1216.9696222177354</v>
      </c>
      <c r="AJ110" s="149">
        <f>+AJ106*AJ108*AJ61/1000</f>
        <v>1071.6597382256848</v>
      </c>
      <c r="AK110" s="149">
        <f>+AK106*AK108*AK61/1000</f>
        <v>1119.3501255321451</v>
      </c>
      <c r="AL110" s="138"/>
      <c r="AM110" s="149">
        <f>+AM106*AM108*AM61/1000</f>
        <v>1022.9512407126333</v>
      </c>
      <c r="AN110" s="149">
        <f>+AN106*AN108*AN61/1000</f>
        <v>1180.3902511450581</v>
      </c>
      <c r="AO110" s="149">
        <f>+AO106*AO108*AO61/1000</f>
        <v>1037.3658760016096</v>
      </c>
      <c r="AP110" s="149">
        <f>+AP106*AP108*AP61/1000</f>
        <v>1081.277481336745</v>
      </c>
      <c r="AQ110" s="138"/>
    </row>
    <row r="111" spans="2:43" ht="16.2" outlineLevel="1" x14ac:dyDescent="0.45">
      <c r="B111" s="773" t="s">
        <v>185</v>
      </c>
      <c r="C111" s="774"/>
      <c r="D111" s="268"/>
      <c r="E111" s="268"/>
      <c r="F111" s="268"/>
      <c r="G111" s="268"/>
      <c r="H111" s="54"/>
      <c r="I111" s="268"/>
      <c r="J111" s="268"/>
      <c r="K111" s="268"/>
      <c r="L111" s="268"/>
      <c r="M111" s="54"/>
      <c r="N111" s="268"/>
      <c r="O111" s="268"/>
      <c r="P111" s="268"/>
      <c r="Q111" s="268"/>
      <c r="R111" s="50"/>
      <c r="S111" s="133"/>
      <c r="T111" s="133"/>
      <c r="U111" s="133"/>
      <c r="V111" s="133"/>
      <c r="W111" s="50"/>
      <c r="X111" s="133"/>
      <c r="Y111" s="133"/>
      <c r="Z111" s="133"/>
      <c r="AA111" s="133"/>
      <c r="AB111" s="50"/>
      <c r="AC111" s="133"/>
      <c r="AD111" s="133"/>
      <c r="AE111" s="133"/>
      <c r="AF111" s="133"/>
      <c r="AG111" s="50"/>
      <c r="AH111" s="133"/>
      <c r="AI111" s="133"/>
      <c r="AJ111" s="133"/>
      <c r="AK111" s="133"/>
      <c r="AL111" s="50"/>
      <c r="AM111" s="133"/>
      <c r="AN111" s="133"/>
      <c r="AO111" s="133"/>
      <c r="AP111" s="133"/>
      <c r="AQ111" s="50"/>
    </row>
    <row r="112" spans="2:43" outlineLevel="2" x14ac:dyDescent="0.3">
      <c r="B112" s="123" t="s">
        <v>371</v>
      </c>
      <c r="C112" s="287"/>
      <c r="D112" s="264">
        <v>7277.5</v>
      </c>
      <c r="E112" s="264">
        <v>8212.5</v>
      </c>
      <c r="F112" s="264">
        <v>8340.4</v>
      </c>
      <c r="G112" s="264">
        <v>8885.4</v>
      </c>
      <c r="H112" s="54"/>
      <c r="I112" s="264">
        <v>8066.5</v>
      </c>
      <c r="J112" s="264">
        <v>8177.4</v>
      </c>
      <c r="K112" s="264">
        <v>8458.4</v>
      </c>
      <c r="L112" s="264">
        <v>8045.4</v>
      </c>
      <c r="M112" s="54"/>
      <c r="N112" s="264">
        <v>7727</v>
      </c>
      <c r="O112" s="264">
        <v>8474.5</v>
      </c>
      <c r="P112" s="264">
        <v>8757.4</v>
      </c>
      <c r="Q112" s="264">
        <v>8512</v>
      </c>
      <c r="R112" s="50"/>
      <c r="S112" s="264">
        <v>8309</v>
      </c>
      <c r="T112" s="124">
        <f>+O112*(1+T113)</f>
        <v>8908.8128185551996</v>
      </c>
      <c r="U112" s="124">
        <f>+P112*(1+U113)</f>
        <v>9238.8709660105978</v>
      </c>
      <c r="V112" s="124">
        <f>+Q112*(1+V113)</f>
        <v>9021.7502908564093</v>
      </c>
      <c r="W112" s="50"/>
      <c r="X112" s="124">
        <f>+S112*(1+X113)</f>
        <v>8810.5198433711685</v>
      </c>
      <c r="Y112" s="124">
        <f>+T112*(1+Y113)</f>
        <v>9279.5816536598795</v>
      </c>
      <c r="Z112" s="124">
        <f>+U112*(1+Z113)</f>
        <v>9601.1309581694131</v>
      </c>
      <c r="AA112" s="124">
        <f>+V112*(1+AA113)</f>
        <v>9339.9323864266771</v>
      </c>
      <c r="AB112" s="50"/>
      <c r="AC112" s="124">
        <f>+X112*(1+AC113)</f>
        <v>9199.1862098962083</v>
      </c>
      <c r="AD112" s="124">
        <f>+Y112*(1+AD113)</f>
        <v>9651.2540872233894</v>
      </c>
      <c r="AE112" s="124">
        <f>+Z112*(1+AE113)</f>
        <v>9981.924684132302</v>
      </c>
      <c r="AF112" s="124">
        <f>+AA112*(1+AF113)</f>
        <v>9711.4195237789918</v>
      </c>
      <c r="AG112" s="50"/>
      <c r="AH112" s="124">
        <f>+AC112*(1+AH113)</f>
        <v>9552.439614300989</v>
      </c>
      <c r="AI112" s="124">
        <f>+AD112*(1+AI113)</f>
        <v>10008.081779092434</v>
      </c>
      <c r="AJ112" s="124">
        <f>+AE112*(1+AJ113)</f>
        <v>10343.290511358548</v>
      </c>
      <c r="AK112" s="124">
        <f>+AF112*(1+AK113)</f>
        <v>10054.593787028674</v>
      </c>
      <c r="AL112" s="50"/>
      <c r="AM112" s="124">
        <f>+AH112*(1+AM113)</f>
        <v>9879.4002108075401</v>
      </c>
      <c r="AN112" s="124">
        <f>+AI112*(1+AN113)</f>
        <v>10340.198305592643</v>
      </c>
      <c r="AO112" s="124">
        <f>+AJ112*(1+AO113)</f>
        <v>10676.737533915853</v>
      </c>
      <c r="AP112" s="124">
        <f>+AK112*(1+AP113)</f>
        <v>10368.769659304564</v>
      </c>
      <c r="AQ112" s="50"/>
    </row>
    <row r="113" spans="2:43" outlineLevel="2" x14ac:dyDescent="0.3">
      <c r="B113" s="141" t="s">
        <v>204</v>
      </c>
      <c r="C113" s="287"/>
      <c r="D113" s="166">
        <f>+D112/7318-1</f>
        <v>-5.5342989887947613E-3</v>
      </c>
      <c r="E113" s="166">
        <f>+E112/8039-1</f>
        <v>2.1582286354024038E-2</v>
      </c>
      <c r="F113" s="166">
        <f>+F112/8145-1</f>
        <v>2.3990178023327147E-2</v>
      </c>
      <c r="G113" s="166">
        <f>+G112/7836-1</f>
        <v>0.13392036753445624</v>
      </c>
      <c r="H113" s="84"/>
      <c r="I113" s="166">
        <f>+I112/D112-1</f>
        <v>0.10841635176915143</v>
      </c>
      <c r="J113" s="166">
        <f>+J112/E112-1</f>
        <v>-4.2739726027397618E-3</v>
      </c>
      <c r="K113" s="166">
        <f>+K112/F112-1</f>
        <v>1.4148002493885148E-2</v>
      </c>
      <c r="L113" s="166">
        <f>+L112/G112-1</f>
        <v>-9.4537105814031963E-2</v>
      </c>
      <c r="M113" s="84"/>
      <c r="N113" s="166">
        <f>+N112/I112-1</f>
        <v>-4.2087646438976001E-2</v>
      </c>
      <c r="O113" s="166">
        <f>+O112/J112-1</f>
        <v>3.6331841416587185E-2</v>
      </c>
      <c r="P113" s="166">
        <f>+P112/K112-1</f>
        <v>3.5349475078028991E-2</v>
      </c>
      <c r="Q113" s="166">
        <f>+Q112/L112-1</f>
        <v>5.7995873418350996E-2</v>
      </c>
      <c r="R113" s="57"/>
      <c r="S113" s="166">
        <f>+S112/N112-1</f>
        <v>7.532030542254442E-2</v>
      </c>
      <c r="T113" s="142">
        <f>AVERAGE(S113,Q113,P113,O113)</f>
        <v>5.1249373833877898E-2</v>
      </c>
      <c r="U113" s="142">
        <f>AVERAGE(T113,S113,Q113,P113)</f>
        <v>5.4978756938200576E-2</v>
      </c>
      <c r="V113" s="142">
        <f>AVERAGE(U113,T113,S113,Q113)</f>
        <v>5.9886077403243476E-2</v>
      </c>
      <c r="W113" s="57"/>
      <c r="X113" s="142">
        <f>AVERAGE(V113,U113,T113,S113)</f>
        <v>6.0358628399466596E-2</v>
      </c>
      <c r="Y113" s="142">
        <f>AVERAGE(X113,V113,U113,T113)-1.5%</f>
        <v>4.1618209143697141E-2</v>
      </c>
      <c r="Z113" s="142">
        <f>AVERAGE(Y113,X113,V113,U113)-1.5%</f>
        <v>3.9210417971151948E-2</v>
      </c>
      <c r="AA113" s="142">
        <f>AVERAGE(Z113,Y113,X113,V113)-1.5%</f>
        <v>3.5268333229389791E-2</v>
      </c>
      <c r="AB113" s="57"/>
      <c r="AC113" s="142">
        <f>AVERAGE(AA113,Z113,Y113,X113)</f>
        <v>4.4113897185926371E-2</v>
      </c>
      <c r="AD113" s="142">
        <f>AVERAGE(AC113,AA113,Z113,Y113)</f>
        <v>4.0052714382541314E-2</v>
      </c>
      <c r="AE113" s="142">
        <f>AVERAGE(AD113,AC113,AA113,Z113)</f>
        <v>3.9661340692252356E-2</v>
      </c>
      <c r="AF113" s="142">
        <f>AVERAGE(AE113,AD113,AC113,AA113)</f>
        <v>3.9774071372527461E-2</v>
      </c>
      <c r="AG113" s="57"/>
      <c r="AH113" s="177">
        <f>AVERAGE(AF113,AE113,AD113,AC113)-0.25%</f>
        <v>3.8400505908311872E-2</v>
      </c>
      <c r="AI113" s="177">
        <f>AVERAGE(AH113,AF113,AE113,AD113)-0.25%</f>
        <v>3.6972158088908247E-2</v>
      </c>
      <c r="AJ113" s="177">
        <f>AVERAGE(AI113,AH113,AF113,AE113)-0.25%</f>
        <v>3.6202019015499978E-2</v>
      </c>
      <c r="AK113" s="177">
        <f>AVERAGE(AJ113,AI113,AH113,AF113)-0.25%</f>
        <v>3.5337188596311887E-2</v>
      </c>
      <c r="AL113" s="57"/>
      <c r="AM113" s="177">
        <f>AVERAGE(AK113,AJ113,AI113,AH113)-0.25%</f>
        <v>3.4227967902257996E-2</v>
      </c>
      <c r="AN113" s="177">
        <f>AVERAGE(AM113,AK113,AJ113,AI113)-0.25%</f>
        <v>3.3184833400744525E-2</v>
      </c>
      <c r="AO113" s="177">
        <f>AVERAGE(AN113,AM113,AK113,AJ113)-0.25%</f>
        <v>3.2238002228703599E-2</v>
      </c>
      <c r="AP113" s="177">
        <f>AVERAGE(AO113,AN113,AM113,AK113)-0.25%</f>
        <v>3.1246998032004498E-2</v>
      </c>
      <c r="AQ113" s="57"/>
    </row>
    <row r="114" spans="2:43" outlineLevel="2" x14ac:dyDescent="0.3">
      <c r="B114" s="123" t="s">
        <v>186</v>
      </c>
      <c r="C114" s="287"/>
      <c r="D114" s="143">
        <v>1.212</v>
      </c>
      <c r="E114" s="143">
        <v>1.1180000000000001</v>
      </c>
      <c r="F114" s="143">
        <v>1.232</v>
      </c>
      <c r="G114" s="143">
        <v>1.1830000000000001</v>
      </c>
      <c r="H114" s="54"/>
      <c r="I114" s="143">
        <v>1.175</v>
      </c>
      <c r="J114" s="143">
        <v>1.19</v>
      </c>
      <c r="K114" s="143">
        <v>1.272</v>
      </c>
      <c r="L114" s="143">
        <v>1.21</v>
      </c>
      <c r="M114" s="54"/>
      <c r="N114" s="143">
        <v>1.22</v>
      </c>
      <c r="O114" s="143">
        <v>1.2889999999999999</v>
      </c>
      <c r="P114" s="143">
        <v>1.361</v>
      </c>
      <c r="Q114" s="143">
        <v>1.367</v>
      </c>
      <c r="R114" s="50"/>
      <c r="S114" s="143">
        <v>1.35</v>
      </c>
      <c r="T114" s="143">
        <f>+O114*(1+T115)</f>
        <v>1.4205974458827797</v>
      </c>
      <c r="U114" s="143">
        <f>+P114*(1+U115)</f>
        <v>1.4999481178017557</v>
      </c>
      <c r="V114" s="143">
        <f>+Q114*(1+V115)</f>
        <v>1.5175390890991005</v>
      </c>
      <c r="W114" s="50"/>
      <c r="X114" s="143">
        <f>+S114*(1+X115)</f>
        <v>1.4920424105716361</v>
      </c>
      <c r="Y114" s="143">
        <f>+T114*(1+Y115)</f>
        <v>1.5482827420580287</v>
      </c>
      <c r="Z114" s="143">
        <f>+U114*(1+Z115)</f>
        <v>1.6301865001161813</v>
      </c>
      <c r="AA114" s="143">
        <f>+V114*(1+AA115)</f>
        <v>1.6435139133997556</v>
      </c>
      <c r="AB114" s="50"/>
      <c r="AC114" s="143">
        <f>+X114*(1+AC115)</f>
        <v>1.6281685906982331</v>
      </c>
      <c r="AD114" s="143">
        <f>+Y114*(1+AD115)</f>
        <v>1.6841280492981858</v>
      </c>
      <c r="AE114" s="143">
        <f>+Z114*(1+AE115)</f>
        <v>1.7723449975710175</v>
      </c>
      <c r="AF114" s="143">
        <f>+AA114*(1+AF115)</f>
        <v>1.7869887874479466</v>
      </c>
      <c r="AG114" s="50"/>
      <c r="AH114" s="143">
        <f>+AC114*(1+AH115)</f>
        <v>1.7679776328820391</v>
      </c>
      <c r="AI114" s="143">
        <f>+AD114*(1+AI115)</f>
        <v>1.8264830549193145</v>
      </c>
      <c r="AJ114" s="143">
        <f>+AE114*(1+AJ115)</f>
        <v>1.9207335983688558</v>
      </c>
      <c r="AK114" s="143">
        <f>+AF114*(1+AK115)</f>
        <v>1.935049028265502</v>
      </c>
      <c r="AL114" s="50"/>
      <c r="AM114" s="143">
        <f>+AH114*(1+AM115)</f>
        <v>1.9124989163691657</v>
      </c>
      <c r="AN114" s="143">
        <f>+AI114*(1+AN115)</f>
        <v>1.9739032100572509</v>
      </c>
      <c r="AO114" s="143">
        <f>+AJ114*(1+AO115)</f>
        <v>2.0739291318634909</v>
      </c>
      <c r="AP114" s="143">
        <f>+AK114*(1+AP115)</f>
        <v>2.0874679468446029</v>
      </c>
      <c r="AQ114" s="50"/>
    </row>
    <row r="115" spans="2:43" outlineLevel="2" x14ac:dyDescent="0.3">
      <c r="B115" s="141" t="s">
        <v>203</v>
      </c>
      <c r="C115" s="287"/>
      <c r="D115" s="166">
        <f>+D114/1.24-1</f>
        <v>-2.2580645161290325E-2</v>
      </c>
      <c r="E115" s="166">
        <f>+E114/1.16-1</f>
        <v>-3.6206896551723933E-2</v>
      </c>
      <c r="F115" s="166">
        <f>+F114/1.13-1</f>
        <v>9.0265486725663813E-2</v>
      </c>
      <c r="G115" s="166">
        <f>+G114/1.11-1</f>
        <v>6.576576576576576E-2</v>
      </c>
      <c r="H115" s="84"/>
      <c r="I115" s="166">
        <f>+I114/D114-1</f>
        <v>-3.0528052805280481E-2</v>
      </c>
      <c r="J115" s="166">
        <f>+J114/E114-1</f>
        <v>6.4400715563506017E-2</v>
      </c>
      <c r="K115" s="166">
        <f>+K114/F114-1</f>
        <v>3.2467532467532534E-2</v>
      </c>
      <c r="L115" s="166">
        <f>+L114/G114-1</f>
        <v>2.2823330515638229E-2</v>
      </c>
      <c r="M115" s="84"/>
      <c r="N115" s="166">
        <f>+N114/I114-1</f>
        <v>3.8297872340425476E-2</v>
      </c>
      <c r="O115" s="166">
        <f>+O114/J114-1</f>
        <v>8.3193277310924296E-2</v>
      </c>
      <c r="P115" s="166">
        <f>+P114/K114-1</f>
        <v>6.9968553459119454E-2</v>
      </c>
      <c r="Q115" s="166">
        <f>+Q114/L114-1</f>
        <v>0.12975206611570256</v>
      </c>
      <c r="R115" s="57"/>
      <c r="S115" s="166">
        <f>+S114/N114-1</f>
        <v>0.10655737704918034</v>
      </c>
      <c r="T115" s="142">
        <f>AVERAGE(S115,Q115,P115)</f>
        <v>0.10209266554133412</v>
      </c>
      <c r="U115" s="142">
        <f>AVERAGE(T115,S115,Q115,P115)</f>
        <v>0.10209266554133412</v>
      </c>
      <c r="V115" s="142">
        <f>AVERAGE(U115,T115,S115,Q115)</f>
        <v>0.11012369356188778</v>
      </c>
      <c r="W115" s="57"/>
      <c r="X115" s="142">
        <f>AVERAGE(V115,U115,T115,S115)</f>
        <v>0.10521660042343409</v>
      </c>
      <c r="Y115" s="142">
        <f>AVERAGE(X115,V115,U115,T115)-1.5%</f>
        <v>8.9881406266997518E-2</v>
      </c>
      <c r="Z115" s="142">
        <f>AVERAGE(Y115,X115,V115,U115)-1.5%</f>
        <v>8.6828591448413373E-2</v>
      </c>
      <c r="AA115" s="142">
        <f>AVERAGE(Z115,Y115,X115,V115)-1.5%</f>
        <v>8.3012572925183201E-2</v>
      </c>
      <c r="AB115" s="57"/>
      <c r="AC115" s="142">
        <f>AVERAGE(AA115,Z115,Y115,X115)</f>
        <v>9.1234792766007045E-2</v>
      </c>
      <c r="AD115" s="142">
        <f>AVERAGE(AC115,AA115,Z115,Y115)</f>
        <v>8.7739340851650291E-2</v>
      </c>
      <c r="AE115" s="142">
        <f>AVERAGE(AD115,AC115,AA115,Z115)</f>
        <v>8.7203824497813484E-2</v>
      </c>
      <c r="AF115" s="142">
        <f>AVERAGE(AE115,AD115,AC115,AA115)</f>
        <v>8.7297632760163515E-2</v>
      </c>
      <c r="AG115" s="57"/>
      <c r="AH115" s="177">
        <f>AVERAGE(AF115,AE115,AD115,AC115)-0.25%</f>
        <v>8.5868897718908585E-2</v>
      </c>
      <c r="AI115" s="177">
        <f>AVERAGE(AH115,AF115,AE115,AD115)-0.25%</f>
        <v>8.4527423957133974E-2</v>
      </c>
      <c r="AJ115" s="177">
        <f>AVERAGE(AI115,AH115,AF115,AE115)-0.25%</f>
        <v>8.3724444733504891E-2</v>
      </c>
      <c r="AK115" s="177">
        <f>AVERAGE(AJ115,AI115,AH115,AF115)-0.25%</f>
        <v>8.2854599792427736E-2</v>
      </c>
      <c r="AL115" s="57"/>
      <c r="AM115" s="177">
        <f>AVERAGE(AK115,AJ115,AI115,AH115)-0.25%</f>
        <v>8.1743841550493801E-2</v>
      </c>
      <c r="AN115" s="177">
        <f>AVERAGE(AM115,AK115,AJ115,AI115)-0.25%</f>
        <v>8.0712577508390101E-2</v>
      </c>
      <c r="AO115" s="177">
        <f>AVERAGE(AN115,AM115,AK115,AJ115)-0.25%</f>
        <v>7.9758865896204137E-2</v>
      </c>
      <c r="AP115" s="177">
        <f>AVERAGE(AO115,AN115,AM115,AK115)-0.25%</f>
        <v>7.8767471186878935E-2</v>
      </c>
      <c r="AQ115" s="57"/>
    </row>
    <row r="116" spans="2:43" outlineLevel="2" x14ac:dyDescent="0.3">
      <c r="B116" s="119" t="s">
        <v>187</v>
      </c>
      <c r="C116" s="120"/>
      <c r="D116" s="144">
        <f>+D112*D114*D61/1000</f>
        <v>573.32144999999991</v>
      </c>
      <c r="E116" s="144">
        <f>+E112*E114*E61/1000</f>
        <v>578.43922500000008</v>
      </c>
      <c r="F116" s="144">
        <f>+F112*F114*F61/1000</f>
        <v>647.34848639999996</v>
      </c>
      <c r="G116" s="144">
        <f>+G112*G114*G61/1000</f>
        <v>683.24283300000002</v>
      </c>
      <c r="H116" s="56"/>
      <c r="I116" s="144">
        <f>+I112*I114*I61/1000</f>
        <v>616.07893750000005</v>
      </c>
      <c r="J116" s="144">
        <f>+J112*J114*J61/1000</f>
        <v>613.05967799999996</v>
      </c>
      <c r="K116" s="144">
        <f>+K112*K114*K61/1000</f>
        <v>667.06325760000004</v>
      </c>
      <c r="L116" s="144">
        <f>+L112*L114*L61/1000</f>
        <v>632.77071000000001</v>
      </c>
      <c r="M116" s="56"/>
      <c r="N116" s="144">
        <f>+N112*N114*N61/1000</f>
        <v>612.75109999999995</v>
      </c>
      <c r="O116" s="144">
        <f>+O112*O114*O61/1000</f>
        <v>688.18872149999993</v>
      </c>
      <c r="P116" s="144">
        <f>+P112*P114*P61/1000</f>
        <v>738.9669267999999</v>
      </c>
      <c r="Q116" s="144">
        <f>+Q112*Q114*Q61/1000</f>
        <v>756.33375999999998</v>
      </c>
      <c r="R116" s="51"/>
      <c r="S116" s="144">
        <f>+S112*S114*S61/1000</f>
        <v>729.11475000000007</v>
      </c>
      <c r="T116" s="144">
        <f>+T112*T114*T61/1000</f>
        <v>797.31771436089878</v>
      </c>
      <c r="U116" s="144">
        <f>+U112*U114*U61/1000</f>
        <v>859.18528119701489</v>
      </c>
      <c r="V116" s="144">
        <f>+V112*V114*V61/1000</f>
        <v>889.90581670027575</v>
      </c>
      <c r="W116" s="51"/>
      <c r="X116" s="144">
        <f>+X112*X114*X61/1000</f>
        <v>854.46850225702883</v>
      </c>
      <c r="Y116" s="144">
        <f>+Y112*Y114*Y61/1000</f>
        <v>905.14721605643342</v>
      </c>
      <c r="Z116" s="144">
        <f>+Z112*Z114*Z61/1000</f>
        <v>970.40131257902942</v>
      </c>
      <c r="AA116" s="144">
        <f>+AA112*AA114*AA61/1000</f>
        <v>997.77007377483972</v>
      </c>
      <c r="AB116" s="51"/>
      <c r="AC116" s="144">
        <f>+AC112*AC114*AC61/1000</f>
        <v>973.55869305092642</v>
      </c>
      <c r="AD116" s="144">
        <f>+AD112*AD114*AD61/1000</f>
        <v>1023.9987063093903</v>
      </c>
      <c r="AE116" s="144">
        <f>+AE112*AE114*AE61/1000</f>
        <v>1096.8676853632578</v>
      </c>
      <c r="AF116" s="144">
        <f>+AF112*AF114*AF61/1000</f>
        <v>1128.022856947749</v>
      </c>
      <c r="AG116" s="51"/>
      <c r="AH116" s="144">
        <f>+AH112*AH114*AH61/1000</f>
        <v>1097.7524725401313</v>
      </c>
      <c r="AI116" s="144">
        <f>+AI112*AI114*AI61/1000</f>
        <v>1151.6142822508218</v>
      </c>
      <c r="AJ116" s="144">
        <f>+AJ112*AJ114*AJ61/1000</f>
        <v>1231.735747377081</v>
      </c>
      <c r="AK116" s="144">
        <f>+AK112*AK114*AK61/1000</f>
        <v>1264.6485759176223</v>
      </c>
      <c r="AL116" s="51"/>
      <c r="AM116" s="144">
        <f>+AM112*AM114*AM61/1000</f>
        <v>1228.1322428405374</v>
      </c>
      <c r="AN116" s="144">
        <f>+AN112*AN114*AN61/1000</f>
        <v>1285.8646895663856</v>
      </c>
      <c r="AO116" s="144">
        <f>+AO112*AO114*AO61/1000</f>
        <v>1372.8534143006043</v>
      </c>
      <c r="AP116" s="144">
        <f>+AP112*AP114*AP61/1000</f>
        <v>1406.890830280852</v>
      </c>
      <c r="AQ116" s="51"/>
    </row>
    <row r="117" spans="2:43" ht="16.2" outlineLevel="1" x14ac:dyDescent="0.45">
      <c r="B117" s="749" t="s">
        <v>188</v>
      </c>
      <c r="C117" s="750"/>
      <c r="D117" s="126"/>
      <c r="E117" s="126"/>
      <c r="F117" s="126"/>
      <c r="G117" s="126"/>
      <c r="H117" s="136"/>
      <c r="I117" s="126"/>
      <c r="J117" s="126"/>
      <c r="K117" s="126"/>
      <c r="L117" s="126"/>
      <c r="M117" s="136"/>
      <c r="N117" s="126"/>
      <c r="O117" s="126"/>
      <c r="P117" s="126"/>
      <c r="Q117" s="126"/>
      <c r="R117" s="136"/>
      <c r="S117" s="126"/>
      <c r="T117" s="126"/>
      <c r="U117" s="126"/>
      <c r="V117" s="126"/>
      <c r="W117" s="136"/>
      <c r="X117" s="126"/>
      <c r="Y117" s="126"/>
      <c r="Z117" s="126"/>
      <c r="AA117" s="126"/>
      <c r="AB117" s="136"/>
      <c r="AC117" s="126"/>
      <c r="AD117" s="126"/>
      <c r="AE117" s="126"/>
      <c r="AF117" s="126"/>
      <c r="AG117" s="136"/>
      <c r="AH117" s="126"/>
      <c r="AI117" s="126"/>
      <c r="AJ117" s="126"/>
      <c r="AK117" s="126"/>
      <c r="AL117" s="136"/>
      <c r="AM117" s="126"/>
      <c r="AN117" s="126"/>
      <c r="AO117" s="126"/>
      <c r="AP117" s="126"/>
      <c r="AQ117" s="136"/>
    </row>
    <row r="118" spans="2:43" outlineLevel="2" x14ac:dyDescent="0.3">
      <c r="B118" s="127" t="s">
        <v>372</v>
      </c>
      <c r="C118" s="128"/>
      <c r="D118" s="129">
        <v>1701.4</v>
      </c>
      <c r="E118" s="129">
        <v>1762.5</v>
      </c>
      <c r="F118" s="129">
        <v>1621</v>
      </c>
      <c r="G118" s="129">
        <v>1722</v>
      </c>
      <c r="H118" s="136"/>
      <c r="I118" s="129">
        <v>4793</v>
      </c>
      <c r="J118" s="129">
        <v>5417.4</v>
      </c>
      <c r="K118" s="129">
        <v>5238</v>
      </c>
      <c r="L118" s="129">
        <v>5409.4</v>
      </c>
      <c r="M118" s="136"/>
      <c r="N118" s="129">
        <v>4905.5</v>
      </c>
      <c r="O118" s="129">
        <v>5706</v>
      </c>
      <c r="P118" s="129">
        <v>5430</v>
      </c>
      <c r="Q118" s="129">
        <v>5515</v>
      </c>
      <c r="R118" s="136"/>
      <c r="S118" s="129">
        <v>5315</v>
      </c>
      <c r="T118" s="129">
        <f>+O118*(1+T119)</f>
        <v>5867.0907966365421</v>
      </c>
      <c r="U118" s="129">
        <f>+P118*(1+U119)</f>
        <v>5440.7057066968064</v>
      </c>
      <c r="V118" s="129">
        <f>+Q118*(1+V119)</f>
        <v>5505.6282408551588</v>
      </c>
      <c r="W118" s="136"/>
      <c r="X118" s="129">
        <f>+S118*(1+X119)</f>
        <v>5304.3458406285072</v>
      </c>
      <c r="Y118" s="129">
        <f>+T118*(1+Y119)</f>
        <v>5847.2886954455907</v>
      </c>
      <c r="Z118" s="129">
        <f>+U118*(1+Z119)</f>
        <v>5433.7587466086734</v>
      </c>
      <c r="AA118" s="129">
        <f>+V118*(1+AA119)</f>
        <v>5494.1272168462747</v>
      </c>
      <c r="AB118" s="136"/>
      <c r="AC118" s="129">
        <f>+X118*(1+AC119)</f>
        <v>5292.7485961098691</v>
      </c>
      <c r="AD118" s="129">
        <f>+Y118*(1+AD119)</f>
        <v>5834.2385887220344</v>
      </c>
      <c r="AE118" s="129">
        <f>+Z118*(1+AE119)</f>
        <v>5423.1846586918073</v>
      </c>
      <c r="AF118" s="129">
        <f>+AA118*(1+AF119)</f>
        <v>5482.516553561637</v>
      </c>
      <c r="AG118" s="136"/>
      <c r="AH118" s="129">
        <f>+AC118*(1+AH119)</f>
        <v>5268.2994407053657</v>
      </c>
      <c r="AI118" s="129">
        <f>+AD118*(1+AI119)</f>
        <v>5803.7394133718226</v>
      </c>
      <c r="AJ118" s="129">
        <f>+AE118*(1+AJ119)</f>
        <v>5390.7726265873762</v>
      </c>
      <c r="AK118" s="129">
        <f>+AF118*(1+AK119)</f>
        <v>5444.2255046853161</v>
      </c>
      <c r="AL118" s="136"/>
      <c r="AM118" s="129">
        <f>+AH118*(1+AM119)</f>
        <v>5225.0891574716925</v>
      </c>
      <c r="AN118" s="129">
        <f>+AI118*(1+AN119)</f>
        <v>5750.9394027926983</v>
      </c>
      <c r="AO118" s="129">
        <f>+AJ118*(1+AO119)</f>
        <v>5336.5140898241216</v>
      </c>
      <c r="AP118" s="129">
        <f>+AK118*(1+AP119)</f>
        <v>5383.8642706615219</v>
      </c>
      <c r="AQ118" s="136"/>
    </row>
    <row r="119" spans="2:43" outlineLevel="2" x14ac:dyDescent="0.3">
      <c r="B119" s="145" t="s">
        <v>204</v>
      </c>
      <c r="C119" s="128"/>
      <c r="D119" s="146">
        <f>+D118/1733-1</f>
        <v>-1.8234275822273438E-2</v>
      </c>
      <c r="E119" s="146">
        <f>+E118/1922-1</f>
        <v>-8.29864724245577E-2</v>
      </c>
      <c r="F119" s="146">
        <f>+F118/1875-1</f>
        <v>-0.13546666666666662</v>
      </c>
      <c r="G119" s="146">
        <f>+G118/1989-1</f>
        <v>-0.13423831070889891</v>
      </c>
      <c r="H119" s="147"/>
      <c r="I119" s="146">
        <f>+I118/D118-1</f>
        <v>1.8170918067473845</v>
      </c>
      <c r="J119" s="146">
        <f>+J118/E118-1</f>
        <v>2.0737021276595744</v>
      </c>
      <c r="K119" s="146">
        <f>+K118/F118-1</f>
        <v>2.231338679827267</v>
      </c>
      <c r="L119" s="146">
        <f>+L118/G118-1</f>
        <v>2.141347270615563</v>
      </c>
      <c r="M119" s="147"/>
      <c r="N119" s="146">
        <f>+N118/I118-1</f>
        <v>2.3471729605675007E-2</v>
      </c>
      <c r="O119" s="146">
        <f>+O118/J118-1</f>
        <v>5.3272787684129019E-2</v>
      </c>
      <c r="P119" s="146">
        <f>+P118/K118-1</f>
        <v>3.6655211912943964E-2</v>
      </c>
      <c r="Q119" s="146">
        <f>+Q118/L118-1</f>
        <v>1.9521573557141236E-2</v>
      </c>
      <c r="R119" s="147"/>
      <c r="S119" s="146">
        <f>+S118/N118-1</f>
        <v>8.347772907960449E-2</v>
      </c>
      <c r="T119" s="142">
        <f>AVERAGE(S119,Q119,P119,O119)-2%</f>
        <v>2.8231825558454677E-2</v>
      </c>
      <c r="U119" s="142">
        <f>AVERAGE(T119,S119,Q119,P119)-4%</f>
        <v>1.9715850270360866E-3</v>
      </c>
      <c r="V119" s="142">
        <f>AVERAGE(U119,T119,S119,Q119)-3.5%</f>
        <v>-1.6993216944408834E-3</v>
      </c>
      <c r="W119" s="147"/>
      <c r="X119" s="142">
        <f>AVERAGE(V119,U119,T119,S119)-3%</f>
        <v>-2.0045455073364055E-3</v>
      </c>
      <c r="Y119" s="142">
        <f>AVERAGE(X119,V119,U119,T119)-1%</f>
        <v>-3.3751141540716316E-3</v>
      </c>
      <c r="Z119" s="142">
        <f>AVERAGE(Y119,X119,V119,U119)</f>
        <v>-1.2768490822032085E-3</v>
      </c>
      <c r="AA119" s="142">
        <f>AVERAGE(Z119,Y119,X119,V119)</f>
        <v>-2.0889576095130323E-3</v>
      </c>
      <c r="AB119" s="147"/>
      <c r="AC119" s="142">
        <f>AVERAGE(AA119,Z119,Y119,X119)</f>
        <v>-2.1863665882810692E-3</v>
      </c>
      <c r="AD119" s="142">
        <f>AVERAGE(AC119,AA119,Z119,Y119)</f>
        <v>-2.2318218585172353E-3</v>
      </c>
      <c r="AE119" s="142">
        <f>AVERAGE(AD119,AC119,AA119,Z119)</f>
        <v>-1.9459987846286366E-3</v>
      </c>
      <c r="AF119" s="142">
        <f>AVERAGE(AE119,AD119,AC119,AA119)</f>
        <v>-2.1132862102349933E-3</v>
      </c>
      <c r="AG119" s="147"/>
      <c r="AH119" s="177">
        <f>AVERAGE(AF119,AE119,AD119,AC119)-0.25%</f>
        <v>-4.6193683604154843E-3</v>
      </c>
      <c r="AI119" s="177">
        <f>AVERAGE(AH119,AF119,AE119,AD119)-0.25%</f>
        <v>-5.2276188034490875E-3</v>
      </c>
      <c r="AJ119" s="177">
        <f>AVERAGE(AI119,AH119,AF119,AE119)-0.25%</f>
        <v>-5.9765680396820509E-3</v>
      </c>
      <c r="AK119" s="177">
        <f>AVERAGE(AJ119,AI119,AH119,AF119)-0.25%</f>
        <v>-6.9842103534454043E-3</v>
      </c>
      <c r="AL119" s="147"/>
      <c r="AM119" s="177">
        <f>AVERAGE(AK119,AJ119,AI119,AH119)-0.25%</f>
        <v>-8.2019413892480061E-3</v>
      </c>
      <c r="AN119" s="177">
        <f>AVERAGE(AM119,AK119,AJ119,AI119)-0.25%</f>
        <v>-9.0975846464561375E-3</v>
      </c>
      <c r="AO119" s="177">
        <f>AVERAGE(AN119,AM119,AK119,AJ119)-0.25%</f>
        <v>-1.00650761072079E-2</v>
      </c>
      <c r="AP119" s="177">
        <f>AVERAGE(AO119,AN119,AM119,AK119)-0.25%</f>
        <v>-1.1087203124089362E-2</v>
      </c>
      <c r="AQ119" s="147"/>
    </row>
    <row r="120" spans="2:43" outlineLevel="2" x14ac:dyDescent="0.3">
      <c r="B120" s="127" t="s">
        <v>189</v>
      </c>
      <c r="C120" s="128"/>
      <c r="D120" s="130">
        <v>2.2839999999999998</v>
      </c>
      <c r="E120" s="130">
        <v>2.31</v>
      </c>
      <c r="F120" s="130">
        <v>2.29</v>
      </c>
      <c r="G120" s="130">
        <v>2.29</v>
      </c>
      <c r="H120" s="136"/>
      <c r="I120" s="130">
        <v>1.44</v>
      </c>
      <c r="J120" s="130">
        <v>1.39</v>
      </c>
      <c r="K120" s="130">
        <v>1.45</v>
      </c>
      <c r="L120" s="130">
        <v>1.46</v>
      </c>
      <c r="M120" s="136"/>
      <c r="N120" s="130">
        <v>1.4750000000000001</v>
      </c>
      <c r="O120" s="130">
        <v>1.5589999999999999</v>
      </c>
      <c r="P120" s="130">
        <v>1.637</v>
      </c>
      <c r="Q120" s="130">
        <v>1.67</v>
      </c>
      <c r="R120" s="136"/>
      <c r="S120" s="130">
        <v>1.595</v>
      </c>
      <c r="T120" s="130">
        <f>+O120*(1+T121)</f>
        <v>1.7132395869315449</v>
      </c>
      <c r="U120" s="130">
        <f>+P120*(1+U121)</f>
        <v>1.7569479074690735</v>
      </c>
      <c r="V120" s="130">
        <f>+Q120*(1+V121)</f>
        <v>1.7774642923010773</v>
      </c>
      <c r="W120" s="136"/>
      <c r="X120" s="130">
        <f>+S120*(1+X121)</f>
        <v>1.6898681124812969</v>
      </c>
      <c r="Y120" s="130">
        <f>+T120*(1+Y121)</f>
        <v>1.8229024552661379</v>
      </c>
      <c r="Z120" s="130">
        <f>+U120*(1+Z121)</f>
        <v>1.8716372446994383</v>
      </c>
      <c r="AA120" s="130">
        <f>+V120*(1+AA121)</f>
        <v>1.8899400021834896</v>
      </c>
      <c r="AB120" s="136"/>
      <c r="AC120" s="130">
        <f>+X120*(1+AC121)</f>
        <v>1.7963483286987239</v>
      </c>
      <c r="AD120" s="130">
        <f>+Y120*(1+AD121)</f>
        <v>1.9393751542412141</v>
      </c>
      <c r="AE120" s="130">
        <f>+Z120*(1+AE121)</f>
        <v>1.9911700112027548</v>
      </c>
      <c r="AF120" s="130">
        <f>+AA120*(1+AF121)</f>
        <v>2.0099744149196899</v>
      </c>
      <c r="AG120" s="136"/>
      <c r="AH120" s="130">
        <f>+AC120*(1+AH121)</f>
        <v>1.9060525302052203</v>
      </c>
      <c r="AI120" s="130">
        <f>+AD120*(1+AI121)</f>
        <v>2.0568733629879463</v>
      </c>
      <c r="AJ120" s="130">
        <f>+AE120*(1+AJ121)</f>
        <v>2.1101592998303706</v>
      </c>
      <c r="AK120" s="130">
        <f>+AF120*(1+AK121)</f>
        <v>2.1280237493263043</v>
      </c>
      <c r="AL120" s="136"/>
      <c r="AM120" s="130">
        <f>+AH120*(1+AM121)</f>
        <v>2.0157203651964384</v>
      </c>
      <c r="AN120" s="130">
        <f>+AI120*(1+AN121)</f>
        <v>2.1734016492010122</v>
      </c>
      <c r="AO120" s="130">
        <f>+AJ120*(1+AO121)</f>
        <v>2.2276318583795955</v>
      </c>
      <c r="AP120" s="130">
        <f>+AK120*(1+AP121)</f>
        <v>2.2443157248698578</v>
      </c>
      <c r="AQ120" s="136"/>
    </row>
    <row r="121" spans="2:43" outlineLevel="2" x14ac:dyDescent="0.3">
      <c r="B121" s="145" t="s">
        <v>203</v>
      </c>
      <c r="C121" s="128"/>
      <c r="D121" s="146">
        <f>+D120/2.47-1</f>
        <v>-7.5303643724696556E-2</v>
      </c>
      <c r="E121" s="146">
        <f>+E120/2.43-1</f>
        <v>-4.9382716049382713E-2</v>
      </c>
      <c r="F121" s="146">
        <f>+F120/2.31-1</f>
        <v>-8.6580086580086979E-3</v>
      </c>
      <c r="G121" s="146">
        <f>+G120/2.34-1</f>
        <v>-2.1367521367521292E-2</v>
      </c>
      <c r="H121" s="147"/>
      <c r="I121" s="146">
        <f>+I120/D120-1</f>
        <v>-0.3695271453590192</v>
      </c>
      <c r="J121" s="146">
        <f>+J120/E120-1</f>
        <v>-0.39826839826839833</v>
      </c>
      <c r="K121" s="146">
        <f>+K120/F120-1</f>
        <v>-0.36681222707423589</v>
      </c>
      <c r="L121" s="146">
        <f>+L120/G120-1</f>
        <v>-0.36244541484716164</v>
      </c>
      <c r="M121" s="147"/>
      <c r="N121" s="146">
        <f>+N120/I120-1</f>
        <v>2.430555555555558E-2</v>
      </c>
      <c r="O121" s="146">
        <f>+O120/J120-1</f>
        <v>0.12158273381294959</v>
      </c>
      <c r="P121" s="146">
        <f>+P120/K120-1</f>
        <v>0.12896551724137928</v>
      </c>
      <c r="Q121" s="146">
        <f>+Q120/L120-1</f>
        <v>0.14383561643835607</v>
      </c>
      <c r="R121" s="147"/>
      <c r="S121" s="146">
        <f>+S120/N120-1</f>
        <v>8.1355932203389658E-2</v>
      </c>
      <c r="T121" s="142">
        <f>AVERAGE(S121,Q121,P121,O121)-2%</f>
        <v>9.8934949924018648E-2</v>
      </c>
      <c r="U121" s="142">
        <f>AVERAGE(T121,S121,Q121,P121)-4%</f>
        <v>7.3273003951785903E-2</v>
      </c>
      <c r="V121" s="142">
        <f>AVERAGE(U121,T121,S121,Q121)-3.5%</f>
        <v>6.4349875629387571E-2</v>
      </c>
      <c r="W121" s="147"/>
      <c r="X121" s="142">
        <f>AVERAGE(V121,U121,T121,S121)-2%</f>
        <v>5.9478440427145438E-2</v>
      </c>
      <c r="Y121" s="142">
        <f>AVERAGE(X121,V121,U121,T121)-1%</f>
        <v>6.4009067483084395E-2</v>
      </c>
      <c r="Z121" s="142">
        <f>AVERAGE(Y121,X121,V121,U121)</f>
        <v>6.5277596872850827E-2</v>
      </c>
      <c r="AA121" s="142">
        <f>AVERAGE(Z121,Y121,X121,V121)</f>
        <v>6.3278745103117068E-2</v>
      </c>
      <c r="AB121" s="147"/>
      <c r="AC121" s="142">
        <f>AVERAGE(AA121,Z121,Y121,X121)</f>
        <v>6.3010962471549428E-2</v>
      </c>
      <c r="AD121" s="142">
        <f>AVERAGE(AC121,AA121,Z121,Y121)</f>
        <v>6.3894092982650433E-2</v>
      </c>
      <c r="AE121" s="142">
        <f>AVERAGE(AD121,AC121,AA121,Z121)</f>
        <v>6.3865349357541942E-2</v>
      </c>
      <c r="AF121" s="142">
        <f>AVERAGE(AE121,AD121,AC121,AA121)</f>
        <v>6.3512287478714707E-2</v>
      </c>
      <c r="AG121" s="147"/>
      <c r="AH121" s="177">
        <f>AVERAGE(AF121,AE121,AD121,AC121)-0.25%</f>
        <v>6.1070673072614115E-2</v>
      </c>
      <c r="AI121" s="177">
        <f>AVERAGE(AH121,AF121,AE121,AD121)-0.25%</f>
        <v>6.0585600722880301E-2</v>
      </c>
      <c r="AJ121" s="177">
        <f>AVERAGE(AI121,AH121,AF121,AE121)-0.25%</f>
        <v>5.9758477657937764E-2</v>
      </c>
      <c r="AK121" s="177">
        <f>AVERAGE(AJ121,AI121,AH121,AF121)-0.25%</f>
        <v>5.8731759733036716E-2</v>
      </c>
      <c r="AL121" s="147"/>
      <c r="AM121" s="177">
        <f>AVERAGE(AK121,AJ121,AI121,AH121)-0.25%</f>
        <v>5.7536627796617223E-2</v>
      </c>
      <c r="AN121" s="177">
        <f>AVERAGE(AM121,AK121,AJ121,AI121)-0.25%</f>
        <v>5.6653116477617997E-2</v>
      </c>
      <c r="AO121" s="177">
        <f>AVERAGE(AN121,AM121,AK121,AJ121)-0.25%</f>
        <v>5.5669995416302423E-2</v>
      </c>
      <c r="AP121" s="177">
        <f>AVERAGE(AO121,AN121,AM121,AK121)-0.25%</f>
        <v>5.4647874855893584E-2</v>
      </c>
      <c r="AQ121" s="147"/>
    </row>
    <row r="122" spans="2:43" outlineLevel="2" x14ac:dyDescent="0.3">
      <c r="B122" s="132" t="s">
        <v>190</v>
      </c>
      <c r="C122" s="131"/>
      <c r="D122" s="148">
        <f>+D118*D120*D61/1000</f>
        <v>252.58984399999997</v>
      </c>
      <c r="E122" s="148">
        <f>+E118*E120*E61/1000</f>
        <v>256.49662499999999</v>
      </c>
      <c r="F122" s="148">
        <f>+F118*F120*F61/1000</f>
        <v>233.86167</v>
      </c>
      <c r="G122" s="148">
        <f>+G118*G120*G61/1000</f>
        <v>256.31970000000001</v>
      </c>
      <c r="H122" s="137"/>
      <c r="I122" s="148">
        <f>+I118*I120*I61/1000</f>
        <v>448.62479999999999</v>
      </c>
      <c r="J122" s="148">
        <f>+J118*J120*J61/1000</f>
        <v>474.40171799999996</v>
      </c>
      <c r="K122" s="148">
        <f>+K118*K120*K61/1000</f>
        <v>470.89619999999996</v>
      </c>
      <c r="L122" s="148">
        <f>+L118*L120*L61/1000</f>
        <v>513.35205999999994</v>
      </c>
      <c r="M122" s="137"/>
      <c r="N122" s="148">
        <f>+N118*N120*N61/1000</f>
        <v>470.31481250000002</v>
      </c>
      <c r="O122" s="148">
        <f>+O118*O120*O61/1000</f>
        <v>560.4262020000001</v>
      </c>
      <c r="P122" s="148">
        <f>+P118*P120*P61/1000</f>
        <v>551.11242000000004</v>
      </c>
      <c r="Q122" s="148">
        <f>+Q118*Q120*Q61/1000</f>
        <v>598.65324999999996</v>
      </c>
      <c r="R122" s="137"/>
      <c r="S122" s="148">
        <f>+S118*S120*S61/1000</f>
        <v>551.03262500000005</v>
      </c>
      <c r="T122" s="148">
        <f>+T118*T120*T61/1000</f>
        <v>633.25912941392585</v>
      </c>
      <c r="U122" s="148">
        <f>+U118*U120*U61/1000</f>
        <v>592.66026340523194</v>
      </c>
      <c r="V122" s="148">
        <f>+V118*V120*V61/1000</f>
        <v>636.09374431228855</v>
      </c>
      <c r="W122" s="137"/>
      <c r="X122" s="148">
        <f>+X118*X120*X61/1000</f>
        <v>582.63691808730937</v>
      </c>
      <c r="Y122" s="148">
        <f>+Y118*Y120*Y61/1000</f>
        <v>671.51932593339507</v>
      </c>
      <c r="Z122" s="148">
        <f>+Z118*Z120*Z61/1000</f>
        <v>630.54156542957605</v>
      </c>
      <c r="AA122" s="148">
        <f>+AA118*AA120*AA61/1000</f>
        <v>674.9321022731832</v>
      </c>
      <c r="AB122" s="137"/>
      <c r="AC122" s="148">
        <f>+AC118*AC120*AC61/1000</f>
        <v>617.99530616489119</v>
      </c>
      <c r="AD122" s="148">
        <f>+AD118*AD120*AD61/1000</f>
        <v>712.83097386161876</v>
      </c>
      <c r="AE122" s="148">
        <f>+AE118*AE120*AE61/1000</f>
        <v>669.50592477132227</v>
      </c>
      <c r="AF122" s="148">
        <f>+AF118*AF120*AF61/1000</f>
        <v>716.2816701321168</v>
      </c>
      <c r="AG122" s="137"/>
      <c r="AH122" s="148">
        <f>+AH118*AH120*AH61/1000</f>
        <v>652.70760612428865</v>
      </c>
      <c r="AI122" s="148">
        <f>+AI118*AI120*AI61/1000</f>
        <v>752.06609132053086</v>
      </c>
      <c r="AJ122" s="148">
        <f>+AJ118*AJ120*AJ61/1000</f>
        <v>705.27411745838947</v>
      </c>
      <c r="AK122" s="148">
        <f>+AK118*AK120*AK61/1000</f>
        <v>753.05367609279199</v>
      </c>
      <c r="AL122" s="137"/>
      <c r="AM122" s="148">
        <f>+AM118*AM120*AM61/1000</f>
        <v>684.60071060438145</v>
      </c>
      <c r="AN122" s="148">
        <f>+AN118*AN120*AN61/1000</f>
        <v>787.44337449653824</v>
      </c>
      <c r="AO122" s="148">
        <f>+AO118*AO120*AO61/1000</f>
        <v>737.04290554939587</v>
      </c>
      <c r="AP122" s="148">
        <f>+AP118*AP120*AP61/1000</f>
        <v>785.40093080869167</v>
      </c>
      <c r="AQ122" s="137"/>
    </row>
    <row r="123" spans="2:43" ht="16.2" outlineLevel="1" x14ac:dyDescent="0.45">
      <c r="B123" s="718" t="s">
        <v>191</v>
      </c>
      <c r="C123" s="719"/>
      <c r="D123" s="46"/>
      <c r="E123" s="46"/>
      <c r="F123" s="46"/>
      <c r="G123" s="46"/>
      <c r="H123" s="54"/>
      <c r="I123" s="46"/>
      <c r="J123" s="46"/>
      <c r="K123" s="46"/>
      <c r="L123" s="46"/>
      <c r="M123" s="54"/>
      <c r="N123" s="46"/>
      <c r="O123" s="46"/>
      <c r="P123" s="46"/>
      <c r="Q123" s="46"/>
      <c r="R123" s="50"/>
      <c r="S123" s="46"/>
      <c r="T123" s="47"/>
      <c r="U123" s="47"/>
      <c r="V123" s="47"/>
      <c r="W123" s="50"/>
      <c r="X123" s="47"/>
      <c r="Y123" s="47"/>
      <c r="Z123" s="47"/>
      <c r="AA123" s="47"/>
      <c r="AB123" s="50"/>
      <c r="AC123" s="47"/>
      <c r="AD123" s="47"/>
      <c r="AE123" s="47"/>
      <c r="AF123" s="47"/>
      <c r="AG123" s="50"/>
      <c r="AH123" s="47"/>
      <c r="AI123" s="47"/>
      <c r="AJ123" s="47"/>
      <c r="AK123" s="47"/>
      <c r="AL123" s="50"/>
      <c r="AM123" s="47"/>
      <c r="AN123" s="47"/>
      <c r="AO123" s="47"/>
      <c r="AP123" s="47"/>
      <c r="AQ123" s="50"/>
    </row>
    <row r="124" spans="2:43" outlineLevel="2" x14ac:dyDescent="0.3">
      <c r="B124" s="123" t="s">
        <v>373</v>
      </c>
      <c r="C124" s="287"/>
      <c r="D124" s="264">
        <v>790</v>
      </c>
      <c r="E124" s="264">
        <v>842</v>
      </c>
      <c r="F124" s="264">
        <v>793</v>
      </c>
      <c r="G124" s="264">
        <v>808.49</v>
      </c>
      <c r="H124" s="54"/>
      <c r="I124" s="264">
        <v>11153.5</v>
      </c>
      <c r="J124" s="264">
        <v>12592.5</v>
      </c>
      <c r="K124" s="264">
        <v>12578</v>
      </c>
      <c r="L124" s="264">
        <v>12794.5</v>
      </c>
      <c r="M124" s="54"/>
      <c r="N124" s="264">
        <v>10281</v>
      </c>
      <c r="O124" s="264">
        <v>13230.5</v>
      </c>
      <c r="P124" s="264">
        <v>13209.4</v>
      </c>
      <c r="Q124" s="264">
        <v>13738</v>
      </c>
      <c r="R124" s="50"/>
      <c r="S124" s="264">
        <v>13459</v>
      </c>
      <c r="T124" s="124">
        <f>+O124*(1+T125)</f>
        <v>14565.855560272161</v>
      </c>
      <c r="U124" s="124">
        <f>+P124*(1+U125)</f>
        <v>14444.43059748815</v>
      </c>
      <c r="V124" s="124">
        <f>+Q124*(1+V125)</f>
        <v>15239.848315386347</v>
      </c>
      <c r="W124" s="50"/>
      <c r="X124" s="124">
        <f>+S124*(1+X125)</f>
        <v>15117.354293054355</v>
      </c>
      <c r="Y124" s="124">
        <f>+T124*(1+Y125)</f>
        <v>15974.965315844622</v>
      </c>
      <c r="Z124" s="124">
        <f>+U124*(1+Z125)</f>
        <v>15971.109270394505</v>
      </c>
      <c r="AA124" s="124">
        <f>+V124*(1+AA125)</f>
        <v>16897.066978859773</v>
      </c>
      <c r="AB124" s="50"/>
      <c r="AC124" s="124">
        <f>+X124*(1+AC125)</f>
        <v>16759.067158475154</v>
      </c>
      <c r="AD124" s="124">
        <f>+Y124*(1+AD125)</f>
        <v>17651.434929691528</v>
      </c>
      <c r="AE124" s="124">
        <f>+Z124*(1+AE125)</f>
        <v>17679.926739559171</v>
      </c>
      <c r="AF124" s="124">
        <f>+AA124*(1+AF125)</f>
        <v>18710.452608009244</v>
      </c>
      <c r="AG124" s="50"/>
      <c r="AH124" s="124">
        <f>+AC124*(1+AH125)</f>
        <v>18509.78336256574</v>
      </c>
      <c r="AI124" s="124">
        <f>+AD124*(1+AI125)</f>
        <v>19477.128196972542</v>
      </c>
      <c r="AJ124" s="124">
        <f>+AE124*(1+AJ125)</f>
        <v>19501.878388628826</v>
      </c>
      <c r="AK124" s="124">
        <f>+AF124*(1+AK125)</f>
        <v>20620.161457368209</v>
      </c>
      <c r="AL124" s="50"/>
      <c r="AM124" s="124">
        <f>+AH124*(1+AM125)</f>
        <v>20374.702029233875</v>
      </c>
      <c r="AN124" s="124">
        <f>+AI124*(1+AN125)</f>
        <v>21421.441496898216</v>
      </c>
      <c r="AO124" s="124">
        <f>+AJ124*(1+AO125)</f>
        <v>21431.087088810022</v>
      </c>
      <c r="AP124" s="124">
        <f>+AK124*(1+AP125)</f>
        <v>22638.716802828185</v>
      </c>
      <c r="AQ124" s="50"/>
    </row>
    <row r="125" spans="2:43" outlineLevel="2" x14ac:dyDescent="0.3">
      <c r="B125" s="141" t="s">
        <v>204</v>
      </c>
      <c r="C125" s="287"/>
      <c r="D125" s="166">
        <f>+D124/1059-1</f>
        <v>-0.25401322001888571</v>
      </c>
      <c r="E125" s="166">
        <f>+E124/1061-1</f>
        <v>-0.20640904806786053</v>
      </c>
      <c r="F125" s="166">
        <f>+F124/948-1</f>
        <v>-0.1635021097046413</v>
      </c>
      <c r="G125" s="166">
        <f>+G124/964-1</f>
        <v>-0.16131742738589205</v>
      </c>
      <c r="H125" s="84"/>
      <c r="I125" s="166">
        <f>+I124/D124-1</f>
        <v>13.118354430379746</v>
      </c>
      <c r="J125" s="166">
        <f>+J124/E124-1</f>
        <v>13.955463182897862</v>
      </c>
      <c r="K125" s="166">
        <f>+K124/F124-1</f>
        <v>14.861286254728878</v>
      </c>
      <c r="L125" s="166">
        <f>+L124/G124-1</f>
        <v>14.825180274338582</v>
      </c>
      <c r="M125" s="84"/>
      <c r="N125" s="166">
        <f>+N124/I124-1</f>
        <v>-7.822656565203745E-2</v>
      </c>
      <c r="O125" s="166">
        <f>+O124/J124-1</f>
        <v>5.0665078419694254E-2</v>
      </c>
      <c r="P125" s="166">
        <f>+P124/K124-1</f>
        <v>5.0198759739227272E-2</v>
      </c>
      <c r="Q125" s="166">
        <f>+Q124/L124-1</f>
        <v>7.3742623783657146E-2</v>
      </c>
      <c r="R125" s="57"/>
      <c r="S125" s="166">
        <f>+S124/N124-1</f>
        <v>0.30911389942612577</v>
      </c>
      <c r="T125" s="142">
        <f>AVERAGE(S125,Q125,P125,O125)-2%</f>
        <v>0.10093009034217611</v>
      </c>
      <c r="U125" s="142">
        <f>AVERAGE(T125,S125,Q125,P125)-4%</f>
        <v>9.3496343322796577E-2</v>
      </c>
      <c r="V125" s="142">
        <f>AVERAGE(U125,T125,S125,Q125)-3.5%</f>
        <v>0.1093207392186889</v>
      </c>
      <c r="W125" s="57"/>
      <c r="X125" s="142">
        <f>AVERAGE(V125,U125,T125,S125)-3%</f>
        <v>0.12321526807744684</v>
      </c>
      <c r="Y125" s="142">
        <f>AVERAGE(X125,V125,U125,T125)-1%</f>
        <v>9.6740610240277108E-2</v>
      </c>
      <c r="Z125" s="142">
        <f>AVERAGE(Y125,X125,V125,U125)</f>
        <v>0.10569324021480236</v>
      </c>
      <c r="AA125" s="142">
        <f>AVERAGE(Z125,Y125,X125,V125)</f>
        <v>0.1087424644378038</v>
      </c>
      <c r="AB125" s="57"/>
      <c r="AC125" s="142">
        <f>AVERAGE(AA125,Z125,Y125,X125)</f>
        <v>0.10859789574258252</v>
      </c>
      <c r="AD125" s="142">
        <f>AVERAGE(AC125,AA125,Z125,Y125)</f>
        <v>0.10494355265886646</v>
      </c>
      <c r="AE125" s="142">
        <f>AVERAGE(AD125,AC125,AA125,Z125)</f>
        <v>0.10699428826351379</v>
      </c>
      <c r="AF125" s="142">
        <f>AVERAGE(AE125,AD125,AC125,AA125)</f>
        <v>0.10731955027569165</v>
      </c>
      <c r="AG125" s="57"/>
      <c r="AH125" s="177">
        <f>AVERAGE(AF125,AE125,AD125,AC125)-0.25%</f>
        <v>0.10446382173516361</v>
      </c>
      <c r="AI125" s="177">
        <f>AVERAGE(AH125,AF125,AE125,AD125)-0.25%</f>
        <v>0.10343030323330887</v>
      </c>
      <c r="AJ125" s="177">
        <f>AVERAGE(AI125,AH125,AF125,AE125)-0.25%</f>
        <v>0.10305199087691946</v>
      </c>
      <c r="AK125" s="177">
        <f>AVERAGE(AJ125,AI125,AH125,AF125)-0.25%</f>
        <v>0.1020664165302709</v>
      </c>
      <c r="AL125" s="57"/>
      <c r="AM125" s="177">
        <f>AVERAGE(AK125,AJ125,AI125,AH125)-0.25%</f>
        <v>0.10075313309391572</v>
      </c>
      <c r="AN125" s="177">
        <f>AVERAGE(AM125,AK125,AJ125,AI125)-0.25%</f>
        <v>9.9825460933603741E-2</v>
      </c>
      <c r="AO125" s="177">
        <f>AVERAGE(AN125,AM125,AK125,AJ125)-0.25%</f>
        <v>9.8924250358677454E-2</v>
      </c>
      <c r="AP125" s="177">
        <f>AVERAGE(AO125,AN125,AM125,AK125)-0.25%</f>
        <v>9.7892315229116955E-2</v>
      </c>
      <c r="AQ125" s="57"/>
    </row>
    <row r="126" spans="2:43" outlineLevel="2" x14ac:dyDescent="0.3">
      <c r="B126" s="123" t="s">
        <v>192</v>
      </c>
      <c r="C126" s="287"/>
      <c r="D126" s="143">
        <v>1.89</v>
      </c>
      <c r="E126" s="143">
        <v>1.84</v>
      </c>
      <c r="F126" s="143">
        <v>1.83</v>
      </c>
      <c r="G126" s="143">
        <v>1.8744000000000001</v>
      </c>
      <c r="H126" s="54"/>
      <c r="I126" s="143">
        <v>0.56499999999999995</v>
      </c>
      <c r="J126" s="143">
        <v>0.52800000000000002</v>
      </c>
      <c r="K126" s="143">
        <v>0.56000000000000005</v>
      </c>
      <c r="L126" s="143">
        <v>0.56899999999999995</v>
      </c>
      <c r="M126" s="54"/>
      <c r="N126" s="143">
        <v>0.56999999999999995</v>
      </c>
      <c r="O126" s="143">
        <v>0.57699999999999996</v>
      </c>
      <c r="P126" s="143">
        <v>0.60099999999999998</v>
      </c>
      <c r="Q126" s="143">
        <v>0.63</v>
      </c>
      <c r="R126" s="50"/>
      <c r="S126" s="143">
        <v>0.59299999999999997</v>
      </c>
      <c r="T126" s="143">
        <f>+O126*(1+T127)</f>
        <v>0.61069302311838869</v>
      </c>
      <c r="U126" s="143">
        <f>+P126*(1+U127)</f>
        <v>0.61890442722329475</v>
      </c>
      <c r="V126" s="143">
        <f>+Q126*(1+V127)</f>
        <v>0.64507920996396761</v>
      </c>
      <c r="W126" s="50"/>
      <c r="X126" s="143">
        <f>+S126*(1+X127)</f>
        <v>0.59781377321816354</v>
      </c>
      <c r="Y126" s="143">
        <f>+T126*(1+Y127)</f>
        <v>0.62294313277266444</v>
      </c>
      <c r="Z126" s="143">
        <f>+U126*(1+Z127)</f>
        <v>0.63157701108282194</v>
      </c>
      <c r="AA126" s="143">
        <f>+V126*(1+AA127)</f>
        <v>0.65678547949133226</v>
      </c>
      <c r="AB126" s="50"/>
      <c r="AC126" s="143">
        <f>+X126*(1+AC127)</f>
        <v>0.6077972450966681</v>
      </c>
      <c r="AD126" s="143">
        <f>+Y126*(1+AD127)</f>
        <v>0.63468283669072723</v>
      </c>
      <c r="AE126" s="143">
        <f>+Z126*(1+AE127)</f>
        <v>0.64328777141827598</v>
      </c>
      <c r="AF126" s="143">
        <f>+AA126*(1+AF127)</f>
        <v>0.66864614465813721</v>
      </c>
      <c r="AG126" s="50"/>
      <c r="AH126" s="143">
        <f>+AC126*(1+AH127)</f>
        <v>0.61724032797230954</v>
      </c>
      <c r="AI126" s="143">
        <f>+AD126*(1+AI127)</f>
        <v>0.64435903151326113</v>
      </c>
      <c r="AJ126" s="143">
        <f>+AE126*(1+AJ127)</f>
        <v>0.6525162230054008</v>
      </c>
      <c r="AK126" s="143">
        <f>+AF126*(1+AK127)</f>
        <v>0.6775369156192278</v>
      </c>
      <c r="AL126" s="50"/>
      <c r="AM126" s="143">
        <f>+AH126*(1+AM127)</f>
        <v>0.62471275039228413</v>
      </c>
      <c r="AN126" s="143">
        <f>+AI126*(1+AN127)</f>
        <v>0.65160715753230702</v>
      </c>
      <c r="AO126" s="143">
        <f>+AJ126*(1+AO127)</f>
        <v>0.65920405719046171</v>
      </c>
      <c r="AP126" s="143">
        <f>+AK126*(1+AP127)</f>
        <v>0.68378731867301124</v>
      </c>
      <c r="AQ126" s="50"/>
    </row>
    <row r="127" spans="2:43" outlineLevel="2" x14ac:dyDescent="0.3">
      <c r="B127" s="141" t="s">
        <v>203</v>
      </c>
      <c r="C127" s="287"/>
      <c r="D127" s="166">
        <f>+D126/1.78-1</f>
        <v>6.1797752808988804E-2</v>
      </c>
      <c r="E127" s="166">
        <f>+E126/1.76-1</f>
        <v>4.5454545454545414E-2</v>
      </c>
      <c r="F127" s="166">
        <f>+F126/1.72-1</f>
        <v>6.3953488372093137E-2</v>
      </c>
      <c r="G127" s="166">
        <f>+G126/1.75-1</f>
        <v>7.1085714285714419E-2</v>
      </c>
      <c r="H127" s="84"/>
      <c r="I127" s="166">
        <f>+I126/D126-1</f>
        <v>-0.70105820105820105</v>
      </c>
      <c r="J127" s="166">
        <f>+J126/E126-1</f>
        <v>-0.71304347826086956</v>
      </c>
      <c r="K127" s="166">
        <f>+K126/F126-1</f>
        <v>-0.69398907103825136</v>
      </c>
      <c r="L127" s="166">
        <f>+L126/G126-1</f>
        <v>-0.6964361929150662</v>
      </c>
      <c r="M127" s="84"/>
      <c r="N127" s="166">
        <f>+N126/I126-1</f>
        <v>8.8495575221239076E-3</v>
      </c>
      <c r="O127" s="166">
        <f>+O126/J126-1</f>
        <v>9.2803030303030276E-2</v>
      </c>
      <c r="P127" s="166">
        <f>+P126/K126-1</f>
        <v>7.3214285714285676E-2</v>
      </c>
      <c r="Q127" s="166">
        <f>+Q126/L126-1</f>
        <v>0.10720562390158173</v>
      </c>
      <c r="R127" s="57"/>
      <c r="S127" s="166">
        <f>+S126/N126-1</f>
        <v>4.0350877192982582E-2</v>
      </c>
      <c r="T127" s="142">
        <f>AVERAGE(S127,Q127,P127,O127)-2%</f>
        <v>5.8393454277970061E-2</v>
      </c>
      <c r="U127" s="142">
        <f>AVERAGE(T127,S127,Q127,P127)-4%</f>
        <v>2.9791060271705007E-2</v>
      </c>
      <c r="V127" s="142">
        <f>AVERAGE(U127,T127,S127,Q127)-3.5%</f>
        <v>2.3935253911059842E-2</v>
      </c>
      <c r="W127" s="57"/>
      <c r="X127" s="142">
        <f>AVERAGE(V127,U127,T127,S127)-3%</f>
        <v>8.1176614134293723E-3</v>
      </c>
      <c r="Y127" s="142">
        <f>AVERAGE(X127,V127,U127,T127)-1%</f>
        <v>2.0059357468541067E-2</v>
      </c>
      <c r="Z127" s="142">
        <f>AVERAGE(Y127,X127,V127,U127)</f>
        <v>2.0475833266183824E-2</v>
      </c>
      <c r="AA127" s="142">
        <f>AVERAGE(Z127,Y127,X127,V127)</f>
        <v>1.8147026514803526E-2</v>
      </c>
      <c r="AB127" s="57"/>
      <c r="AC127" s="142">
        <f>AVERAGE(AA127,Z127,Y127,X127)</f>
        <v>1.6699969665739448E-2</v>
      </c>
      <c r="AD127" s="142">
        <f>AVERAGE(AC127,AA127,Z127,Y127)</f>
        <v>1.8845546728816966E-2</v>
      </c>
      <c r="AE127" s="142">
        <f>AVERAGE(AD127,AC127,AA127,Z127)</f>
        <v>1.8542094043885942E-2</v>
      </c>
      <c r="AF127" s="142">
        <f>AVERAGE(AE127,AD127,AC127,AA127)</f>
        <v>1.8058659238311472E-2</v>
      </c>
      <c r="AG127" s="57"/>
      <c r="AH127" s="177">
        <f>AVERAGE(AF127,AE127,AD127,AC127)-0.25%</f>
        <v>1.5536567419188458E-2</v>
      </c>
      <c r="AI127" s="177">
        <f>AVERAGE(AH127,AF127,AE127,AD127)-0.25%</f>
        <v>1.5245716857550709E-2</v>
      </c>
      <c r="AJ127" s="177">
        <f>AVERAGE(AI127,AH127,AF127,AE127)-0.25%</f>
        <v>1.4345759389734146E-2</v>
      </c>
      <c r="AK127" s="177">
        <f>AVERAGE(AJ127,AI127,AH127,AF127)-0.25%</f>
        <v>1.3296675726196196E-2</v>
      </c>
      <c r="AL127" s="57"/>
      <c r="AM127" s="177">
        <f>AVERAGE(AK127,AJ127,AI127,AH127)-0.25%</f>
        <v>1.2106179848167377E-2</v>
      </c>
      <c r="AN127" s="177">
        <f>AVERAGE(AM127,AK127,AJ127,AI127)-0.25%</f>
        <v>1.1248582955412107E-2</v>
      </c>
      <c r="AO127" s="177">
        <f>AVERAGE(AN127,AM127,AK127,AJ127)-0.25%</f>
        <v>1.0249299479877455E-2</v>
      </c>
      <c r="AP127" s="177">
        <f>AVERAGE(AO127,AN127,AM127,AK127)-0.25%</f>
        <v>9.2251845024132837E-3</v>
      </c>
      <c r="AQ127" s="57"/>
    </row>
    <row r="128" spans="2:43" outlineLevel="2" x14ac:dyDescent="0.3">
      <c r="B128" s="119" t="s">
        <v>193</v>
      </c>
      <c r="C128" s="120"/>
      <c r="D128" s="144">
        <f>+D124*D126*D61/1000</f>
        <v>97.051500000000004</v>
      </c>
      <c r="E128" s="144">
        <f>+E124*E126*E61/1000</f>
        <v>97.604640000000003</v>
      </c>
      <c r="F128" s="144">
        <f>+F124*F126*F61/1000</f>
        <v>91.424970000000002</v>
      </c>
      <c r="G128" s="144">
        <f>+G124*G126*G61/1000</f>
        <v>98.503187640000007</v>
      </c>
      <c r="H128" s="56"/>
      <c r="I128" s="144">
        <f>+I124*I126*I61/1000</f>
        <v>409.61228749999992</v>
      </c>
      <c r="J128" s="144">
        <f>+J124*J126*J61/1000</f>
        <v>418.87691999999998</v>
      </c>
      <c r="K128" s="144">
        <f>+K124*K126*K61/1000</f>
        <v>436.70816000000002</v>
      </c>
      <c r="L128" s="144">
        <f>+L124*L126*L61/1000</f>
        <v>473.20458249999996</v>
      </c>
      <c r="M128" s="56"/>
      <c r="N128" s="144">
        <f>+N124*N126*N61/1000</f>
        <v>380.91104999999993</v>
      </c>
      <c r="O128" s="144">
        <f>+O124*O126*O61/1000</f>
        <v>480.94190550000002</v>
      </c>
      <c r="P128" s="144">
        <f>+P124*P126*P61/1000</f>
        <v>492.20866279999996</v>
      </c>
      <c r="Q128" s="144">
        <f>+Q124*Q126*Q61/1000</f>
        <v>562.5711</v>
      </c>
      <c r="R128" s="51"/>
      <c r="S128" s="144">
        <f>+S124*S126*S61/1000</f>
        <v>518.77715499999999</v>
      </c>
      <c r="T128" s="144">
        <f>+T124*T126*T61/1000</f>
        <v>560.40178108372902</v>
      </c>
      <c r="U128" s="144">
        <f>+U124*U126*U61/1000</f>
        <v>554.26276682131243</v>
      </c>
      <c r="V128" s="144">
        <f>+V124*V126*V61/1000</f>
        <v>639.00910523190828</v>
      </c>
      <c r="W128" s="51"/>
      <c r="X128" s="144">
        <f>+X124*X126*X61/1000</f>
        <v>587.42856971543074</v>
      </c>
      <c r="Y128" s="144">
        <f>+Y124*Y126*Y61/1000</f>
        <v>626.94418120657508</v>
      </c>
      <c r="Z128" s="144">
        <f>+Z124*Z126*Z61/1000</f>
        <v>625.39309831372043</v>
      </c>
      <c r="AA128" s="144">
        <f>+AA124*AA126*AA61/1000</f>
        <v>721.35363545099221</v>
      </c>
      <c r="AB128" s="51"/>
      <c r="AC128" s="144">
        <f>+AC124*AC126*AC61/1000</f>
        <v>662.09746520523095</v>
      </c>
      <c r="AD128" s="144">
        <f>+AD124*AD126*AD61/1000</f>
        <v>705.79295594881955</v>
      </c>
      <c r="AE128" s="144">
        <f>+AE124*AE126*AE61/1000</f>
        <v>705.14340161002315</v>
      </c>
      <c r="AF128" s="144">
        <f>+AF124*AF126*AF61/1000</f>
        <v>813.19368007502101</v>
      </c>
      <c r="AG128" s="51"/>
      <c r="AH128" s="144">
        <f>+AH124*AH126*AH61/1000</f>
        <v>742.62400897142095</v>
      </c>
      <c r="AI128" s="144">
        <f>+AI124*AI126*AI61/1000</f>
        <v>790.66659808463407</v>
      </c>
      <c r="AJ128" s="144">
        <f>+AJ124*AJ126*AJ61/1000</f>
        <v>788.9681057148415</v>
      </c>
      <c r="AK128" s="144">
        <f>+AK124*AK126*AK61/1000</f>
        <v>908.10983857072301</v>
      </c>
      <c r="AL128" s="51"/>
      <c r="AM128" s="144">
        <f>+AM124*AM126*AM61/1000</f>
        <v>827.34184930188667</v>
      </c>
      <c r="AN128" s="144">
        <f>+AN124*AN126*AN61/1000</f>
        <v>879.37697005442271</v>
      </c>
      <c r="AO128" s="144">
        <f>+AO124*AO126*AO61/1000</f>
        <v>875.90249265463262</v>
      </c>
      <c r="AP128" s="144">
        <f>+AP124*AP126*AP61/1000</f>
        <v>1006.2043849522295</v>
      </c>
      <c r="AQ128" s="51"/>
    </row>
    <row r="129" spans="2:43" ht="16.2" outlineLevel="1" x14ac:dyDescent="0.45">
      <c r="B129" s="749" t="s">
        <v>194</v>
      </c>
      <c r="C129" s="750"/>
      <c r="D129" s="126"/>
      <c r="E129" s="126"/>
      <c r="F129" s="126"/>
      <c r="G129" s="126"/>
      <c r="H129" s="136"/>
      <c r="I129" s="126"/>
      <c r="J129" s="126"/>
      <c r="K129" s="126"/>
      <c r="L129" s="126"/>
      <c r="M129" s="136"/>
      <c r="N129" s="126"/>
      <c r="O129" s="126"/>
      <c r="P129" s="126"/>
      <c r="Q129" s="126"/>
      <c r="R129" s="136"/>
      <c r="S129" s="126"/>
      <c r="T129" s="126"/>
      <c r="U129" s="126"/>
      <c r="V129" s="126"/>
      <c r="W129" s="136"/>
      <c r="X129" s="126"/>
      <c r="Y129" s="126"/>
      <c r="Z129" s="126"/>
      <c r="AA129" s="126"/>
      <c r="AB129" s="136"/>
      <c r="AC129" s="126"/>
      <c r="AD129" s="126"/>
      <c r="AE129" s="126"/>
      <c r="AF129" s="126"/>
      <c r="AG129" s="136"/>
      <c r="AH129" s="126"/>
      <c r="AI129" s="126"/>
      <c r="AJ129" s="126"/>
      <c r="AK129" s="126"/>
      <c r="AL129" s="136"/>
      <c r="AM129" s="126"/>
      <c r="AN129" s="126"/>
      <c r="AO129" s="126"/>
      <c r="AP129" s="126"/>
      <c r="AQ129" s="136"/>
    </row>
    <row r="130" spans="2:43" outlineLevel="2" x14ac:dyDescent="0.3">
      <c r="B130" s="127" t="s">
        <v>374</v>
      </c>
      <c r="C130" s="128"/>
      <c r="D130" s="129">
        <v>609</v>
      </c>
      <c r="E130" s="129">
        <v>678</v>
      </c>
      <c r="F130" s="129">
        <v>622</v>
      </c>
      <c r="G130" s="129">
        <v>586</v>
      </c>
      <c r="H130" s="136"/>
      <c r="I130" s="129">
        <v>1869.4</v>
      </c>
      <c r="J130" s="129">
        <v>1958.5</v>
      </c>
      <c r="K130" s="129">
        <v>1995</v>
      </c>
      <c r="L130" s="129">
        <v>1787</v>
      </c>
      <c r="M130" s="136"/>
      <c r="N130" s="129">
        <v>1853</v>
      </c>
      <c r="O130" s="129">
        <v>2145</v>
      </c>
      <c r="P130" s="129">
        <v>1951</v>
      </c>
      <c r="Q130" s="129">
        <v>1811</v>
      </c>
      <c r="R130" s="136"/>
      <c r="S130" s="129">
        <v>1717</v>
      </c>
      <c r="T130" s="129">
        <f>+O130*(1+T131)</f>
        <v>2109.1820580846293</v>
      </c>
      <c r="U130" s="129">
        <f>+P130*(1+U131)</f>
        <v>1824.8104689856225</v>
      </c>
      <c r="V130" s="129">
        <f>+Q130*(1+V131)</f>
        <v>1683.6224468299336</v>
      </c>
      <c r="W130" s="136"/>
      <c r="X130" s="129">
        <f>+S130*(1+X131)</f>
        <v>1568.8625081432428</v>
      </c>
      <c r="Y130" s="129">
        <f>+T130*(1+Y131)</f>
        <v>1962.5990918114405</v>
      </c>
      <c r="Z130" s="129">
        <f>+U130*(1+Z131)</f>
        <v>1692.1516004696755</v>
      </c>
      <c r="AA130" s="129">
        <f>+V130*(1+AA131)</f>
        <v>1557.8527804701482</v>
      </c>
      <c r="AB130" s="136"/>
      <c r="AC130" s="129">
        <f>+X130*(1+AC131)</f>
        <v>1449.9530701570607</v>
      </c>
      <c r="AD130" s="129">
        <f>+Y130*(1+AD131)</f>
        <v>1818.9907538338114</v>
      </c>
      <c r="AE130" s="129">
        <f>+Z130*(1+AE131)</f>
        <v>1566.7779302080394</v>
      </c>
      <c r="AF130" s="129">
        <f>+AA130*(1+AF131)</f>
        <v>1441.886594832735</v>
      </c>
      <c r="AG130" s="136"/>
      <c r="AH130" s="129">
        <f>+AC130*(1+AH131)</f>
        <v>1338.4890254575935</v>
      </c>
      <c r="AI130" s="129">
        <f>+AD130*(1+AI131)</f>
        <v>1678.6657098442593</v>
      </c>
      <c r="AJ130" s="129">
        <f>+AE130*(1+AJ131)</f>
        <v>1444.3539258336268</v>
      </c>
      <c r="AK130" s="129">
        <f>+AF130*(1+AK131)</f>
        <v>1327.7627538865747</v>
      </c>
      <c r="AL130" s="136"/>
      <c r="AM130" s="129">
        <f>+AH130*(1+AM131)</f>
        <v>1230.9731885012163</v>
      </c>
      <c r="AN130" s="129">
        <f>+AI130*(1+AN131)</f>
        <v>1542.3760453987713</v>
      </c>
      <c r="AO130" s="129">
        <f>+AJ130*(1+AO131)</f>
        <v>1325.6273251371117</v>
      </c>
      <c r="AP130" s="129">
        <f>+AK130*(1+AP131)</f>
        <v>1217.2713104286665</v>
      </c>
      <c r="AQ130" s="136"/>
    </row>
    <row r="131" spans="2:43" outlineLevel="2" x14ac:dyDescent="0.3">
      <c r="B131" s="145" t="s">
        <v>204</v>
      </c>
      <c r="C131" s="128"/>
      <c r="D131" s="146">
        <f>+D130/670-1</f>
        <v>-9.1044776119402981E-2</v>
      </c>
      <c r="E131" s="146">
        <f>+E130/630-1</f>
        <v>7.6190476190476142E-2</v>
      </c>
      <c r="F131" s="146">
        <f>+F130/718-1</f>
        <v>-0.13370473537604455</v>
      </c>
      <c r="G131" s="146">
        <f>+G130/716.4-1</f>
        <v>-0.18202121719709652</v>
      </c>
      <c r="H131" s="147"/>
      <c r="I131" s="146">
        <f>+I130/D130-1</f>
        <v>2.0696223316912974</v>
      </c>
      <c r="J131" s="146">
        <f>+J130/E130-1</f>
        <v>1.8886430678466075</v>
      </c>
      <c r="K131" s="146">
        <f>+K130/F130-1</f>
        <v>2.207395498392283</v>
      </c>
      <c r="L131" s="146">
        <f>+L130/G130-1</f>
        <v>2.0494880546075085</v>
      </c>
      <c r="M131" s="147"/>
      <c r="N131" s="146">
        <f>+N130/I130-1</f>
        <v>-8.7728682999893559E-3</v>
      </c>
      <c r="O131" s="146">
        <f>+O130/J130-1</f>
        <v>9.5225938218024053E-2</v>
      </c>
      <c r="P131" s="146">
        <f>+P130/K130-1</f>
        <v>-2.205513784461155E-2</v>
      </c>
      <c r="Q131" s="146">
        <f>+Q130/L130-1</f>
        <v>1.3430330162283122E-2</v>
      </c>
      <c r="R131" s="147"/>
      <c r="S131" s="146">
        <f>+S130/N130-1</f>
        <v>-7.3394495412844041E-2</v>
      </c>
      <c r="T131" s="142">
        <f>AVERAGE(S131,Q131,P131,O131)-2%</f>
        <v>-1.6698341219287104E-2</v>
      </c>
      <c r="U131" s="142">
        <f>AVERAGE(T131,S131,Q131,P131)-4%</f>
        <v>-6.4679411078614898E-2</v>
      </c>
      <c r="V131" s="142">
        <f>AVERAGE(U131,T131,S131,Q131)-3.5%</f>
        <v>-7.0335479387115735E-2</v>
      </c>
      <c r="W131" s="147"/>
      <c r="X131" s="142">
        <f>AVERAGE(V131,U131,T131,S131)-3%</f>
        <v>-8.6276931774465437E-2</v>
      </c>
      <c r="Y131" s="142">
        <f>AVERAGE(X131,V131,U131,T131)-1%</f>
        <v>-6.9497540864870783E-2</v>
      </c>
      <c r="Z131" s="142">
        <f>AVERAGE(Y131,X131,V131,U131)</f>
        <v>-7.2697340776266717E-2</v>
      </c>
      <c r="AA131" s="142">
        <f>AVERAGE(Z131,Y131,X131,V131)</f>
        <v>-7.4701823200679668E-2</v>
      </c>
      <c r="AB131" s="147"/>
      <c r="AC131" s="142">
        <f>AVERAGE(AA131,Z131,Y131,X131)</f>
        <v>-7.5793409154070651E-2</v>
      </c>
      <c r="AD131" s="142">
        <f>AVERAGE(AC131,AA131,Z131,Y131)</f>
        <v>-7.3172528498971962E-2</v>
      </c>
      <c r="AE131" s="142">
        <f>AVERAGE(AD131,AC131,AA131,Z131)</f>
        <v>-7.4091275407497242E-2</v>
      </c>
      <c r="AF131" s="142">
        <f>AVERAGE(AE131,AD131,AC131,AA131)</f>
        <v>-7.4439759065304881E-2</v>
      </c>
      <c r="AG131" s="147"/>
      <c r="AH131" s="177">
        <f>AVERAGE(AF131,AE131,AD131,AC131)-0.25%</f>
        <v>-7.687424303146119E-2</v>
      </c>
      <c r="AI131" s="177">
        <f>AVERAGE(AH131,AF131,AE131,AD131)-0.25%</f>
        <v>-7.7144451500808814E-2</v>
      </c>
      <c r="AJ131" s="177">
        <f>AVERAGE(AI131,AH131,AF131,AE131)-0.25%</f>
        <v>-7.8137432251268041E-2</v>
      </c>
      <c r="AK131" s="177">
        <f>AVERAGE(AJ131,AI131,AH131,AF131)-0.25%</f>
        <v>-7.9148971462210727E-2</v>
      </c>
      <c r="AL131" s="147"/>
      <c r="AM131" s="177">
        <f>AVERAGE(AK131,AJ131,AI131,AH131)-0.25%</f>
        <v>-8.0326274561437191E-2</v>
      </c>
      <c r="AN131" s="177">
        <f>AVERAGE(AM131,AK131,AJ131,AI131)-0.25%</f>
        <v>-8.1189282443931199E-2</v>
      </c>
      <c r="AO131" s="177">
        <f>AVERAGE(AN131,AM131,AK131,AJ131)-0.25%</f>
        <v>-8.2200490179711788E-2</v>
      </c>
      <c r="AP131" s="177">
        <f>AVERAGE(AO131,AN131,AM131,AK131)-0.25%</f>
        <v>-8.3216254661822725E-2</v>
      </c>
      <c r="AQ131" s="147"/>
    </row>
    <row r="132" spans="2:43" outlineLevel="2" x14ac:dyDescent="0.3">
      <c r="B132" s="127" t="s">
        <v>195</v>
      </c>
      <c r="C132" s="128"/>
      <c r="D132" s="130">
        <v>0.92</v>
      </c>
      <c r="E132" s="130">
        <v>0.75</v>
      </c>
      <c r="F132" s="130">
        <v>0.76</v>
      </c>
      <c r="G132" s="130">
        <v>0.73</v>
      </c>
      <c r="H132" s="136"/>
      <c r="I132" s="130">
        <v>0.76400000000000001</v>
      </c>
      <c r="J132" s="130">
        <v>0.755</v>
      </c>
      <c r="K132" s="130">
        <v>0.68</v>
      </c>
      <c r="L132" s="130">
        <v>0.73</v>
      </c>
      <c r="M132" s="136"/>
      <c r="N132" s="130">
        <v>0.69</v>
      </c>
      <c r="O132" s="130">
        <v>0.67</v>
      </c>
      <c r="P132" s="130">
        <v>0.71</v>
      </c>
      <c r="Q132" s="130">
        <v>0.78</v>
      </c>
      <c r="R132" s="136"/>
      <c r="S132" s="130">
        <v>0.76</v>
      </c>
      <c r="T132" s="130">
        <f>+O132*(1+T133)</f>
        <v>0.67359744635122765</v>
      </c>
      <c r="U132" s="130">
        <f>+P132*(1+U133)</f>
        <v>0.7205487177932578</v>
      </c>
      <c r="V132" s="130">
        <f>+Q132*(1+V133)</f>
        <v>0.78978297410300324</v>
      </c>
      <c r="W132" s="136"/>
      <c r="X132" s="130">
        <f>+S132*(1+X133)</f>
        <v>0.76270146213634127</v>
      </c>
      <c r="Y132" s="130">
        <f>+T132*(1+Y133)</f>
        <v>0.67297832640996513</v>
      </c>
      <c r="Z132" s="130">
        <f>+U132*(1+Z133)</f>
        <v>0.72595914777759207</v>
      </c>
      <c r="AA132" s="130">
        <f>+V132*(1+AA133)</f>
        <v>0.79426232084197013</v>
      </c>
      <c r="AB132" s="136"/>
      <c r="AC132" s="130">
        <f>+X132*(1+AC133)</f>
        <v>0.76571714782384159</v>
      </c>
      <c r="AD132" s="130">
        <f>+Y132*(1+AD133)</f>
        <v>0.67570644750591624</v>
      </c>
      <c r="AE132" s="130">
        <f>+Z132*(1+AE133)</f>
        <v>0.72980457808422816</v>
      </c>
      <c r="AF132" s="130">
        <f>+AA132*(1+AF133)</f>
        <v>0.79803038201401233</v>
      </c>
      <c r="AG132" s="136"/>
      <c r="AH132" s="130">
        <f>+AC132*(1+AH133)</f>
        <v>0.76725794127109881</v>
      </c>
      <c r="AI132" s="130">
        <f>+AD132*(1+AI133)</f>
        <v>0.67673810947048929</v>
      </c>
      <c r="AJ132" s="130">
        <f>+AE132*(1+AJ133)</f>
        <v>0.73045778028609243</v>
      </c>
      <c r="AK132" s="130">
        <f>+AF132*(1+AK133)</f>
        <v>0.79786641703016303</v>
      </c>
      <c r="AL132" s="136"/>
      <c r="AM132" s="130">
        <f>+AH132*(1+AM133)</f>
        <v>0.76615090084075277</v>
      </c>
      <c r="AN132" s="130">
        <f>+AI132*(1+AN133)</f>
        <v>0.67517713049631378</v>
      </c>
      <c r="AO132" s="130">
        <f>+AJ132*(1+AO133)</f>
        <v>0.72807285391354171</v>
      </c>
      <c r="AP132" s="130">
        <f>+AK132*(1+AP133)</f>
        <v>0.7944316196555592</v>
      </c>
      <c r="AQ132" s="136"/>
    </row>
    <row r="133" spans="2:43" outlineLevel="2" x14ac:dyDescent="0.3">
      <c r="B133" s="145" t="s">
        <v>203</v>
      </c>
      <c r="C133" s="128"/>
      <c r="D133" s="146">
        <f>+D132/1.07-1</f>
        <v>-0.14018691588785048</v>
      </c>
      <c r="E133" s="146">
        <f>+E132/1.07-1</f>
        <v>-0.2990654205607477</v>
      </c>
      <c r="F133" s="146">
        <f>+F132/1-1</f>
        <v>-0.24</v>
      </c>
      <c r="G133" s="146">
        <f>+G132/1.01-1</f>
        <v>-0.27722772277227725</v>
      </c>
      <c r="H133" s="147"/>
      <c r="I133" s="146">
        <f>+I132/D132-1</f>
        <v>-0.16956521739130437</v>
      </c>
      <c r="J133" s="146">
        <f>+J132/E132-1</f>
        <v>6.6666666666665986E-3</v>
      </c>
      <c r="K133" s="146">
        <f>+K132/F132-1</f>
        <v>-0.10526315789473684</v>
      </c>
      <c r="L133" s="146">
        <f>+L132/G132-1</f>
        <v>0</v>
      </c>
      <c r="M133" s="147"/>
      <c r="N133" s="146">
        <f>+N132/I132-1</f>
        <v>-9.6858638743455572E-2</v>
      </c>
      <c r="O133" s="146">
        <f>+O132/J132-1</f>
        <v>-0.11258278145695355</v>
      </c>
      <c r="P133" s="146">
        <f>+P132/K132-1</f>
        <v>4.4117647058823373E-2</v>
      </c>
      <c r="Q133" s="146">
        <f>+Q132/L132-1</f>
        <v>6.8493150684931559E-2</v>
      </c>
      <c r="R133" s="147"/>
      <c r="S133" s="146">
        <f>+S132/N132-1</f>
        <v>0.10144927536231885</v>
      </c>
      <c r="T133" s="142">
        <f>AVERAGE(S133,Q133,P133,O133)-2%</f>
        <v>5.3693229122800563E-3</v>
      </c>
      <c r="U133" s="142">
        <f>AVERAGE(T133,S133,Q133,P133)-4%</f>
        <v>1.4857349004588453E-2</v>
      </c>
      <c r="V133" s="142">
        <f>AVERAGE(U133,T133,S133,Q133)-3.5%</f>
        <v>1.2542274491029723E-2</v>
      </c>
      <c r="W133" s="147"/>
      <c r="X133" s="142">
        <f>AVERAGE(V133,U133,T133,S133)-3%</f>
        <v>3.5545554425542719E-3</v>
      </c>
      <c r="Y133" s="142">
        <f>AVERAGE(X133,V133,U133,T133)-1%</f>
        <v>-9.1912453738687318E-4</v>
      </c>
      <c r="Z133" s="142">
        <f>AVERAGE(Y133,X133,V133,U133)</f>
        <v>7.5087636001963942E-3</v>
      </c>
      <c r="AA133" s="142">
        <f>AVERAGE(Z133,Y133,X133,V133)</f>
        <v>5.6716172490983794E-3</v>
      </c>
      <c r="AB133" s="147"/>
      <c r="AC133" s="142">
        <f>AVERAGE(AA133,Z133,Y133,X133)</f>
        <v>3.9539529386155431E-3</v>
      </c>
      <c r="AD133" s="142">
        <f>AVERAGE(AC133,AA133,Z133,Y133)</f>
        <v>4.0538023126308609E-3</v>
      </c>
      <c r="AE133" s="142">
        <f>AVERAGE(AD133,AC133,AA133,Z133)</f>
        <v>5.297034025135294E-3</v>
      </c>
      <c r="AF133" s="142">
        <f>AVERAGE(AE133,AD133,AC133,AA133)</f>
        <v>4.7441016313700193E-3</v>
      </c>
      <c r="AG133" s="147"/>
      <c r="AH133" s="177">
        <f>AVERAGE(AF133,AE133,AD133,AC133)-0.25%</f>
        <v>2.0122227269379297E-3</v>
      </c>
      <c r="AI133" s="177">
        <f>AVERAGE(AH133,AF133,AE133,AD133)-0.25%</f>
        <v>1.5267901740185258E-3</v>
      </c>
      <c r="AJ133" s="177">
        <f>AVERAGE(AI133,AH133,AF133,AE133)-0.25%</f>
        <v>8.9503713936544237E-4</v>
      </c>
      <c r="AK133" s="177">
        <f>AVERAGE(AJ133,AI133,AH133,AF133)-0.25%</f>
        <v>-2.0546208207702097E-4</v>
      </c>
      <c r="AL133" s="147"/>
      <c r="AM133" s="177">
        <f>AVERAGE(AK133,AJ133,AI133,AH133)-0.25%</f>
        <v>-1.4428530104387809E-3</v>
      </c>
      <c r="AN133" s="177">
        <f>AVERAGE(AM133,AK133,AJ133,AI133)-0.25%</f>
        <v>-2.3066219447829585E-3</v>
      </c>
      <c r="AO133" s="177">
        <f>AVERAGE(AN133,AM133,AK133,AJ133)-0.25%</f>
        <v>-3.2649749744833294E-3</v>
      </c>
      <c r="AP133" s="177">
        <f>AVERAGE(AO133,AN133,AM133,AK133)-0.25%</f>
        <v>-4.3049780029455224E-3</v>
      </c>
      <c r="AQ133" s="147"/>
    </row>
    <row r="134" spans="2:43" outlineLevel="2" x14ac:dyDescent="0.3">
      <c r="B134" s="777" t="s">
        <v>336</v>
      </c>
      <c r="C134" s="778"/>
      <c r="D134" s="146"/>
      <c r="E134" s="146"/>
      <c r="F134" s="146"/>
      <c r="G134" s="146"/>
      <c r="H134" s="147"/>
      <c r="I134" s="146"/>
      <c r="J134" s="146"/>
      <c r="K134" s="146"/>
      <c r="L134" s="146"/>
      <c r="M134" s="147"/>
      <c r="N134" s="146"/>
      <c r="O134" s="168">
        <v>9</v>
      </c>
      <c r="P134" s="168">
        <v>7</v>
      </c>
      <c r="Q134" s="146"/>
      <c r="R134" s="147"/>
      <c r="S134" s="168">
        <v>0</v>
      </c>
      <c r="T134" s="142"/>
      <c r="U134" s="142"/>
      <c r="V134" s="142"/>
      <c r="W134" s="147"/>
      <c r="X134" s="142"/>
      <c r="Y134" s="142"/>
      <c r="Z134" s="142"/>
      <c r="AA134" s="142"/>
      <c r="AB134" s="147"/>
      <c r="AC134" s="142"/>
      <c r="AD134" s="142"/>
      <c r="AE134" s="142"/>
      <c r="AF134" s="142"/>
      <c r="AG134" s="147"/>
      <c r="AH134" s="142"/>
      <c r="AI134" s="142"/>
      <c r="AJ134" s="142"/>
      <c r="AK134" s="142"/>
      <c r="AL134" s="147"/>
      <c r="AM134" s="142"/>
      <c r="AN134" s="142"/>
      <c r="AO134" s="142"/>
      <c r="AP134" s="142"/>
      <c r="AQ134" s="147"/>
    </row>
    <row r="135" spans="2:43" outlineLevel="2" x14ac:dyDescent="0.3">
      <c r="B135" s="132" t="s">
        <v>196</v>
      </c>
      <c r="C135" s="131"/>
      <c r="D135" s="148">
        <f>+D130*D132*D61/1000</f>
        <v>36.418199999999999</v>
      </c>
      <c r="E135" s="148">
        <f>+E130*E132*E61/1000</f>
        <v>32.035499999999999</v>
      </c>
      <c r="F135" s="148">
        <f>+F130*F132*F61/1000</f>
        <v>29.781359999999999</v>
      </c>
      <c r="G135" s="148">
        <f>+G130*G132*G61/1000</f>
        <v>27.805699999999998</v>
      </c>
      <c r="H135" s="137"/>
      <c r="I135" s="148">
        <f>+I130*I132*I61/1000</f>
        <v>92.834404000000006</v>
      </c>
      <c r="J135" s="148">
        <f>+J130*J132*J61/1000</f>
        <v>93.156052500000001</v>
      </c>
      <c r="K135" s="148">
        <f>+K130*K132*K61/1000</f>
        <v>84.109200000000016</v>
      </c>
      <c r="L135" s="148">
        <f>+L130*L132*L61/1000</f>
        <v>84.793149999999997</v>
      </c>
      <c r="M135" s="137"/>
      <c r="N135" s="148">
        <f>+N130*N132*N61/1000</f>
        <v>83.107050000000001</v>
      </c>
      <c r="O135" s="148">
        <f>+O130*O132*O61/1000+O134</f>
        <v>99.540450000000007</v>
      </c>
      <c r="P135" s="148">
        <f>+P130*P132*P61/1000+P134</f>
        <v>92.883020000000002</v>
      </c>
      <c r="Q135" s="148">
        <f>+Q130*Q132*Q61/1000</f>
        <v>91.817700000000016</v>
      </c>
      <c r="R135" s="137"/>
      <c r="S135" s="148">
        <f>+S130*S132*S61/1000</f>
        <v>84.819800000000001</v>
      </c>
      <c r="T135" s="148">
        <f>+T130*T132*T61/1000</f>
        <v>89.506597837584877</v>
      </c>
      <c r="U135" s="148">
        <f>+U130*U132*U61/1000</f>
        <v>81.521620305884824</v>
      </c>
      <c r="V135" s="148">
        <f>+V130*V132*V61/1000</f>
        <v>86.430262316054822</v>
      </c>
      <c r="W135" s="137"/>
      <c r="X135" s="148">
        <f>+X130*X132*X61/1000</f>
        <v>77.777292375363032</v>
      </c>
      <c r="Y135" s="148">
        <f>+Y130*Y132*Y61/1000</f>
        <v>83.209559089921797</v>
      </c>
      <c r="Z135" s="148">
        <f>+Z130*Z132*Z61/1000</f>
        <v>76.162841894822151</v>
      </c>
      <c r="AA135" s="148">
        <f>+AA130*AA132*AA61/1000</f>
        <v>80.42734472151183</v>
      </c>
      <c r="AB135" s="137"/>
      <c r="AC135" s="148">
        <f>+AC130*AC132*AC61/1000</f>
        <v>72.16650540834064</v>
      </c>
      <c r="AD135" s="148">
        <f>+AD130*AD132*AD61/1000</f>
        <v>77.43353816010665</v>
      </c>
      <c r="AE135" s="148">
        <f>+AE130*AE132*AE61/1000</f>
        <v>70.893385791043826</v>
      </c>
      <c r="AF135" s="148">
        <f>+AF130*AF132*AF61/1000</f>
        <v>74.793505156191316</v>
      </c>
      <c r="AG135" s="137"/>
      <c r="AH135" s="148">
        <f>+AH130*AH132*AH61/1000</f>
        <v>66.75281171562591</v>
      </c>
      <c r="AI135" s="148">
        <f>+AI130*AI132*AI61/1000</f>
        <v>71.56907471151527</v>
      </c>
      <c r="AJ135" s="148">
        <f>+AJ130*AJ132*AJ61/1000</f>
        <v>65.412452881939927</v>
      </c>
      <c r="AK135" s="148">
        <f>+AK130*AK132*AK61/1000</f>
        <v>68.859525222122926</v>
      </c>
      <c r="AL135" s="137"/>
      <c r="AM135" s="148">
        <f>+AM130*AM132*AM61/1000</f>
        <v>61.302229123266343</v>
      </c>
      <c r="AN135" s="148">
        <f>+AN130*AN132*AN61/1000</f>
        <v>65.606753046151454</v>
      </c>
      <c r="AO135" s="148">
        <f>+AO130*AO132*AO61/1000</f>
        <v>59.839502729977788</v>
      </c>
      <c r="AP135" s="148">
        <f>+AP130*AP132*AP61/1000</f>
        <v>62.85752321576588</v>
      </c>
      <c r="AQ135" s="137"/>
    </row>
    <row r="136" spans="2:43" ht="15.6" x14ac:dyDescent="0.3">
      <c r="B136" s="705" t="s">
        <v>206</v>
      </c>
      <c r="C136" s="713"/>
      <c r="D136" s="90" t="s">
        <v>71</v>
      </c>
      <c r="E136" s="90" t="s">
        <v>74</v>
      </c>
      <c r="F136" s="90" t="s">
        <v>75</v>
      </c>
      <c r="G136" s="90" t="s">
        <v>78</v>
      </c>
      <c r="H136" s="403"/>
      <c r="I136" s="90" t="s">
        <v>80</v>
      </c>
      <c r="J136" s="90" t="s">
        <v>91</v>
      </c>
      <c r="K136" s="90" t="s">
        <v>109</v>
      </c>
      <c r="L136" s="90" t="s">
        <v>113</v>
      </c>
      <c r="M136" s="403"/>
      <c r="N136" s="90" t="s">
        <v>115</v>
      </c>
      <c r="O136" s="90" t="s">
        <v>116</v>
      </c>
      <c r="P136" s="90" t="s">
        <v>117</v>
      </c>
      <c r="Q136" s="90" t="s">
        <v>118</v>
      </c>
      <c r="R136" s="403"/>
      <c r="S136" s="90" t="s">
        <v>511</v>
      </c>
      <c r="T136" s="92" t="s">
        <v>377</v>
      </c>
      <c r="U136" s="92" t="s">
        <v>378</v>
      </c>
      <c r="V136" s="92" t="s">
        <v>379</v>
      </c>
      <c r="W136" s="407"/>
      <c r="X136" s="92" t="s">
        <v>381</v>
      </c>
      <c r="Y136" s="92" t="s">
        <v>382</v>
      </c>
      <c r="Z136" s="92" t="s">
        <v>383</v>
      </c>
      <c r="AA136" s="92" t="s">
        <v>384</v>
      </c>
      <c r="AB136" s="407"/>
      <c r="AC136" s="92" t="s">
        <v>386</v>
      </c>
      <c r="AD136" s="92" t="s">
        <v>387</v>
      </c>
      <c r="AE136" s="92" t="s">
        <v>388</v>
      </c>
      <c r="AF136" s="92" t="s">
        <v>389</v>
      </c>
      <c r="AG136" s="407"/>
      <c r="AH136" s="92" t="s">
        <v>391</v>
      </c>
      <c r="AI136" s="92" t="s">
        <v>392</v>
      </c>
      <c r="AJ136" s="92" t="s">
        <v>393</v>
      </c>
      <c r="AK136" s="92" t="s">
        <v>394</v>
      </c>
      <c r="AL136" s="407"/>
      <c r="AM136" s="92" t="s">
        <v>396</v>
      </c>
      <c r="AN136" s="92" t="s">
        <v>397</v>
      </c>
      <c r="AO136" s="92" t="s">
        <v>398</v>
      </c>
      <c r="AP136" s="92" t="s">
        <v>399</v>
      </c>
      <c r="AQ136" s="407"/>
    </row>
    <row r="137" spans="2:43" ht="15.6" x14ac:dyDescent="0.3">
      <c r="B137" s="295" t="s">
        <v>208</v>
      </c>
      <c r="C137" s="150"/>
      <c r="D137" s="157">
        <f>ROUND((3460-D145),0)</f>
        <v>0</v>
      </c>
      <c r="E137" s="157">
        <f>ROUND((3677-E145),0)</f>
        <v>0</v>
      </c>
      <c r="F137" s="157">
        <f>ROUND((4025-F145),0)</f>
        <v>0</v>
      </c>
      <c r="G137" s="157">
        <f>ROUND((3889-G145),0)</f>
        <v>0</v>
      </c>
      <c r="H137" s="188"/>
      <c r="I137" s="157">
        <f>ROUND((3893-I145),0)</f>
        <v>0</v>
      </c>
      <c r="J137" s="157">
        <f>ROUND((4017-J145),0)</f>
        <v>0</v>
      </c>
      <c r="K137" s="157">
        <f>ROUND((4297-K145),0)</f>
        <v>0</v>
      </c>
      <c r="L137" s="157">
        <f>ROUND((4296-L145),0)</f>
        <v>0</v>
      </c>
      <c r="M137" s="54"/>
      <c r="N137" s="157">
        <f>ROUND((4245-N145),0)</f>
        <v>0</v>
      </c>
      <c r="O137" s="157">
        <f>ROUND((4525-O145),0)</f>
        <v>0</v>
      </c>
      <c r="P137" s="157">
        <f>ROUND((4828-P145),0)</f>
        <v>0</v>
      </c>
      <c r="Q137" s="157">
        <f>ROUND((4797-Q145),0)</f>
        <v>0</v>
      </c>
      <c r="R137" s="54"/>
      <c r="S137" s="49"/>
      <c r="T137" s="49"/>
      <c r="U137" s="49"/>
      <c r="V137" s="49"/>
      <c r="W137" s="54"/>
      <c r="X137" s="49"/>
      <c r="Y137" s="49"/>
      <c r="Z137" s="49"/>
      <c r="AA137" s="49"/>
      <c r="AB137" s="54"/>
      <c r="AC137" s="49"/>
      <c r="AD137" s="49"/>
      <c r="AE137" s="49"/>
      <c r="AF137" s="49"/>
      <c r="AG137" s="54"/>
      <c r="AH137" s="49"/>
      <c r="AI137" s="49"/>
      <c r="AJ137" s="49"/>
      <c r="AK137" s="49"/>
      <c r="AL137" s="54"/>
      <c r="AM137" s="49"/>
      <c r="AN137" s="49"/>
      <c r="AO137" s="49"/>
      <c r="AP137" s="49"/>
      <c r="AQ137" s="54"/>
    </row>
    <row r="138" spans="2:43" outlineLevel="1" x14ac:dyDescent="0.3">
      <c r="B138" s="703" t="s">
        <v>375</v>
      </c>
      <c r="C138" s="704"/>
      <c r="D138" s="264">
        <v>6717.4</v>
      </c>
      <c r="E138" s="264">
        <v>7623.4</v>
      </c>
      <c r="F138" s="264">
        <v>8339.4</v>
      </c>
      <c r="G138" s="264">
        <v>7453.4</v>
      </c>
      <c r="H138" s="54"/>
      <c r="I138" s="264">
        <v>7389.4</v>
      </c>
      <c r="J138" s="264">
        <v>8005.4</v>
      </c>
      <c r="K138" s="264">
        <v>8522.4</v>
      </c>
      <c r="L138" s="264">
        <v>7700.4</v>
      </c>
      <c r="M138" s="54"/>
      <c r="N138" s="264">
        <v>7688.4</v>
      </c>
      <c r="O138" s="264">
        <v>8576.4</v>
      </c>
      <c r="P138" s="264">
        <v>8993.4</v>
      </c>
      <c r="Q138" s="264">
        <v>8125.4</v>
      </c>
      <c r="R138" s="54"/>
      <c r="S138" s="264">
        <v>8221</v>
      </c>
      <c r="T138" s="124">
        <f>+O138*(1+T139)</f>
        <v>9200.4576839048786</v>
      </c>
      <c r="U138" s="124">
        <f>+P138*(1+U139)</f>
        <v>9651.032881217925</v>
      </c>
      <c r="V138" s="124">
        <f>+Q138*(1+V139)</f>
        <v>8755.8367845207613</v>
      </c>
      <c r="W138" s="50"/>
      <c r="X138" s="124">
        <f>+S138*(1+X139)</f>
        <v>8658.2545636973482</v>
      </c>
      <c r="Y138" s="124">
        <f>+T138*(1+Y139)</f>
        <v>9652.8082741717935</v>
      </c>
      <c r="Z138" s="124">
        <f>+U138*(1+Z139)</f>
        <v>10165.109518268957</v>
      </c>
      <c r="AA138" s="124">
        <f>+V138*(1+AA139)</f>
        <v>9266.3206768876607</v>
      </c>
      <c r="AB138" s="50"/>
      <c r="AC138" s="124">
        <f>+X138*(1+AC139)</f>
        <v>9121.3028362134155</v>
      </c>
      <c r="AD138" s="124">
        <f>+Y138*(1+AD139)</f>
        <v>10169.753000152565</v>
      </c>
      <c r="AE138" s="124">
        <f>+Z138*(1+AE139)</f>
        <v>10720.640345605545</v>
      </c>
      <c r="AF138" s="124">
        <f>+AA138*(1+AF139)</f>
        <v>9775.9387670568849</v>
      </c>
      <c r="AG138" s="50"/>
      <c r="AH138" s="124">
        <f>+AC138*(1+AH139)</f>
        <v>9592.6049583356216</v>
      </c>
      <c r="AI138" s="124">
        <f>+AD138*(1+AI139)</f>
        <v>10690.627048107453</v>
      </c>
      <c r="AJ138" s="124">
        <f>+AE138*(1+AJ139)</f>
        <v>11263.469263887018</v>
      </c>
      <c r="AK138" s="124">
        <f>+AF138*(1+AK139)</f>
        <v>10261.116799814445</v>
      </c>
      <c r="AL138" s="50"/>
      <c r="AM138" s="124">
        <f>+AH138*(1+AM139)</f>
        <v>10055.813299202437</v>
      </c>
      <c r="AN138" s="124">
        <f>+AI138*(1+AN139)</f>
        <v>11197.816712558744</v>
      </c>
      <c r="AO138" s="124">
        <f>+AJ138*(1+AO139)</f>
        <v>11787.204658389395</v>
      </c>
      <c r="AP138" s="124">
        <f>+AK138*(1+AP139)</f>
        <v>10727.635726990349</v>
      </c>
      <c r="AQ138" s="50"/>
    </row>
    <row r="139" spans="2:43" outlineLevel="1" x14ac:dyDescent="0.3">
      <c r="B139" s="141" t="s">
        <v>204</v>
      </c>
      <c r="C139" s="287"/>
      <c r="D139" s="166">
        <f>+D138/6456-1</f>
        <v>4.0489467162329484E-2</v>
      </c>
      <c r="E139" s="166">
        <f>+E138/6967-1</f>
        <v>9.4215587770920095E-2</v>
      </c>
      <c r="F139" s="166">
        <f>+F138/7496-1</f>
        <v>0.11251334044823902</v>
      </c>
      <c r="G139" s="166">
        <f>+G138/6746-1</f>
        <v>0.10486214052772014</v>
      </c>
      <c r="H139" s="84"/>
      <c r="I139" s="166">
        <f>+I138/D138-1</f>
        <v>0.10003870545151394</v>
      </c>
      <c r="J139" s="166">
        <f>+J138/E138-1</f>
        <v>5.0108875304982092E-2</v>
      </c>
      <c r="K139" s="166">
        <f>+K138/F138-1</f>
        <v>2.1944024749982027E-2</v>
      </c>
      <c r="L139" s="166">
        <f>+L138/G138-1</f>
        <v>3.3139238468349985E-2</v>
      </c>
      <c r="M139" s="84"/>
      <c r="N139" s="166">
        <f>+N138/I138-1</f>
        <v>4.0463366443824977E-2</v>
      </c>
      <c r="O139" s="166">
        <f>+O138/J138-1</f>
        <v>7.132685437329811E-2</v>
      </c>
      <c r="P139" s="166">
        <f>+P138/K138-1</f>
        <v>5.5266122219093106E-2</v>
      </c>
      <c r="Q139" s="166">
        <f>+Q138/L138-1</f>
        <v>5.5191938081138536E-2</v>
      </c>
      <c r="R139" s="84"/>
      <c r="S139" s="166">
        <f>+S138/N138-1</f>
        <v>6.927319078091676E-2</v>
      </c>
      <c r="T139" s="177">
        <f>AVERAGE(S139,Q139,P139,O139)+1%</f>
        <v>7.2764526363611623E-2</v>
      </c>
      <c r="U139" s="177">
        <f>AVERAGE(T139,S139,Q139,P139)+1%</f>
        <v>7.3123944361190005E-2</v>
      </c>
      <c r="V139" s="177">
        <f>AVERAGE(U139,T139,S139,Q139)+1%</f>
        <v>7.7588399896714219E-2</v>
      </c>
      <c r="W139" s="76"/>
      <c r="X139" s="177">
        <f>AVERAGE(V139,U139,T139,S139)-2%</f>
        <v>5.3187515350608144E-2</v>
      </c>
      <c r="Y139" s="177">
        <f>AVERAGE(X139,V139,U139,T139)-2%</f>
        <v>4.9166096493030997E-2</v>
      </c>
      <c r="Z139" s="177">
        <f>AVERAGE(Y139,X139,V139,U139)-1%</f>
        <v>5.3266489025385839E-2</v>
      </c>
      <c r="AA139" s="177">
        <f>AVERAGE(Z139,Y139,X139,V139)</f>
        <v>5.8302125191434795E-2</v>
      </c>
      <c r="AB139" s="57"/>
      <c r="AC139" s="142">
        <f>AVERAGE(AA139,Z139,Y139,X139)</f>
        <v>5.3480556515114942E-2</v>
      </c>
      <c r="AD139" s="142">
        <f>AVERAGE(AC139,AA139,Z139,Y139)</f>
        <v>5.355381680624164E-2</v>
      </c>
      <c r="AE139" s="142">
        <f>AVERAGE(AD139,AC139,AA139,Z139)</f>
        <v>5.4650746884544299E-2</v>
      </c>
      <c r="AF139" s="142">
        <f>AVERAGE(AE139,AD139,AC139,AA139)</f>
        <v>5.4996811349333916E-2</v>
      </c>
      <c r="AG139" s="57"/>
      <c r="AH139" s="177">
        <f>AVERAGE(AF139,AE139,AD139,AC139)-0.25%</f>
        <v>5.1670482888808697E-2</v>
      </c>
      <c r="AI139" s="177">
        <f>AVERAGE(AH139,AF139,AE139,AD139)-0.25%</f>
        <v>5.1217964482232134E-2</v>
      </c>
      <c r="AJ139" s="177">
        <f>AVERAGE(AI139,AH139,AF139,AE139)-0.25%</f>
        <v>5.0634001401229756E-2</v>
      </c>
      <c r="AK139" s="177">
        <f>AVERAGE(AJ139,AI139,AH139,AF139)-0.25%</f>
        <v>4.962981503040112E-2</v>
      </c>
      <c r="AL139" s="57"/>
      <c r="AM139" s="177">
        <f>AVERAGE(AK139,AJ139,AI139,AH139)-0.25%</f>
        <v>4.8288065950667924E-2</v>
      </c>
      <c r="AN139" s="177">
        <f>AVERAGE(AM139,AK139,AJ139,AI139)-0.25%</f>
        <v>4.7442461716132728E-2</v>
      </c>
      <c r="AO139" s="177">
        <f>AVERAGE(AN139,AM139,AK139,AJ139)-0.25%</f>
        <v>4.649858602460788E-2</v>
      </c>
      <c r="AP139" s="177">
        <f>AVERAGE(AO139,AN139,AM139,AK139)-0.25%</f>
        <v>4.5464732180452411E-2</v>
      </c>
      <c r="AQ139" s="57"/>
    </row>
    <row r="140" spans="2:43" outlineLevel="1" x14ac:dyDescent="0.3">
      <c r="B140" s="123" t="s">
        <v>207</v>
      </c>
      <c r="C140" s="287"/>
      <c r="D140" s="143">
        <v>7.9139999999999997</v>
      </c>
      <c r="E140" s="143">
        <v>7.6440000000000001</v>
      </c>
      <c r="F140" s="143">
        <v>7.6539999999999999</v>
      </c>
      <c r="G140" s="143">
        <v>8.0139999999999993</v>
      </c>
      <c r="H140" s="54"/>
      <c r="I140" s="143">
        <v>8.0939999999999994</v>
      </c>
      <c r="J140" s="143">
        <v>7.9539999999999997</v>
      </c>
      <c r="K140" s="143">
        <v>8.1240000000000006</v>
      </c>
      <c r="L140" s="143">
        <v>8.5739999999999998</v>
      </c>
      <c r="M140" s="54"/>
      <c r="N140" s="143">
        <v>8.4749999998999996</v>
      </c>
      <c r="O140" s="143">
        <v>8.3549999999000004</v>
      </c>
      <c r="P140" s="143">
        <v>8.6449999000000002</v>
      </c>
      <c r="Q140" s="143">
        <v>9.0500000000000007</v>
      </c>
      <c r="R140" s="54"/>
      <c r="S140" s="143">
        <v>8.9600000000000009</v>
      </c>
      <c r="T140" s="143">
        <f>+O140*(1+T141)</f>
        <v>8.829751277681531</v>
      </c>
      <c r="U140" s="143">
        <f>+P140*(1+U141)</f>
        <v>9.150077945390267</v>
      </c>
      <c r="V140" s="143">
        <f>+Q140*(1+V141)</f>
        <v>9.5658285729144623</v>
      </c>
      <c r="W140" s="50"/>
      <c r="X140" s="143">
        <f>+S140*(1+X141)</f>
        <v>9.2948161230430468</v>
      </c>
      <c r="Y140" s="143">
        <f>+T140*(1+Y141)</f>
        <v>9.1158621845232872</v>
      </c>
      <c r="Z140" s="143">
        <f>+U140*(1+Z141)</f>
        <v>9.4822094295573294</v>
      </c>
      <c r="AA140" s="143">
        <f>+V140*(1+AA141)</f>
        <v>9.9557957668173263</v>
      </c>
      <c r="AB140" s="50"/>
      <c r="AC140" s="143">
        <f>+X140*(1+AC141)</f>
        <v>9.636019135769379</v>
      </c>
      <c r="AD140" s="143">
        <f>+Y140*(1+AD141)</f>
        <v>9.4489943444546984</v>
      </c>
      <c r="AE140" s="143">
        <f>+Z140*(1+AE141)</f>
        <v>9.8385463408480849</v>
      </c>
      <c r="AF140" s="143">
        <f>+AA140*(1+AF141)</f>
        <v>10.333118941546287</v>
      </c>
      <c r="AG140" s="50"/>
      <c r="AH140" s="143">
        <f>+AC140*(1+AH141)</f>
        <v>9.9702265403082695</v>
      </c>
      <c r="AI140" s="143">
        <f>+AD140*(1+AI141)</f>
        <v>9.771929657623005</v>
      </c>
      <c r="AJ140" s="143">
        <f>+AE140*(1+AJ141)</f>
        <v>10.168971953755607</v>
      </c>
      <c r="AK140" s="143">
        <f>+AF140*(1+AK141)</f>
        <v>10.669835188835856</v>
      </c>
      <c r="AL140" s="50"/>
      <c r="AM140" s="143">
        <f>+AH140*(1+AM141)</f>
        <v>10.281872755815893</v>
      </c>
      <c r="AN140" s="143">
        <f>+AI140*(1+AN141)</f>
        <v>10.069009247704598</v>
      </c>
      <c r="AO140" s="143">
        <f>+AJ140*(1+AO141)</f>
        <v>10.468524264760331</v>
      </c>
      <c r="AP140" s="143">
        <f>+AK140*(1+AP141)</f>
        <v>10.97313221923441</v>
      </c>
      <c r="AQ140" s="50"/>
    </row>
    <row r="141" spans="2:43" outlineLevel="1" x14ac:dyDescent="0.3">
      <c r="B141" s="141" t="s">
        <v>203</v>
      </c>
      <c r="C141" s="287"/>
      <c r="D141" s="166">
        <f>+D140/7.15-1</f>
        <v>0.10685314685314684</v>
      </c>
      <c r="E141" s="166">
        <f>+E140/6.96-1</f>
        <v>9.8275862068965436E-2</v>
      </c>
      <c r="F141" s="166">
        <f>+F140/7.06-1</f>
        <v>8.4135977337110424E-2</v>
      </c>
      <c r="G141" s="166">
        <f>+G140/7.49-1</f>
        <v>6.9959946595460565E-2</v>
      </c>
      <c r="H141" s="84"/>
      <c r="I141" s="166">
        <f>+I140/D140-1</f>
        <v>2.2744503411675554E-2</v>
      </c>
      <c r="J141" s="166">
        <f>+J140/E140-1</f>
        <v>4.055468341182622E-2</v>
      </c>
      <c r="K141" s="166">
        <f>+K140/F140-1</f>
        <v>6.14058008884244E-2</v>
      </c>
      <c r="L141" s="166">
        <f>+L140/G140-1</f>
        <v>6.9877714000499136E-2</v>
      </c>
      <c r="M141" s="84"/>
      <c r="N141" s="166">
        <f>+N140/I140-1</f>
        <v>4.707190510254522E-2</v>
      </c>
      <c r="O141" s="166">
        <f>+O140/J140-1</f>
        <v>5.0414885579582736E-2</v>
      </c>
      <c r="P141" s="166">
        <f>+P140/K140-1</f>
        <v>6.4130957656326926E-2</v>
      </c>
      <c r="Q141" s="166">
        <f>+Q140/L140-1</f>
        <v>5.5516678329834424E-2</v>
      </c>
      <c r="R141" s="84"/>
      <c r="S141" s="166">
        <f>+S140/N140-1</f>
        <v>5.7227138655542742E-2</v>
      </c>
      <c r="T141" s="177">
        <f>AVERAGE(S141,Q141,P141,O141)</f>
        <v>5.6822415055321707E-2</v>
      </c>
      <c r="U141" s="177">
        <f>AVERAGE(T141,S141,Q141,P141)</f>
        <v>5.8424297424256449E-2</v>
      </c>
      <c r="V141" s="177">
        <f>AVERAGE(U141,T141,S141,Q141)</f>
        <v>5.699763236623883E-2</v>
      </c>
      <c r="W141" s="76"/>
      <c r="X141" s="177">
        <f>AVERAGE(V141,U141,T141,S141)-2%</f>
        <v>3.7367870875339937E-2</v>
      </c>
      <c r="Y141" s="177">
        <f>AVERAGE(X141,V141,U141,T141)-2%</f>
        <v>3.2403053930289236E-2</v>
      </c>
      <c r="Z141" s="177">
        <f>AVERAGE(Y141,X141,V141,U141)-1%</f>
        <v>3.6298213649031109E-2</v>
      </c>
      <c r="AA141" s="177">
        <f>AVERAGE(Z141,Y141,X141,V141)</f>
        <v>4.0766692705224782E-2</v>
      </c>
      <c r="AB141" s="57"/>
      <c r="AC141" s="142">
        <f>AVERAGE(AA141,Z141,Y141,X141)</f>
        <v>3.6708957789971269E-2</v>
      </c>
      <c r="AD141" s="142">
        <f>AVERAGE(AC141,AA141,Z141,Y141)</f>
        <v>3.6544229518629096E-2</v>
      </c>
      <c r="AE141" s="142">
        <f>AVERAGE(AD141,AC141,AA141,Z141)</f>
        <v>3.7579523415714064E-2</v>
      </c>
      <c r="AF141" s="142">
        <f>AVERAGE(AE141,AD141,AC141,AA141)</f>
        <v>3.7899850857384801E-2</v>
      </c>
      <c r="AG141" s="57"/>
      <c r="AH141" s="177">
        <f>AVERAGE(AF141,AE141,AD141,AC141)-0.25%</f>
        <v>3.4683140395424805E-2</v>
      </c>
      <c r="AI141" s="177">
        <f>AVERAGE(AH141,AF141,AE141,AD141)-0.25%</f>
        <v>3.4176686046788189E-2</v>
      </c>
      <c r="AJ141" s="177">
        <f>AVERAGE(AI141,AH141,AF141,AE141)-0.25%</f>
        <v>3.3584800178827964E-2</v>
      </c>
      <c r="AK141" s="177">
        <f>AVERAGE(AJ141,AI141,AH141,AF141)-0.25%</f>
        <v>3.2586119369606439E-2</v>
      </c>
      <c r="AL141" s="57"/>
      <c r="AM141" s="177">
        <f>AVERAGE(AK141,AJ141,AI141,AH141)-0.25%</f>
        <v>3.1257686497661849E-2</v>
      </c>
      <c r="AN141" s="177">
        <f>AVERAGE(AM141,AK141,AJ141,AI141)-0.25%</f>
        <v>3.040132302322111E-2</v>
      </c>
      <c r="AO141" s="177">
        <f>AVERAGE(AN141,AM141,AK141,AJ141)-0.25%</f>
        <v>2.9457482267329343E-2</v>
      </c>
      <c r="AP141" s="177">
        <f>AVERAGE(AO141,AN141,AM141,AK141)-0.25%</f>
        <v>2.8425652789454685E-2</v>
      </c>
      <c r="AQ141" s="57"/>
    </row>
    <row r="142" spans="2:43" outlineLevel="1" x14ac:dyDescent="0.3">
      <c r="B142" s="123" t="s">
        <v>328</v>
      </c>
      <c r="C142" s="287"/>
      <c r="D142" s="139">
        <v>5</v>
      </c>
      <c r="E142" s="139">
        <v>6</v>
      </c>
      <c r="F142" s="139">
        <v>4</v>
      </c>
      <c r="G142" s="139">
        <v>6</v>
      </c>
      <c r="H142" s="54"/>
      <c r="I142" s="139">
        <v>5</v>
      </c>
      <c r="J142" s="139">
        <v>5</v>
      </c>
      <c r="K142" s="139">
        <v>4</v>
      </c>
      <c r="L142" s="139">
        <v>4</v>
      </c>
      <c r="M142" s="54"/>
      <c r="N142" s="139">
        <v>10</v>
      </c>
      <c r="O142" s="139">
        <v>11</v>
      </c>
      <c r="P142" s="139">
        <v>8</v>
      </c>
      <c r="Q142" s="139">
        <v>17</v>
      </c>
      <c r="R142" s="54"/>
      <c r="S142" s="264">
        <v>11</v>
      </c>
      <c r="T142" s="124">
        <f>+O142*(1+T143)</f>
        <v>11</v>
      </c>
      <c r="U142" s="124">
        <f>+P142*(1+U143)</f>
        <v>8</v>
      </c>
      <c r="V142" s="124">
        <f>+Q142*(1+V143)</f>
        <v>17</v>
      </c>
      <c r="W142" s="50"/>
      <c r="X142" s="124">
        <f>+S142*(1+X143)</f>
        <v>11.055000000000001</v>
      </c>
      <c r="Y142" s="124">
        <f>+T142*(1+Y143)</f>
        <v>10.793749999999999</v>
      </c>
      <c r="Z142" s="124">
        <f>+U142*(1+Z143)</f>
        <v>7.8925000000000001</v>
      </c>
      <c r="AA142" s="124">
        <f>+V142*(1+AA143)</f>
        <v>16.884453125</v>
      </c>
      <c r="AB142" s="50"/>
      <c r="AC142" s="124">
        <f>+X142*(1+AC143)</f>
        <v>10.961075683593752</v>
      </c>
      <c r="AD142" s="124">
        <f>+Y142*(1+AD143)</f>
        <v>10.665626922607421</v>
      </c>
      <c r="AE142" s="124">
        <f>+Z142*(1+AE143)</f>
        <v>7.812389968872071</v>
      </c>
      <c r="AF142" s="124">
        <f>+AA142*(1+AF143)</f>
        <v>16.726949744057656</v>
      </c>
      <c r="AG142" s="50"/>
      <c r="AH142" s="124">
        <f>+AC142*(1+AH143)</f>
        <v>10.824487895776594</v>
      </c>
      <c r="AI142" s="124">
        <f>+AD142*(1+AI143)</f>
        <v>10.52214827460517</v>
      </c>
      <c r="AJ142" s="124">
        <f>+AE142*(1+AJ143)</f>
        <v>7.7042038841638094</v>
      </c>
      <c r="AK142" s="124">
        <f>+AF142*(1+AK143)</f>
        <v>16.479851201354744</v>
      </c>
      <c r="AL142" s="50"/>
      <c r="AM142" s="124">
        <f>+AH142*(1+AM143)</f>
        <v>10.649850761805773</v>
      </c>
      <c r="AN142" s="124">
        <f>+AI142*(1+AN143)</f>
        <v>10.342728671600788</v>
      </c>
      <c r="AO142" s="124">
        <f>+AJ142*(1+AO143)</f>
        <v>7.5659025774211495</v>
      </c>
      <c r="AP142" s="124">
        <f>+AK142*(1+AP143)</f>
        <v>16.167108838850925</v>
      </c>
      <c r="AQ142" s="50"/>
    </row>
    <row r="143" spans="2:43" outlineLevel="1" x14ac:dyDescent="0.3">
      <c r="B143" s="141" t="s">
        <v>326</v>
      </c>
      <c r="C143" s="287"/>
      <c r="D143" s="166"/>
      <c r="E143" s="166"/>
      <c r="F143" s="166"/>
      <c r="G143" s="166"/>
      <c r="H143" s="84"/>
      <c r="I143" s="166">
        <f>+I142/D142-1</f>
        <v>0</v>
      </c>
      <c r="J143" s="166">
        <f>+J142/E142-1</f>
        <v>-0.16666666666666663</v>
      </c>
      <c r="K143" s="166">
        <f>+K142/F142-1</f>
        <v>0</v>
      </c>
      <c r="L143" s="166">
        <f>+L142/G142-1</f>
        <v>-0.33333333333333337</v>
      </c>
      <c r="M143" s="84"/>
      <c r="N143" s="166">
        <f>+N142/I142-1</f>
        <v>1</v>
      </c>
      <c r="O143" s="166">
        <f>+O142/J142-1</f>
        <v>1.2000000000000002</v>
      </c>
      <c r="P143" s="166">
        <f>+P142/K142-1</f>
        <v>1</v>
      </c>
      <c r="Q143" s="166">
        <f>+Q142/L142-1</f>
        <v>3.25</v>
      </c>
      <c r="R143" s="84"/>
      <c r="S143" s="166">
        <f>+S142/N142-1</f>
        <v>0.10000000000000009</v>
      </c>
      <c r="T143" s="142">
        <v>0</v>
      </c>
      <c r="U143" s="142">
        <v>0</v>
      </c>
      <c r="V143" s="142">
        <v>0</v>
      </c>
      <c r="W143" s="57"/>
      <c r="X143" s="142">
        <f>AVERAGE(V143,U143,T143,S143)-2%</f>
        <v>5.0000000000000218E-3</v>
      </c>
      <c r="Y143" s="142">
        <f>AVERAGE(X143,V143,U143,T143)-2%</f>
        <v>-1.8749999999999996E-2</v>
      </c>
      <c r="Z143" s="142">
        <f>AVERAGE(Y143,X143,V143,U143)-1%</f>
        <v>-1.3437499999999995E-2</v>
      </c>
      <c r="AA143" s="142">
        <f>AVERAGE(Z143,Y143,X143,V143)</f>
        <v>-6.796874999999993E-3</v>
      </c>
      <c r="AB143" s="57"/>
      <c r="AC143" s="142">
        <f>AVERAGE(AA143,Z143,Y143,X143)</f>
        <v>-8.4960937499999924E-3</v>
      </c>
      <c r="AD143" s="142">
        <f>AVERAGE(AC143,AA143,Z143,Y143)</f>
        <v>-1.1870117187499994E-2</v>
      </c>
      <c r="AE143" s="142">
        <f>AVERAGE(AD143,AC143,AA143,Z143)</f>
        <v>-1.0150146484374994E-2</v>
      </c>
      <c r="AF143" s="142">
        <f>AVERAGE(AE143,AD143,AC143,AA143)</f>
        <v>-9.3283081054687435E-3</v>
      </c>
      <c r="AG143" s="57"/>
      <c r="AH143" s="177">
        <f>AVERAGE(AF143,AE143,AD143,AC143)-0.25%</f>
        <v>-1.2461166381835932E-2</v>
      </c>
      <c r="AI143" s="177">
        <f>AVERAGE(AH143,AF143,AE143,AD143)-0.25%</f>
        <v>-1.3452434539794916E-2</v>
      </c>
      <c r="AJ143" s="177">
        <f>AVERAGE(AI143,AH143,AF143,AE143)-0.25%</f>
        <v>-1.3848013877868647E-2</v>
      </c>
      <c r="AK143" s="177">
        <f>AVERAGE(AJ143,AI143,AH143,AF143)-0.25%</f>
        <v>-1.4772480726242061E-2</v>
      </c>
      <c r="AL143" s="57"/>
      <c r="AM143" s="177">
        <f>AVERAGE(AK143,AJ143,AI143,AH143)-0.25%</f>
        <v>-1.613352388143539E-2</v>
      </c>
      <c r="AN143" s="177">
        <f>AVERAGE(AM143,AK143,AJ143,AI143)-0.25%</f>
        <v>-1.7051613256335252E-2</v>
      </c>
      <c r="AO143" s="177">
        <f>AVERAGE(AN143,AM143,AK143,AJ143)-0.25%</f>
        <v>-1.7951407935470336E-2</v>
      </c>
      <c r="AP143" s="177">
        <f>AVERAGE(AO143,AN143,AM143,AK143)-0.25%</f>
        <v>-1.8977256449870757E-2</v>
      </c>
      <c r="AQ143" s="57"/>
    </row>
    <row r="144" spans="2:43" x14ac:dyDescent="0.3">
      <c r="B144" s="291" t="s">
        <v>332</v>
      </c>
      <c r="C144" s="292"/>
      <c r="D144" s="139">
        <v>65</v>
      </c>
      <c r="E144" s="139">
        <v>63</v>
      </c>
      <c r="F144" s="139">
        <v>63</v>
      </c>
      <c r="G144" s="139">
        <v>65</v>
      </c>
      <c r="H144" s="54"/>
      <c r="I144" s="139">
        <v>65</v>
      </c>
      <c r="J144" s="139">
        <v>63</v>
      </c>
      <c r="K144" s="139">
        <v>62</v>
      </c>
      <c r="L144" s="139">
        <v>65</v>
      </c>
      <c r="M144" s="54"/>
      <c r="N144" s="139">
        <v>65</v>
      </c>
      <c r="O144" s="139">
        <v>63</v>
      </c>
      <c r="P144" s="139">
        <v>62</v>
      </c>
      <c r="Q144" s="139">
        <v>65</v>
      </c>
      <c r="R144" s="54"/>
      <c r="S144" s="139">
        <v>65</v>
      </c>
      <c r="T144" s="140">
        <v>63</v>
      </c>
      <c r="U144" s="140">
        <v>62</v>
      </c>
      <c r="V144" s="140">
        <v>65</v>
      </c>
      <c r="W144" s="54"/>
      <c r="X144" s="140">
        <v>65</v>
      </c>
      <c r="Y144" s="140">
        <v>63</v>
      </c>
      <c r="Z144" s="140">
        <v>62</v>
      </c>
      <c r="AA144" s="140">
        <v>65</v>
      </c>
      <c r="AB144" s="54"/>
      <c r="AC144" s="140">
        <v>65</v>
      </c>
      <c r="AD144" s="140">
        <v>63</v>
      </c>
      <c r="AE144" s="140">
        <v>62</v>
      </c>
      <c r="AF144" s="140">
        <v>65</v>
      </c>
      <c r="AG144" s="54"/>
      <c r="AH144" s="140">
        <v>65</v>
      </c>
      <c r="AI144" s="140">
        <v>63</v>
      </c>
      <c r="AJ144" s="140">
        <v>62</v>
      </c>
      <c r="AK144" s="140">
        <v>65</v>
      </c>
      <c r="AL144" s="54"/>
      <c r="AM144" s="140">
        <v>65</v>
      </c>
      <c r="AN144" s="140">
        <v>63</v>
      </c>
      <c r="AO144" s="140">
        <v>62</v>
      </c>
      <c r="AP144" s="140">
        <v>65</v>
      </c>
      <c r="AQ144" s="54"/>
    </row>
    <row r="145" spans="2:43" outlineLevel="1" x14ac:dyDescent="0.3">
      <c r="B145" s="119" t="s">
        <v>260</v>
      </c>
      <c r="C145" s="120"/>
      <c r="D145" s="144">
        <f>(D138*D140*D144/1000)+D142</f>
        <v>3460.4977339999996</v>
      </c>
      <c r="E145" s="144">
        <f>(E138*E140*E144/1000)+E142</f>
        <v>3677.2159847999997</v>
      </c>
      <c r="F145" s="144">
        <f>(F138*F140*F144/1000)+F142</f>
        <v>4025.2753588</v>
      </c>
      <c r="G145" s="144">
        <f>(G138*G140*G144/1000)+G142</f>
        <v>3888.5505939999994</v>
      </c>
      <c r="H145" s="56"/>
      <c r="I145" s="144">
        <f>(I138*I140*I144/1000)+I142</f>
        <v>3892.6372339999998</v>
      </c>
      <c r="J145" s="144">
        <f>(J138*J140*J144/1000)+J142</f>
        <v>4016.5219507999996</v>
      </c>
      <c r="K145" s="144">
        <f>(K138*K140*K144/1000)+K142</f>
        <v>4296.6306112000002</v>
      </c>
      <c r="L145" s="144">
        <f>(L138*L140*L144/1000)+L142</f>
        <v>4295.509924</v>
      </c>
      <c r="M145" s="56"/>
      <c r="N145" s="144">
        <f>(N138*N140*N144/1000)+N142</f>
        <v>4245.3473499500251</v>
      </c>
      <c r="O145" s="144">
        <f>(O138*O140*O144/1000)+O142</f>
        <v>4525.3167859459691</v>
      </c>
      <c r="P145" s="144">
        <f>(P138*P140*P144/1000)+P142</f>
        <v>4828.3724102409205</v>
      </c>
      <c r="Q145" s="144">
        <f>(Q138*Q140*Q144/1000)+Q142</f>
        <v>4796.7665499999994</v>
      </c>
      <c r="R145" s="56"/>
      <c r="S145" s="144">
        <f>(S138*S140*S144/1000)+S142</f>
        <v>4798.9104000000007</v>
      </c>
      <c r="T145" s="144">
        <f>(T138*T140*T144/1000)+T142</f>
        <v>5128.9784383519791</v>
      </c>
      <c r="U145" s="144">
        <f>(U138*U140*U144/1000)+U142</f>
        <v>5483.0775932334418</v>
      </c>
      <c r="V145" s="144">
        <f>(V138*V140*V144/1000)+V142</f>
        <v>5461.1941900543716</v>
      </c>
      <c r="W145" s="51"/>
      <c r="X145" s="144">
        <f>(X138*X140*X144/1000)+X142</f>
        <v>5242.0524675442348</v>
      </c>
      <c r="Y145" s="144">
        <f>(Y138*Y140*Y144/1000)+Y142</f>
        <v>5554.3949550214966</v>
      </c>
      <c r="Z145" s="144">
        <f>(Z138*Z140*Z144/1000)+Z142</f>
        <v>5983.9297342499976</v>
      </c>
      <c r="AA145" s="144">
        <f>(AA138*AA140*AA144/1000)+AA142</f>
        <v>6013.3682041054517</v>
      </c>
      <c r="AB145" s="51"/>
      <c r="AC145" s="144">
        <f>(AC138*AC140*AC144/1000)+AC142</f>
        <v>5724.0092394220919</v>
      </c>
      <c r="AD145" s="144">
        <f>(AD138*AD140*AD144/1000)+AD142</f>
        <v>6064.5837576480035</v>
      </c>
      <c r="AE145" s="144">
        <f>(AE138*AE140*AE144/1000)+AE142</f>
        <v>6547.2944342848305</v>
      </c>
      <c r="AF145" s="144">
        <f>(AF138*AF140*AF144/1000)+AF142</f>
        <v>6582.7629226867475</v>
      </c>
      <c r="AG145" s="51"/>
      <c r="AH145" s="144">
        <f>(AH138*AH140*AH144/1000)+AH142</f>
        <v>6227.4533834046606</v>
      </c>
      <c r="AI145" s="144">
        <f>(AI138*AI140*AI144/1000)+AI142</f>
        <v>6592.009645403843</v>
      </c>
      <c r="AJ145" s="144">
        <f>(AJ138*AJ140*AJ144/1000)+AJ142</f>
        <v>7109.0541927643981</v>
      </c>
      <c r="AK145" s="144">
        <f>(AK138*AK140*AK144/1000)+AK142</f>
        <v>7132.9674831833254</v>
      </c>
      <c r="AL145" s="51"/>
      <c r="AM145" s="144">
        <f>(AM138*AM140*AM144/1000)+AM142</f>
        <v>6731.1683826734497</v>
      </c>
      <c r="AN145" s="144">
        <f>(AN138*AN140*AN144/1000)+AN142</f>
        <v>7113.6506907414714</v>
      </c>
      <c r="AO145" s="144">
        <f>(AO138*AO140*AO144/1000)+AO142</f>
        <v>7658.0334573402361</v>
      </c>
      <c r="AP145" s="144">
        <f>(AP138*AP140*AP144/1000)+AP142</f>
        <v>7667.6918489219679</v>
      </c>
      <c r="AQ145" s="51"/>
    </row>
    <row r="146" spans="2:43" outlineLevel="1" x14ac:dyDescent="0.3">
      <c r="B146" s="135" t="s">
        <v>261</v>
      </c>
      <c r="C146" s="134"/>
      <c r="D146" s="320">
        <f>ROUND((524-D151),0)</f>
        <v>0</v>
      </c>
      <c r="E146" s="320">
        <f>ROUND((511-E151),0)</f>
        <v>0</v>
      </c>
      <c r="F146" s="320">
        <f>ROUND((549-F151),0)</f>
        <v>0</v>
      </c>
      <c r="G146" s="320">
        <f>ROUND((656-G151),0)</f>
        <v>0</v>
      </c>
      <c r="H146" s="136"/>
      <c r="I146" s="320">
        <f>ROUND((596-I151),0)</f>
        <v>0</v>
      </c>
      <c r="J146" s="320">
        <f>ROUND((450-J151),0)</f>
        <v>0</v>
      </c>
      <c r="K146" s="320">
        <f>ROUND((501-K151),0)</f>
        <v>0</v>
      </c>
      <c r="L146" s="320">
        <f>ROUND((696-L151),0)</f>
        <v>0</v>
      </c>
      <c r="M146" s="136"/>
      <c r="N146" s="320">
        <f>ROUND((606-N151),0)</f>
        <v>0</v>
      </c>
      <c r="O146" s="320">
        <f>ROUND((496-O151),0)</f>
        <v>0</v>
      </c>
      <c r="P146" s="320">
        <f>ROUND((614-P151),0)</f>
        <v>0</v>
      </c>
      <c r="Q146" s="320">
        <f>ROUND((813-Q151),0)</f>
        <v>1</v>
      </c>
      <c r="R146" s="147"/>
      <c r="S146" s="321"/>
      <c r="T146" s="321"/>
      <c r="U146" s="321"/>
      <c r="V146" s="321"/>
      <c r="W146" s="136"/>
      <c r="X146" s="321"/>
      <c r="Y146" s="321"/>
      <c r="Z146" s="321"/>
      <c r="AA146" s="321"/>
      <c r="AB146" s="136"/>
      <c r="AC146" s="321"/>
      <c r="AD146" s="321"/>
      <c r="AE146" s="321"/>
      <c r="AF146" s="321"/>
      <c r="AG146" s="136"/>
      <c r="AH146" s="321"/>
      <c r="AI146" s="321"/>
      <c r="AJ146" s="321"/>
      <c r="AK146" s="321"/>
      <c r="AL146" s="136"/>
      <c r="AM146" s="321"/>
      <c r="AN146" s="321"/>
      <c r="AO146" s="321"/>
      <c r="AP146" s="321"/>
      <c r="AQ146" s="136"/>
    </row>
    <row r="147" spans="2:43" outlineLevel="1" x14ac:dyDescent="0.3">
      <c r="B147" s="127" t="s">
        <v>158</v>
      </c>
      <c r="C147" s="134"/>
      <c r="D147" s="168">
        <v>3</v>
      </c>
      <c r="E147" s="168">
        <v>2</v>
      </c>
      <c r="F147" s="168">
        <v>3</v>
      </c>
      <c r="G147" s="168">
        <v>2</v>
      </c>
      <c r="H147" s="136"/>
      <c r="I147" s="168">
        <v>2</v>
      </c>
      <c r="J147" s="168">
        <v>3</v>
      </c>
      <c r="K147" s="168">
        <v>3</v>
      </c>
      <c r="L147" s="168">
        <v>2</v>
      </c>
      <c r="M147" s="136"/>
      <c r="N147" s="168">
        <v>2</v>
      </c>
      <c r="O147" s="168">
        <v>4</v>
      </c>
      <c r="P147" s="168">
        <v>4</v>
      </c>
      <c r="Q147" s="168">
        <v>3</v>
      </c>
      <c r="R147" s="136"/>
      <c r="S147" s="168">
        <v>3</v>
      </c>
      <c r="T147" s="140">
        <f>+S147/S138*T138</f>
        <v>3.357422825898873</v>
      </c>
      <c r="U147" s="140">
        <f>+T147/T138*U138</f>
        <v>3.5218463257090105</v>
      </c>
      <c r="V147" s="140">
        <f>+U147/U138*V138</f>
        <v>3.1951721631872378</v>
      </c>
      <c r="W147" s="136"/>
      <c r="X147" s="140">
        <f>+V147/V138*X138</f>
        <v>3.159562546051824</v>
      </c>
      <c r="Y147" s="140">
        <f>+X147/X138*Y138</f>
        <v>3.5224942005249216</v>
      </c>
      <c r="Z147" s="140">
        <f>+Y147/Y138*Z138</f>
        <v>3.7094427143664848</v>
      </c>
      <c r="AA147" s="140">
        <f>+Z147/Z138*AA138</f>
        <v>3.3814574906535682</v>
      </c>
      <c r="AB147" s="136"/>
      <c r="AC147" s="140">
        <f>(AA147/AA138*AC138)*(1+0.5%)</f>
        <v>3.3451803979057835</v>
      </c>
      <c r="AD147" s="140">
        <f>(AC147/AC138*AD138)*(1+0.5%)</f>
        <v>3.7483413601675313</v>
      </c>
      <c r="AE147" s="140">
        <f>(AD147/AD138*AE138)*(1+0.5%)</f>
        <v>3.971142928681032</v>
      </c>
      <c r="AF147" s="140">
        <f>(AE147/AE138*AF138)*(1+0.5%)</f>
        <v>3.6393123077335199</v>
      </c>
      <c r="AG147" s="136"/>
      <c r="AH147" s="140">
        <f>(AF147/AF138*AH138)*(1+0.5%)</f>
        <v>3.5889174994392374</v>
      </c>
      <c r="AI147" s="140">
        <f>(AH147/AH138*AI138)*(1+0.5%)</f>
        <v>4.0197232715070825</v>
      </c>
      <c r="AJ147" s="140">
        <f>(AI147/AI138*AJ138)*(1+0.5%)</f>
        <v>4.2562900623865998</v>
      </c>
      <c r="AK147" s="140">
        <f>(AJ147/AJ138*AK138)*(1+0.5%)</f>
        <v>3.8969042204507476</v>
      </c>
      <c r="AL147" s="136"/>
      <c r="AM147" s="140">
        <f>(AK147/AK138*AM138)*(1+0.5%)</f>
        <v>3.8380299883992675</v>
      </c>
      <c r="AN147" s="140">
        <f>(AM147/AM138*AN138)*(1+0.5%)</f>
        <v>4.2952710878752791</v>
      </c>
      <c r="AO147" s="140">
        <f>(AN147/AN138*AO138)*(1+0.5%)</f>
        <v>4.5439559227525699</v>
      </c>
      <c r="AP147" s="140">
        <f>(AO147/AO138*AP138)*(1+0.5%)</f>
        <v>4.1561705966830784</v>
      </c>
      <c r="AQ147" s="136"/>
    </row>
    <row r="148" spans="2:43" outlineLevel="1" x14ac:dyDescent="0.3">
      <c r="B148" s="127" t="s">
        <v>157</v>
      </c>
      <c r="C148" s="134"/>
      <c r="D148" s="168">
        <v>132</v>
      </c>
      <c r="E148" s="168">
        <v>136</v>
      </c>
      <c r="F148" s="168">
        <v>145</v>
      </c>
      <c r="G148" s="168">
        <v>143</v>
      </c>
      <c r="H148" s="136"/>
      <c r="I148" s="168">
        <v>145</v>
      </c>
      <c r="J148" s="168">
        <v>155</v>
      </c>
      <c r="K148" s="168">
        <v>165</v>
      </c>
      <c r="L148" s="168">
        <v>162</v>
      </c>
      <c r="M148" s="136"/>
      <c r="N148" s="168">
        <v>161</v>
      </c>
      <c r="O148" s="168">
        <v>166</v>
      </c>
      <c r="P148" s="168">
        <v>177</v>
      </c>
      <c r="Q148" s="168">
        <v>177</v>
      </c>
      <c r="R148" s="136"/>
      <c r="S148" s="168">
        <v>173</v>
      </c>
      <c r="T148" s="168">
        <f>S148/(S69+S148+S165+S179)*T18</f>
        <v>159.20666330494603</v>
      </c>
      <c r="U148" s="168">
        <f>T148/(T69+T148+T165+T179)*U18</f>
        <v>161.22862955351263</v>
      </c>
      <c r="V148" s="168">
        <f>U148/(U69+U148+U165+U179)*V18</f>
        <v>165.37585392129211</v>
      </c>
      <c r="W148" s="136"/>
      <c r="X148" s="168">
        <f>V148/(V69+V148+V165+V179)*X18</f>
        <v>171.50518000056172</v>
      </c>
      <c r="Y148" s="168">
        <f>X148/(X69+X148+X165+X179)*Y18</f>
        <v>175.56966052816031</v>
      </c>
      <c r="Z148" s="168">
        <f>Y148/(Y69+Y148+Y165+Y179)*Z18</f>
        <v>177.68651487414817</v>
      </c>
      <c r="AA148" s="168">
        <f>Z148/(Z69+Z148+Z165+Z179)*AA18</f>
        <v>181.99292612892634</v>
      </c>
      <c r="AB148" s="136"/>
      <c r="AC148" s="168">
        <f>AA148/(AA69+AA148+AA165+AA179)*AC18</f>
        <v>188.44243194726147</v>
      </c>
      <c r="AD148" s="168">
        <f>AC148/(AC69+AC148+AC165+AC179)*AD18</f>
        <v>192.76664609454639</v>
      </c>
      <c r="AE148" s="168">
        <f>AD148/(AD69+AD148+AD165+AD179)*AE18</f>
        <v>194.9985108130065</v>
      </c>
      <c r="AF148" s="168">
        <f>AE148/(AE69+AE148+AE165+AE179)*AF18</f>
        <v>199.53582390179645</v>
      </c>
      <c r="AG148" s="136"/>
      <c r="AH148" s="168">
        <f>AF148/(AF69+AF148+AF165+AF179)*AH18</f>
        <v>206.34431757239653</v>
      </c>
      <c r="AI148" s="168">
        <f>AH148/(AH69+AH148+AH165+AH179)*AI18</f>
        <v>210.89993036048986</v>
      </c>
      <c r="AJ148" s="168">
        <f>AI148/(AI69+AI148+AI165+AI179)*AJ18</f>
        <v>213.24716444068031</v>
      </c>
      <c r="AK148" s="168">
        <f>AJ148/(AJ69+AJ148+AJ165+AJ179)*AK18</f>
        <v>218.01476985218488</v>
      </c>
      <c r="AL148" s="136"/>
      <c r="AM148" s="168">
        <f>AK148/(AK69+AK148+AK165+AK179)*AM18</f>
        <v>225.16805667567738</v>
      </c>
      <c r="AN148" s="168">
        <f>AM148/(AM69+AM148+AM165+AM179)*AN18</f>
        <v>229.9422272876335</v>
      </c>
      <c r="AO148" s="168">
        <f>AN148/(AN69+AN148+AN165+AN179)*AO18</f>
        <v>232.39942785489217</v>
      </c>
      <c r="AP148" s="168">
        <f>AO148/(AO69+AO148+AO165+AO179)*AP18</f>
        <v>237.38691119596899</v>
      </c>
      <c r="AQ148" s="136"/>
    </row>
    <row r="149" spans="2:43" outlineLevel="1" x14ac:dyDescent="0.3">
      <c r="B149" s="127" t="s">
        <v>253</v>
      </c>
      <c r="C149" s="134"/>
      <c r="D149" s="168">
        <v>2801</v>
      </c>
      <c r="E149" s="168">
        <v>3028</v>
      </c>
      <c r="F149" s="168">
        <v>3328</v>
      </c>
      <c r="G149" s="168">
        <v>3088</v>
      </c>
      <c r="H149" s="136"/>
      <c r="I149" s="168">
        <f>3141+9</f>
        <v>3150</v>
      </c>
      <c r="J149" s="168">
        <f>3400+9</f>
        <v>3409</v>
      </c>
      <c r="K149" s="168">
        <f>3618+10</f>
        <v>3628</v>
      </c>
      <c r="L149" s="168">
        <f>3428+8</f>
        <v>3436</v>
      </c>
      <c r="M149" s="136"/>
      <c r="N149" s="168">
        <f>3457+19</f>
        <v>3476</v>
      </c>
      <c r="O149" s="168">
        <f>3840+19</f>
        <v>3859</v>
      </c>
      <c r="P149" s="168">
        <f>4014+19</f>
        <v>4033</v>
      </c>
      <c r="Q149" s="168">
        <f>3786+19</f>
        <v>3805</v>
      </c>
      <c r="R149" s="136"/>
      <c r="S149" s="168">
        <v>3956</v>
      </c>
      <c r="T149" s="168">
        <f>+T150*T145</f>
        <v>4399.4221833351094</v>
      </c>
      <c r="U149" s="168">
        <f>+U150*U145</f>
        <v>4593.5640212639955</v>
      </c>
      <c r="V149" s="168">
        <f>+V150*V145</f>
        <v>4332.0523683098327</v>
      </c>
      <c r="W149" s="136"/>
      <c r="X149" s="168">
        <f>+X150*X145</f>
        <v>4282.352512980412</v>
      </c>
      <c r="Y149" s="168">
        <f>+Y150*Y145</f>
        <v>4780.5361520857487</v>
      </c>
      <c r="Z149" s="168">
        <f>+Z150*Z145</f>
        <v>5030.6265582542301</v>
      </c>
      <c r="AA149" s="168">
        <f>+AA150*AA145</f>
        <v>4787.6093606261684</v>
      </c>
      <c r="AB149" s="136"/>
      <c r="AC149" s="168">
        <f>+AC150*AC145</f>
        <v>4618.8339268049094</v>
      </c>
      <c r="AD149" s="168">
        <f>+AD150*AD145</f>
        <v>5158.9977303656769</v>
      </c>
      <c r="AE149" s="168">
        <f>+AE150*AE145</f>
        <v>5438.7683700735161</v>
      </c>
      <c r="AF149" s="168">
        <f>+AF150*AF145</f>
        <v>5175.1116111012943</v>
      </c>
      <c r="AG149" s="136"/>
      <c r="AH149" s="168">
        <f>+AH150*AH145</f>
        <v>5040.6431505935507</v>
      </c>
      <c r="AI149" s="168">
        <f>+AI150*AI145</f>
        <v>5624.1464622758349</v>
      </c>
      <c r="AJ149" s="168">
        <f>+AJ150*AJ145</f>
        <v>5923.1889067098127</v>
      </c>
      <c r="AK149" s="168">
        <f>+AK150*AK145</f>
        <v>5625.4934080792164</v>
      </c>
      <c r="AL149" s="136"/>
      <c r="AM149" s="168">
        <f>+AM150*AM145</f>
        <v>5465.1895087017156</v>
      </c>
      <c r="AN149" s="168">
        <f>+AN150*AN145</f>
        <v>6086.9823710125984</v>
      </c>
      <c r="AO149" s="168">
        <f>+AO150*AO145</f>
        <v>6399.7377183003919</v>
      </c>
      <c r="AP149" s="168">
        <f>+AP150*AP145</f>
        <v>6066.3789011912868</v>
      </c>
      <c r="AQ149" s="136"/>
    </row>
    <row r="150" spans="2:43" outlineLevel="1" x14ac:dyDescent="0.3">
      <c r="B150" s="127" t="s">
        <v>255</v>
      </c>
      <c r="C150" s="134"/>
      <c r="D150" s="321">
        <f>+D149/D145</f>
        <v>0.80942113398303428</v>
      </c>
      <c r="E150" s="321">
        <f>+E149/E145</f>
        <v>0.82344904746319658</v>
      </c>
      <c r="F150" s="321">
        <f>+F149/F145</f>
        <v>0.82677573665224502</v>
      </c>
      <c r="G150" s="321">
        <f>+G149/G145</f>
        <v>0.79412622398812505</v>
      </c>
      <c r="H150" s="136"/>
      <c r="I150" s="321">
        <f>+I149/I145</f>
        <v>0.80922002504793389</v>
      </c>
      <c r="J150" s="321">
        <f>+J149/J145</f>
        <v>0.84874427222313698</v>
      </c>
      <c r="K150" s="321">
        <f>+K149/K145</f>
        <v>0.84438257050604137</v>
      </c>
      <c r="L150" s="321">
        <f>+L149/L145</f>
        <v>0.7999050312518845</v>
      </c>
      <c r="M150" s="322"/>
      <c r="N150" s="146">
        <f>+N149/N145</f>
        <v>0.8187787037121752</v>
      </c>
      <c r="O150" s="146">
        <f>+O149/O145</f>
        <v>0.85275797972523981</v>
      </c>
      <c r="P150" s="146">
        <f>+P149/P145</f>
        <v>0.83527111360467032</v>
      </c>
      <c r="Q150" s="146">
        <f>+Q149/Q145</f>
        <v>0.79324268970312939</v>
      </c>
      <c r="R150" s="179"/>
      <c r="S150" s="146">
        <f>+S149/S145</f>
        <v>0.82435379497812655</v>
      </c>
      <c r="T150" s="177">
        <f>+O150+0.5%</f>
        <v>0.85775797972523982</v>
      </c>
      <c r="U150" s="177">
        <f>+P150+0.25%</f>
        <v>0.83777111360467027</v>
      </c>
      <c r="V150" s="177">
        <f>+Q150</f>
        <v>0.79324268970312939</v>
      </c>
      <c r="W150" s="136"/>
      <c r="X150" s="177">
        <f>+S150-0.743093136806766%</f>
        <v>0.81692286361005895</v>
      </c>
      <c r="Y150" s="177">
        <f>+T150+0.29183298994234%</f>
        <v>0.86067630962466324</v>
      </c>
      <c r="Z150" s="177">
        <f>+U150+0.29183298994234%</f>
        <v>0.84068944350409369</v>
      </c>
      <c r="AA150" s="177">
        <f>+V150+0.29183298994234%</f>
        <v>0.79616101960255281</v>
      </c>
      <c r="AB150" s="136"/>
      <c r="AC150" s="177">
        <f>+X150-1%</f>
        <v>0.80692286361005894</v>
      </c>
      <c r="AD150" s="177">
        <f>+Y150-1%</f>
        <v>0.85067630962466323</v>
      </c>
      <c r="AE150" s="177">
        <f>+Z150-1%</f>
        <v>0.83068944350409368</v>
      </c>
      <c r="AF150" s="177">
        <f>+AA150-1%</f>
        <v>0.7861610196025528</v>
      </c>
      <c r="AG150" s="136"/>
      <c r="AH150" s="177">
        <f>+AC150+0.25%</f>
        <v>0.80942286361005888</v>
      </c>
      <c r="AI150" s="177">
        <f>+AD150+0.25%</f>
        <v>0.85317630962466318</v>
      </c>
      <c r="AJ150" s="177">
        <f>+AE150+0.25%</f>
        <v>0.83318944350409363</v>
      </c>
      <c r="AK150" s="177">
        <f>+AF150+0.25%</f>
        <v>0.78866101960255275</v>
      </c>
      <c r="AL150" s="136"/>
      <c r="AM150" s="177">
        <f>+AH150+0.25%</f>
        <v>0.81192286361005883</v>
      </c>
      <c r="AN150" s="177">
        <f>+AI150+0.25%</f>
        <v>0.85567630962466312</v>
      </c>
      <c r="AO150" s="177">
        <f>+AJ150+0.25%</f>
        <v>0.83568944350409358</v>
      </c>
      <c r="AP150" s="177">
        <f>+AK150+0.25%</f>
        <v>0.7911610196025527</v>
      </c>
      <c r="AQ150" s="136"/>
    </row>
    <row r="151" spans="2:43" s="55" customFormat="1" outlineLevel="1" x14ac:dyDescent="0.3">
      <c r="B151" s="172" t="s">
        <v>327</v>
      </c>
      <c r="C151" s="134"/>
      <c r="D151" s="169">
        <f>+D145-D148-D149-D147</f>
        <v>524.49773399999958</v>
      </c>
      <c r="E151" s="169">
        <f>+E145-E148-E149-E147</f>
        <v>511.21598479999966</v>
      </c>
      <c r="F151" s="169">
        <f>+F145-F148-F149-F147</f>
        <v>549.27535880000005</v>
      </c>
      <c r="G151" s="169">
        <f>+G145-G148-G149-G147</f>
        <v>655.55059399999936</v>
      </c>
      <c r="H151" s="173"/>
      <c r="I151" s="169">
        <f>+I145-I148-I149-I147</f>
        <v>595.63723399999981</v>
      </c>
      <c r="J151" s="169">
        <f>+J145-J148-J149-J147</f>
        <v>449.52195079999956</v>
      </c>
      <c r="K151" s="169">
        <f>+K145-K148-K149-K147</f>
        <v>500.6306112000002</v>
      </c>
      <c r="L151" s="169">
        <f>+L145-L148-L149-L147</f>
        <v>695.50992399999996</v>
      </c>
      <c r="M151" s="173"/>
      <c r="N151" s="169">
        <f>+N145-N148-N149-N147</f>
        <v>606.34734995002509</v>
      </c>
      <c r="O151" s="169">
        <f>+O145-O148-O149-O147</f>
        <v>496.31678594596906</v>
      </c>
      <c r="P151" s="169">
        <f>+P145-P148-P149-P147</f>
        <v>614.37241024092054</v>
      </c>
      <c r="Q151" s="169">
        <f>+Q145-Q148-Q149-Q147</f>
        <v>811.76654999999937</v>
      </c>
      <c r="R151" s="173"/>
      <c r="S151" s="169">
        <f>+S145-S148-S149-S147</f>
        <v>666.91040000000066</v>
      </c>
      <c r="T151" s="169">
        <f>+T145-T148-T149-T147</f>
        <v>566.99216888602461</v>
      </c>
      <c r="U151" s="169">
        <f>+U145-U148-U149-U147</f>
        <v>724.76309609022496</v>
      </c>
      <c r="V151" s="169">
        <f>+V145-V148-V149-V147</f>
        <v>960.57079566005939</v>
      </c>
      <c r="W151" s="173"/>
      <c r="X151" s="169">
        <f>+X145-X148-X149-X147</f>
        <v>785.03521201720969</v>
      </c>
      <c r="Y151" s="169">
        <f>+Y145-Y148-Y149-Y147</f>
        <v>594.76664820706299</v>
      </c>
      <c r="Z151" s="169">
        <f>+Z145-Z148-Z149-Z147</f>
        <v>771.90721840725303</v>
      </c>
      <c r="AA151" s="169">
        <f>+AA145-AA148-AA149-AA147</f>
        <v>1040.3844598597036</v>
      </c>
      <c r="AB151" s="173"/>
      <c r="AC151" s="169">
        <f>+AC145-AC148-AC149-AC147</f>
        <v>913.38770027201485</v>
      </c>
      <c r="AD151" s="169">
        <f>+AD145-AD148-AD149-AD147</f>
        <v>709.07103982761248</v>
      </c>
      <c r="AE151" s="169">
        <f>+AE145-AE148-AE149-AE147</f>
        <v>909.5564104696266</v>
      </c>
      <c r="AF151" s="169">
        <f>+AF145-AF148-AF149-AF147</f>
        <v>1204.4761753759237</v>
      </c>
      <c r="AG151" s="173"/>
      <c r="AH151" s="169">
        <f>+AH145-AH148-AH149-AH147</f>
        <v>976.87699773927375</v>
      </c>
      <c r="AI151" s="169">
        <f>+AI145-AI148-AI149-AI147</f>
        <v>752.94352949601137</v>
      </c>
      <c r="AJ151" s="169">
        <f>+AJ145-AJ148-AJ149-AJ147</f>
        <v>968.36183155151821</v>
      </c>
      <c r="AK151" s="169">
        <f>+AK145-AK148-AK149-AK147</f>
        <v>1285.5624010314732</v>
      </c>
      <c r="AL151" s="173"/>
      <c r="AM151" s="169">
        <f>+AM145-AM148-AM149-AM147</f>
        <v>1036.9727873076572</v>
      </c>
      <c r="AN151" s="169">
        <f>+AN145-AN148-AN149-AN147</f>
        <v>792.43082135336408</v>
      </c>
      <c r="AO151" s="169">
        <f>+AO145-AO148-AO149-AO147</f>
        <v>1021.352355262199</v>
      </c>
      <c r="AP151" s="169">
        <f>+AP145-AP148-AP149-AP147</f>
        <v>1359.7698659380287</v>
      </c>
      <c r="AQ151" s="173"/>
    </row>
    <row r="152" spans="2:43" s="55" customFormat="1" outlineLevel="1" x14ac:dyDescent="0.3">
      <c r="B152" s="172" t="s">
        <v>263</v>
      </c>
      <c r="C152" s="134"/>
      <c r="D152" s="323">
        <f>+D151/D145</f>
        <v>0.15156713696030399</v>
      </c>
      <c r="E152" s="323">
        <f>+E151/E145</f>
        <v>0.13902256133801838</v>
      </c>
      <c r="F152" s="323">
        <f>+F151/F145</f>
        <v>0.13645659236682581</v>
      </c>
      <c r="G152" s="323">
        <f>+G151/G145</f>
        <v>0.16858481795543778</v>
      </c>
      <c r="H152" s="324"/>
      <c r="I152" s="323">
        <f>+I151/I145</f>
        <v>0.15301637378316252</v>
      </c>
      <c r="J152" s="323">
        <f>+J151/J145</f>
        <v>0.11191821090644483</v>
      </c>
      <c r="K152" s="323">
        <f>+K151/K145</f>
        <v>0.1165170238034914</v>
      </c>
      <c r="L152" s="323">
        <f>+L151/L145</f>
        <v>0.16191556679080785</v>
      </c>
      <c r="M152" s="324"/>
      <c r="N152" s="323">
        <f>+N151/N145</f>
        <v>0.14282632255218478</v>
      </c>
      <c r="O152" s="323">
        <f>+O151/O145</f>
        <v>0.10967558944985978</v>
      </c>
      <c r="P152" s="323">
        <f>+P151/P145</f>
        <v>0.12724213421024524</v>
      </c>
      <c r="Q152" s="323">
        <f>+Q151/Q145</f>
        <v>0.16923203194034939</v>
      </c>
      <c r="R152" s="324"/>
      <c r="S152" s="323">
        <f>+S151/S145</f>
        <v>0.13897121313204777</v>
      </c>
      <c r="T152" s="323">
        <f>+T151/T145</f>
        <v>0.11054680297470856</v>
      </c>
      <c r="U152" s="323">
        <f>+U151/U145</f>
        <v>0.13218180552189174</v>
      </c>
      <c r="V152" s="323">
        <f>+V151/V145</f>
        <v>0.17589024712019918</v>
      </c>
      <c r="W152" s="324"/>
      <c r="X152" s="323">
        <f>+X151/X145</f>
        <v>0.14975722140854081</v>
      </c>
      <c r="Y152" s="323">
        <f>+Y151/Y145</f>
        <v>0.10708036663279756</v>
      </c>
      <c r="Z152" s="323">
        <f>+Z151/Z145</f>
        <v>0.12899670495612878</v>
      </c>
      <c r="AA152" s="323">
        <f>+AA151/AA145</f>
        <v>0.17301193350332539</v>
      </c>
      <c r="AB152" s="324"/>
      <c r="AC152" s="323">
        <f>+AC151/AC145</f>
        <v>0.15957131829581611</v>
      </c>
      <c r="AD152" s="323">
        <f>+AD151/AD145</f>
        <v>0.11691998464583955</v>
      </c>
      <c r="AE152" s="323">
        <f>+AE151/AE145</f>
        <v>0.1389209572898914</v>
      </c>
      <c r="AF152" s="323">
        <f>+AF151/AF145</f>
        <v>0.18297426012789142</v>
      </c>
      <c r="AG152" s="324"/>
      <c r="AH152" s="323">
        <f>+AH151/AH145</f>
        <v>0.15686620799804327</v>
      </c>
      <c r="AI152" s="323">
        <f>+AI151/AI145</f>
        <v>0.11422063528395887</v>
      </c>
      <c r="AJ152" s="323">
        <f>+AJ151/AJ145</f>
        <v>0.13621528339692751</v>
      </c>
      <c r="AK152" s="323">
        <f>+AK151/AK145</f>
        <v>0.1802282716221984</v>
      </c>
      <c r="AL152" s="324"/>
      <c r="AM152" s="323">
        <f>+AM151/AM145</f>
        <v>0.15405539251950756</v>
      </c>
      <c r="AN152" s="323">
        <f>+AN151/AN145</f>
        <v>0.11139580165001992</v>
      </c>
      <c r="AO152" s="323">
        <f>+AO151/AO145</f>
        <v>0.13337005654933923</v>
      </c>
      <c r="AP152" s="323">
        <f>+AP151/AP145</f>
        <v>0.17733757338320844</v>
      </c>
      <c r="AQ152" s="324"/>
    </row>
    <row r="153" spans="2:43" ht="15.6" x14ac:dyDescent="0.3">
      <c r="B153" s="705" t="s">
        <v>244</v>
      </c>
      <c r="C153" s="713"/>
      <c r="D153" s="90" t="s">
        <v>71</v>
      </c>
      <c r="E153" s="90" t="s">
        <v>74</v>
      </c>
      <c r="F153" s="90" t="s">
        <v>75</v>
      </c>
      <c r="G153" s="90" t="s">
        <v>78</v>
      </c>
      <c r="H153" s="403"/>
      <c r="I153" s="90" t="s">
        <v>80</v>
      </c>
      <c r="J153" s="90" t="s">
        <v>91</v>
      </c>
      <c r="K153" s="90" t="s">
        <v>109</v>
      </c>
      <c r="L153" s="90" t="s">
        <v>113</v>
      </c>
      <c r="M153" s="403"/>
      <c r="N153" s="90" t="s">
        <v>115</v>
      </c>
      <c r="O153" s="90" t="s">
        <v>116</v>
      </c>
      <c r="P153" s="90" t="s">
        <v>117</v>
      </c>
      <c r="Q153" s="90" t="s">
        <v>118</v>
      </c>
      <c r="R153" s="403"/>
      <c r="S153" s="90" t="s">
        <v>511</v>
      </c>
      <c r="T153" s="92" t="s">
        <v>377</v>
      </c>
      <c r="U153" s="92" t="s">
        <v>378</v>
      </c>
      <c r="V153" s="92" t="s">
        <v>379</v>
      </c>
      <c r="W153" s="407"/>
      <c r="X153" s="92" t="s">
        <v>381</v>
      </c>
      <c r="Y153" s="92" t="s">
        <v>382</v>
      </c>
      <c r="Z153" s="92" t="s">
        <v>383</v>
      </c>
      <c r="AA153" s="92" t="s">
        <v>384</v>
      </c>
      <c r="AB153" s="407"/>
      <c r="AC153" s="92" t="s">
        <v>386</v>
      </c>
      <c r="AD153" s="92" t="s">
        <v>387</v>
      </c>
      <c r="AE153" s="92" t="s">
        <v>388</v>
      </c>
      <c r="AF153" s="92" t="s">
        <v>389</v>
      </c>
      <c r="AG153" s="407"/>
      <c r="AH153" s="92" t="s">
        <v>391</v>
      </c>
      <c r="AI153" s="92" t="s">
        <v>392</v>
      </c>
      <c r="AJ153" s="92" t="s">
        <v>393</v>
      </c>
      <c r="AK153" s="92" t="s">
        <v>394</v>
      </c>
      <c r="AL153" s="407"/>
      <c r="AM153" s="92" t="s">
        <v>396</v>
      </c>
      <c r="AN153" s="92" t="s">
        <v>397</v>
      </c>
      <c r="AO153" s="92" t="s">
        <v>398</v>
      </c>
      <c r="AP153" s="92" t="s">
        <v>399</v>
      </c>
      <c r="AQ153" s="407"/>
    </row>
    <row r="154" spans="2:43" ht="15.6" outlineLevel="1" x14ac:dyDescent="0.3">
      <c r="B154" s="301" t="s">
        <v>245</v>
      </c>
      <c r="C154" s="175"/>
      <c r="D154" s="157">
        <f>ROUND((1502-D162),0)</f>
        <v>0</v>
      </c>
      <c r="E154" s="157">
        <f>ROUND((1447-E162),0)</f>
        <v>0</v>
      </c>
      <c r="F154" s="157">
        <f>ROUND((1361-F162),0)</f>
        <v>0</v>
      </c>
      <c r="G154" s="157">
        <f>ROUND((1516-G162),0)</f>
        <v>0</v>
      </c>
      <c r="H154" s="54"/>
      <c r="I154" s="157">
        <f>ROUND((1562-I162),0)</f>
        <v>0</v>
      </c>
      <c r="J154" s="157">
        <f>ROUND((1502-J162),0)</f>
        <v>0</v>
      </c>
      <c r="K154" s="157">
        <f>ROUND((1406-K162),0)</f>
        <v>0</v>
      </c>
      <c r="L154" s="157">
        <f>ROUND((1600-L162),0)</f>
        <v>0</v>
      </c>
      <c r="M154" s="54"/>
      <c r="N154" s="157">
        <f>ROUND((1664-N162),0)</f>
        <v>0</v>
      </c>
      <c r="O154" s="157">
        <f>ROUND((1673-O162),0)</f>
        <v>0</v>
      </c>
      <c r="P154" s="157">
        <f>ROUND((1613-P162),0)</f>
        <v>0</v>
      </c>
      <c r="Q154" s="157">
        <f>ROUND((1862-Q162),0)</f>
        <v>0</v>
      </c>
      <c r="R154" s="54"/>
      <c r="S154" s="49"/>
      <c r="T154" s="49"/>
      <c r="U154" s="49"/>
      <c r="V154" s="49"/>
      <c r="W154" s="54"/>
      <c r="X154" s="49"/>
      <c r="Y154" s="49"/>
      <c r="Z154" s="49"/>
      <c r="AA154" s="49"/>
      <c r="AB154" s="54"/>
      <c r="AC154" s="49"/>
      <c r="AD154" s="49"/>
      <c r="AE154" s="49"/>
      <c r="AF154" s="49"/>
      <c r="AG154" s="54"/>
      <c r="AH154" s="49"/>
      <c r="AI154" s="49"/>
      <c r="AJ154" s="49"/>
      <c r="AK154" s="49"/>
      <c r="AL154" s="54"/>
      <c r="AM154" s="49"/>
      <c r="AN154" s="49"/>
      <c r="AO154" s="49"/>
      <c r="AP154" s="49"/>
      <c r="AQ154" s="54"/>
    </row>
    <row r="155" spans="2:43" outlineLevel="1" x14ac:dyDescent="0.3">
      <c r="B155" s="297" t="s">
        <v>376</v>
      </c>
      <c r="C155" s="292"/>
      <c r="D155" s="139">
        <v>97.153000000000006</v>
      </c>
      <c r="E155" s="139">
        <v>100.32899999999999</v>
      </c>
      <c r="F155" s="139">
        <v>94.744</v>
      </c>
      <c r="G155" s="139">
        <v>102.845</v>
      </c>
      <c r="H155" s="54"/>
      <c r="I155" s="139">
        <f>104811.4/1000</f>
        <v>104.81139999999999</v>
      </c>
      <c r="J155" s="139">
        <f>104125/1000</f>
        <v>104.125</v>
      </c>
      <c r="K155" s="139">
        <f>94583/1000</f>
        <v>94.582999999999998</v>
      </c>
      <c r="L155" s="139">
        <f>102709/1000</f>
        <v>102.709</v>
      </c>
      <c r="M155" s="54"/>
      <c r="N155" s="139">
        <f>106080/1000</f>
        <v>106.08</v>
      </c>
      <c r="O155" s="139">
        <f>108638/1000</f>
        <v>108.63800000000001</v>
      </c>
      <c r="P155" s="139">
        <f>100340/1000</f>
        <v>100.34</v>
      </c>
      <c r="Q155" s="264">
        <f>110560/1000</f>
        <v>110.56</v>
      </c>
      <c r="R155" s="54"/>
      <c r="S155" s="554">
        <f>115745/1000</f>
        <v>115.745</v>
      </c>
      <c r="T155" s="264">
        <f>+O155*(1+T156)</f>
        <v>116.01884004901586</v>
      </c>
      <c r="U155" s="264">
        <f>+P155*(1+U156)</f>
        <v>107.77410735927364</v>
      </c>
      <c r="V155" s="264">
        <f>+Q155*(1+V156)</f>
        <v>119.11675463792866</v>
      </c>
      <c r="W155" s="54"/>
      <c r="X155" s="264">
        <f>+S155*(1+X156)</f>
        <v>122.41579194806145</v>
      </c>
      <c r="Y155" s="264">
        <f>+T155*(1+Y156)</f>
        <v>121.73442481356618</v>
      </c>
      <c r="Z155" s="264">
        <f>+U155*(1+Z156)</f>
        <v>113.65807900436663</v>
      </c>
      <c r="AA155" s="264">
        <f>+V155*(1+AA156)</f>
        <v>126.23064196437967</v>
      </c>
      <c r="AB155" s="54"/>
      <c r="AC155" s="264">
        <f>+X155*(1+AC156)</f>
        <v>129.18584993419427</v>
      </c>
      <c r="AD155" s="264">
        <f>+Y155*(1+AD156)</f>
        <v>128.39589866198267</v>
      </c>
      <c r="AE155" s="264">
        <f>+Z155*(1+AE156)</f>
        <v>120.03266459286371</v>
      </c>
      <c r="AF155" s="264">
        <f>+AA155*(1+AF156)</f>
        <v>133.35739574644231</v>
      </c>
      <c r="AG155" s="54"/>
      <c r="AH155" s="264">
        <f>+AC155*(1+AH156)</f>
        <v>136.05107627442271</v>
      </c>
      <c r="AI155" s="264">
        <f>+AD155*(1+AI156)</f>
        <v>135.14976170829351</v>
      </c>
      <c r="AJ155" s="264">
        <f>+AE155*(1+AJ156)</f>
        <v>126.28300351770326</v>
      </c>
      <c r="AK155" s="264">
        <f>+AF155*(1+AK156)</f>
        <v>140.16776730609106</v>
      </c>
      <c r="AL155" s="54"/>
      <c r="AM155" s="264">
        <f>+AH155*(1+AM156)</f>
        <v>142.81569430502665</v>
      </c>
      <c r="AN155" s="264">
        <f>+AI155*(1+AN156)</f>
        <v>141.75397573043344</v>
      </c>
      <c r="AO155" s="264">
        <f>+AJ155*(1+AO156)</f>
        <v>132.33598824737373</v>
      </c>
      <c r="AP155" s="264">
        <f>+AK155*(1+AP156)</f>
        <v>146.7411987494736</v>
      </c>
      <c r="AQ155" s="54"/>
    </row>
    <row r="156" spans="2:43" outlineLevel="1" x14ac:dyDescent="0.3">
      <c r="B156" s="254" t="s">
        <v>247</v>
      </c>
      <c r="C156" s="292"/>
      <c r="D156" s="166">
        <f>+D155/88.69-1</f>
        <v>9.5422257300710411E-2</v>
      </c>
      <c r="E156" s="166">
        <f>+E155/91.92-1</f>
        <v>9.1481723237597734E-2</v>
      </c>
      <c r="F156" s="166">
        <f>+F155/85.77-1</f>
        <v>0.1046286580389415</v>
      </c>
      <c r="G156" s="166">
        <f>+G155/95.74-1</f>
        <v>7.4211405890954651E-2</v>
      </c>
      <c r="H156" s="54"/>
      <c r="I156" s="166">
        <f>+I155/D155-1</f>
        <v>7.8828239992588811E-2</v>
      </c>
      <c r="J156" s="166">
        <f>+J155/E155-1</f>
        <v>3.7835521135464401E-2</v>
      </c>
      <c r="K156" s="166">
        <f>+K155/F155-1</f>
        <v>-1.6993160516760586E-3</v>
      </c>
      <c r="L156" s="166">
        <f>+L155/G155-1</f>
        <v>-1.3223783363313091E-3</v>
      </c>
      <c r="M156" s="54"/>
      <c r="N156" s="166">
        <f>+N155/I155-1</f>
        <v>1.2103645214165626E-2</v>
      </c>
      <c r="O156" s="166">
        <f>+O155/J155-1</f>
        <v>4.3342136854741975E-2</v>
      </c>
      <c r="P156" s="166">
        <f>+P155/K155-1</f>
        <v>6.0867174862290208E-2</v>
      </c>
      <c r="Q156" s="166">
        <f>+Q155/L155-1</f>
        <v>7.6439260434820744E-2</v>
      </c>
      <c r="R156" s="54"/>
      <c r="S156" s="166">
        <f>+S155/N155-1</f>
        <v>9.1110482654600311E-2</v>
      </c>
      <c r="T156" s="142">
        <f>AVERAGE(S156,Q156,P156,O156)</f>
        <v>6.7939763701613309E-2</v>
      </c>
      <c r="U156" s="142">
        <f>AVERAGE(T156,S156,Q156,P156)</f>
        <v>7.4089170413331143E-2</v>
      </c>
      <c r="V156" s="142">
        <f>AVERAGE(U156,T156,S156,Q156)</f>
        <v>7.7394669301091373E-2</v>
      </c>
      <c r="W156" s="54"/>
      <c r="X156" s="142">
        <f>AVERAGE(V156,U156,T156,S156)-2%</f>
        <v>5.7633521517659034E-2</v>
      </c>
      <c r="Y156" s="142">
        <f>AVERAGE(X156,V156,U156,T156)-2%</f>
        <v>4.9264281233423704E-2</v>
      </c>
      <c r="Z156" s="142">
        <f>AVERAGE(Y156,X156,V156,U156)-1%</f>
        <v>5.4595410616376315E-2</v>
      </c>
      <c r="AA156" s="142">
        <f>AVERAGE(Z156,Y156,X156,V156)</f>
        <v>5.9721970667137601E-2</v>
      </c>
      <c r="AB156" s="54"/>
      <c r="AC156" s="142">
        <f>AVERAGE(AA156,Z156,Y156,X156)</f>
        <v>5.5303796008649167E-2</v>
      </c>
      <c r="AD156" s="142">
        <f>AVERAGE(AC156,AA156,Z156,Y156)</f>
        <v>5.4721364631396693E-2</v>
      </c>
      <c r="AE156" s="142">
        <f>AVERAGE(AD156,AC156,AA156,Z156)</f>
        <v>5.6085635480889948E-2</v>
      </c>
      <c r="AF156" s="142">
        <f>AVERAGE(AE156,AD156,AC156,AA156)</f>
        <v>5.6458191697018358E-2</v>
      </c>
      <c r="AG156" s="54"/>
      <c r="AH156" s="177">
        <f>AVERAGE(AF156,AE156,AD156,AC156)-0.25%</f>
        <v>5.3142246954488534E-2</v>
      </c>
      <c r="AI156" s="177">
        <f>AVERAGE(AH156,AF156,AE156,AD156)-0.25%</f>
        <v>5.2601859690948383E-2</v>
      </c>
      <c r="AJ156" s="177">
        <f>AVERAGE(AI156,AH156,AF156,AE156)-0.25%</f>
        <v>5.2071983455836302E-2</v>
      </c>
      <c r="AK156" s="177">
        <f>AVERAGE(AJ156,AI156,AH156,AF156)-0.25%</f>
        <v>5.1068570449572893E-2</v>
      </c>
      <c r="AL156" s="54"/>
      <c r="AM156" s="177">
        <f>AVERAGE(AK156,AJ156,AI156,AH156)-0.25%</f>
        <v>4.972116513771152E-2</v>
      </c>
      <c r="AN156" s="177">
        <f>AVERAGE(AM156,AK156,AJ156,AI156)-0.25%</f>
        <v>4.8865894683517271E-2</v>
      </c>
      <c r="AO156" s="177">
        <f>AVERAGE(AN156,AM156,AK156,AJ156)-0.25%</f>
        <v>4.7931903431659491E-2</v>
      </c>
      <c r="AP156" s="177">
        <f>AVERAGE(AO156,AN156,AM156,AK156)-0.25%</f>
        <v>4.6896883425615286E-2</v>
      </c>
      <c r="AQ156" s="54"/>
    </row>
    <row r="157" spans="2:43" outlineLevel="1" x14ac:dyDescent="0.3">
      <c r="B157" s="297" t="s">
        <v>248</v>
      </c>
      <c r="C157" s="292"/>
      <c r="D157" s="139">
        <v>1189</v>
      </c>
      <c r="E157" s="139">
        <v>1167</v>
      </c>
      <c r="F157" s="139">
        <v>1177</v>
      </c>
      <c r="G157" s="139">
        <v>1173</v>
      </c>
      <c r="H157" s="54"/>
      <c r="I157" s="139">
        <v>1152</v>
      </c>
      <c r="J157" s="139">
        <v>1149.0166428171599</v>
      </c>
      <c r="K157" s="139">
        <v>1172</v>
      </c>
      <c r="L157" s="139">
        <v>1174</v>
      </c>
      <c r="M157" s="54"/>
      <c r="N157" s="139">
        <v>1173</v>
      </c>
      <c r="O157" s="139">
        <v>1187</v>
      </c>
      <c r="P157" s="139">
        <v>1202</v>
      </c>
      <c r="Q157" s="264">
        <v>1198</v>
      </c>
      <c r="R157" s="54"/>
      <c r="S157" s="264">
        <v>1156</v>
      </c>
      <c r="T157" s="264">
        <f>+O157*(1+T158)</f>
        <v>1206.1714504968891</v>
      </c>
      <c r="U157" s="264">
        <f>+P157*(1+U158)</f>
        <v>1216.3334371181963</v>
      </c>
      <c r="V157" s="264">
        <f>+Q157*(1+V158)</f>
        <v>1208.1907908626642</v>
      </c>
      <c r="W157" s="54"/>
      <c r="X157" s="264">
        <f>+S157*(1+X158)</f>
        <v>1139.2638903447464</v>
      </c>
      <c r="Y157" s="264">
        <f>+T157*(1+Y158)</f>
        <v>1188.7135468830218</v>
      </c>
      <c r="Z157" s="264">
        <f>+U157*(1+Z158)</f>
        <v>1201.5792335376757</v>
      </c>
      <c r="AA157" s="264">
        <f>+V157*(1+AA158)</f>
        <v>1198.3515927872845</v>
      </c>
      <c r="AB157" s="54"/>
      <c r="AC157" s="264">
        <f>+X157*(1+AC158)</f>
        <v>1125.2437586641231</v>
      </c>
      <c r="AD157" s="264">
        <f>+Y157*(1+AD158)</f>
        <v>1174.7301347916334</v>
      </c>
      <c r="AE157" s="264">
        <f>+Z157*(1+AE158)</f>
        <v>1188.2586459866598</v>
      </c>
      <c r="AF157" s="264">
        <f>+AA157*(1+AF158)</f>
        <v>1185.3796056381152</v>
      </c>
      <c r="AG157" s="54"/>
      <c r="AH157" s="264">
        <f>+AC157*(1+AH158)</f>
        <v>1109.4958174786707</v>
      </c>
      <c r="AI157" s="264">
        <f>+AD157*(1+AI158)</f>
        <v>1157.7936450556222</v>
      </c>
      <c r="AJ157" s="264">
        <f>+AE157*(1+AJ158)</f>
        <v>1170.3387425167102</v>
      </c>
      <c r="AK157" s="264">
        <f>+AF157*(1+AK158)</f>
        <v>1166.3192491510133</v>
      </c>
      <c r="AL157" s="54"/>
      <c r="AM157" s="264">
        <f>+AH157*(1+AM158)</f>
        <v>1090.198126170033</v>
      </c>
      <c r="AN157" s="264">
        <f>+AI157*(1+AN158)</f>
        <v>1136.6723335612737</v>
      </c>
      <c r="AO157" s="264">
        <f>+AJ157*(1+AO158)</f>
        <v>1147.8693265687677</v>
      </c>
      <c r="AP157" s="264">
        <f>+AK157*(1+AP158)</f>
        <v>1142.7262022823004</v>
      </c>
      <c r="AQ157" s="54"/>
    </row>
    <row r="158" spans="2:43" outlineLevel="1" x14ac:dyDescent="0.3">
      <c r="B158" s="254" t="s">
        <v>246</v>
      </c>
      <c r="C158" s="292"/>
      <c r="D158" s="166">
        <f>+D157/1166-1</f>
        <v>1.9725557461406584E-2</v>
      </c>
      <c r="E158" s="166">
        <f>+E157/1165-1</f>
        <v>1.7167381974247942E-3</v>
      </c>
      <c r="F158" s="166">
        <f>+F157/1195.2-1</f>
        <v>-1.5227576974565005E-2</v>
      </c>
      <c r="G158" s="166">
        <f>+G157/1200-1</f>
        <v>-2.2499999999999964E-2</v>
      </c>
      <c r="H158" s="54"/>
      <c r="I158" s="166">
        <f>+I157/D157-1</f>
        <v>-3.1118587047939461E-2</v>
      </c>
      <c r="J158" s="166">
        <f>+J157/E157-1</f>
        <v>-1.5409903327198049E-2</v>
      </c>
      <c r="K158" s="166">
        <f>+K157/F157-1</f>
        <v>-4.2480883602379338E-3</v>
      </c>
      <c r="L158" s="166">
        <f>+L157/G157-1</f>
        <v>8.5251491901106036E-4</v>
      </c>
      <c r="M158" s="54"/>
      <c r="N158" s="166">
        <f>+N157/I157-1</f>
        <v>1.8229166666666741E-2</v>
      </c>
      <c r="O158" s="166">
        <f>+O157/J157-1</f>
        <v>3.3057273295635126E-2</v>
      </c>
      <c r="P158" s="166">
        <f>+P157/K157-1</f>
        <v>2.5597269624573427E-2</v>
      </c>
      <c r="Q158" s="166">
        <f>+Q157/L157-1</f>
        <v>2.0442930153321992E-2</v>
      </c>
      <c r="R158" s="54"/>
      <c r="S158" s="166">
        <f>+S157/N157-1</f>
        <v>-1.4492753623188359E-2</v>
      </c>
      <c r="T158" s="142">
        <f>AVERAGE(S158,Q158,P158,O158)</f>
        <v>1.6151179862585546E-2</v>
      </c>
      <c r="U158" s="142">
        <f>AVERAGE(T158,S158,Q158,P158)</f>
        <v>1.1924656504323151E-2</v>
      </c>
      <c r="V158" s="142">
        <f>AVERAGE(U158,T158,S158,Q158)</f>
        <v>8.5065032242605827E-3</v>
      </c>
      <c r="W158" s="54"/>
      <c r="X158" s="142">
        <f>AVERAGE(V158,U158,T158,S158)-2%</f>
        <v>-1.4477603508004771E-2</v>
      </c>
      <c r="Y158" s="142">
        <f>AVERAGE(X158,V158,U158,T158)-2%</f>
        <v>-1.4473815979208873E-2</v>
      </c>
      <c r="Z158" s="142">
        <f>AVERAGE(Y158,X158,V158,U158)-1%</f>
        <v>-1.2130064939657478E-2</v>
      </c>
      <c r="AA158" s="142">
        <f>AVERAGE(Z158,Y158,X158,V158)</f>
        <v>-8.1437453006526356E-3</v>
      </c>
      <c r="AB158" s="54"/>
      <c r="AC158" s="142">
        <f>AVERAGE(AA158,Z158,Y158,X158)</f>
        <v>-1.230630743188094E-2</v>
      </c>
      <c r="AD158" s="142">
        <f>AVERAGE(AC158,AA158,Z158,Y158)</f>
        <v>-1.1763483412849982E-2</v>
      </c>
      <c r="AE158" s="142">
        <f>AVERAGE(AD158,AC158,AA158,Z158)</f>
        <v>-1.1085900271260258E-2</v>
      </c>
      <c r="AF158" s="142">
        <f>AVERAGE(AE158,AD158,AC158,AA158)</f>
        <v>-1.0824859104160953E-2</v>
      </c>
      <c r="AG158" s="54"/>
      <c r="AH158" s="177">
        <f>AVERAGE(AF158,AE158,AD158,AC158)-0.25%</f>
        <v>-1.3995137555038032E-2</v>
      </c>
      <c r="AI158" s="177">
        <f>AVERAGE(AH158,AF158,AE158,AD158)-0.25%</f>
        <v>-1.4417345085827307E-2</v>
      </c>
      <c r="AJ158" s="177">
        <f>AVERAGE(AI158,AH158,AF158,AE158)-0.25%</f>
        <v>-1.5080810504071639E-2</v>
      </c>
      <c r="AK158" s="177">
        <f>AVERAGE(AJ158,AI158,AH158,AF158)-0.25%</f>
        <v>-1.6079538062274482E-2</v>
      </c>
      <c r="AL158" s="54"/>
      <c r="AM158" s="177">
        <f>AVERAGE(AK158,AJ158,AI158,AH158)-0.25%</f>
        <v>-1.7393207801802864E-2</v>
      </c>
      <c r="AN158" s="177">
        <f>AVERAGE(AM158,AK158,AJ158,AI158)-0.25%</f>
        <v>-1.8242725363494073E-2</v>
      </c>
      <c r="AO158" s="177">
        <f>AVERAGE(AN158,AM158,AK158,AJ158)-0.25%</f>
        <v>-1.9199070432910765E-2</v>
      </c>
      <c r="AP158" s="177">
        <f>AVERAGE(AO158,AN158,AM158,AK158)-0.25%</f>
        <v>-2.0228635415120544E-2</v>
      </c>
      <c r="AQ158" s="54"/>
    </row>
    <row r="159" spans="2:43" outlineLevel="1" x14ac:dyDescent="0.3">
      <c r="B159" s="297" t="s">
        <v>329</v>
      </c>
      <c r="C159" s="292"/>
      <c r="D159" s="143">
        <v>237.81</v>
      </c>
      <c r="E159" s="143">
        <v>232.6</v>
      </c>
      <c r="F159" s="143">
        <v>231.61</v>
      </c>
      <c r="G159" s="143">
        <v>226.71</v>
      </c>
      <c r="H159" s="54"/>
      <c r="I159" s="143">
        <v>229.20400000000001</v>
      </c>
      <c r="J159" s="143">
        <v>232.7</v>
      </c>
      <c r="K159" s="143">
        <v>239.82</v>
      </c>
      <c r="L159" s="143">
        <v>239.68</v>
      </c>
      <c r="M159" s="54"/>
      <c r="N159" s="143">
        <v>241.34</v>
      </c>
      <c r="O159" s="143">
        <v>248.36</v>
      </c>
      <c r="P159" s="143">
        <v>259.2</v>
      </c>
      <c r="Q159" s="143">
        <v>259.15499999999997</v>
      </c>
      <c r="R159" s="54"/>
      <c r="S159" s="143">
        <v>260.39</v>
      </c>
      <c r="T159" s="143">
        <f>+O159*(1+T160)</f>
        <v>267.50209942420463</v>
      </c>
      <c r="U159" s="143">
        <f>+P159*(1+U160)</f>
        <v>279.8111347368349</v>
      </c>
      <c r="V159" s="143">
        <f>+Q159*(1+V160)</f>
        <v>279.67882724233283</v>
      </c>
      <c r="W159" s="54"/>
      <c r="X159" s="143">
        <f>+S159*(1+X160)</f>
        <v>275.66979813752278</v>
      </c>
      <c r="Y159" s="143">
        <f>+T159*(1+Y160)</f>
        <v>281.84475180096683</v>
      </c>
      <c r="Z159" s="143">
        <f>+U159*(1+Z160)</f>
        <v>295.97098697534256</v>
      </c>
      <c r="AA159" s="143">
        <f>+V159*(1+AA160)</f>
        <v>297.10598552093603</v>
      </c>
      <c r="AB159" s="54"/>
      <c r="AC159" s="143">
        <f>+X159*(1+AC160)</f>
        <v>291.68355617254332</v>
      </c>
      <c r="AD159" s="143">
        <f>+Y159*(1+AD160)</f>
        <v>298.17563788285702</v>
      </c>
      <c r="AE159" s="143">
        <f>+Z159*(1+AE160)</f>
        <v>313.44047037807132</v>
      </c>
      <c r="AF159" s="143">
        <f>+AA159*(1+AF160)</f>
        <v>314.73691120812254</v>
      </c>
      <c r="AG159" s="54"/>
      <c r="AH159" s="143">
        <f>+AC159*(1+AH160)</f>
        <v>308.04698350605054</v>
      </c>
      <c r="AI159" s="143">
        <f>+AD159*(1+AI160)</f>
        <v>314.75489612210282</v>
      </c>
      <c r="AJ159" s="143">
        <f>+AE159*(1+AJ160)</f>
        <v>330.68508541060612</v>
      </c>
      <c r="AK159" s="143">
        <f>+AF159*(1+AK160)</f>
        <v>331.73755588405362</v>
      </c>
      <c r="AL159" s="54"/>
      <c r="AM159" s="143">
        <f>+AH159*(1+AM160)</f>
        <v>324.27604315890568</v>
      </c>
      <c r="AN159" s="143">
        <f>+AI159*(1+AN160)</f>
        <v>331.06853591099343</v>
      </c>
      <c r="AO159" s="143">
        <f>+AJ159*(1+AO160)</f>
        <v>347.51249078571885</v>
      </c>
      <c r="AP159" s="143">
        <f>+AK159*(1+AP160)</f>
        <v>348.27594093959857</v>
      </c>
      <c r="AQ159" s="54"/>
    </row>
    <row r="160" spans="2:43" outlineLevel="1" x14ac:dyDescent="0.3">
      <c r="B160" s="254" t="s">
        <v>330</v>
      </c>
      <c r="C160" s="292"/>
      <c r="D160" s="166"/>
      <c r="E160" s="166"/>
      <c r="F160" s="166"/>
      <c r="G160" s="166"/>
      <c r="H160" s="54"/>
      <c r="I160" s="166">
        <f>+I159/D159-1</f>
        <v>-3.6188553887557262E-2</v>
      </c>
      <c r="J160" s="166">
        <f>+J159/E159-1</f>
        <v>4.2992261392948983E-4</v>
      </c>
      <c r="K160" s="166">
        <f>+K159/F159-1</f>
        <v>3.5447519537152861E-2</v>
      </c>
      <c r="L160" s="166">
        <f>+L159/G159-1</f>
        <v>5.7209651096113978E-2</v>
      </c>
      <c r="M160" s="54"/>
      <c r="N160" s="166">
        <f>+N159/I159-1</f>
        <v>5.2948465122772737E-2</v>
      </c>
      <c r="O160" s="166">
        <f>+O159/J159-1</f>
        <v>6.729694886119475E-2</v>
      </c>
      <c r="P160" s="166">
        <f>+P159/K159-1</f>
        <v>8.0810607955966951E-2</v>
      </c>
      <c r="Q160" s="166">
        <f>+Q159/L159-1</f>
        <v>8.1254172229639376E-2</v>
      </c>
      <c r="R160" s="54"/>
      <c r="S160" s="166">
        <f>+S159/N159-1</f>
        <v>7.8934283583326437E-2</v>
      </c>
      <c r="T160" s="142">
        <f>AVERAGE(S160,Q160,P160,O160)</f>
        <v>7.7074003157531878E-2</v>
      </c>
      <c r="U160" s="142">
        <f>AVERAGE(T160,S160,Q160,P160)</f>
        <v>7.9518266731616161E-2</v>
      </c>
      <c r="V160" s="142">
        <f>AVERAGE(U160,T160,S160,Q160)</f>
        <v>7.9195181425528463E-2</v>
      </c>
      <c r="W160" s="54"/>
      <c r="X160" s="142">
        <f>AVERAGE(V160,U160,T160,S160)-2%</f>
        <v>5.8680433724500727E-2</v>
      </c>
      <c r="Y160" s="142">
        <f>AVERAGE(X160,V160,U160,T160)-2%</f>
        <v>5.3616971259794297E-2</v>
      </c>
      <c r="Z160" s="142">
        <f>AVERAGE(Y160,X160,V160,U160)-1%</f>
        <v>5.7752713285359907E-2</v>
      </c>
      <c r="AA160" s="142">
        <f>AVERAGE(Z160,Y160,X160,V160)</f>
        <v>6.2311324923795847E-2</v>
      </c>
      <c r="AB160" s="54"/>
      <c r="AC160" s="142">
        <f>AVERAGE(AA160,Z160,Y160,X160)</f>
        <v>5.8090360798362689E-2</v>
      </c>
      <c r="AD160" s="142">
        <f>AVERAGE(AC160,AA160,Z160,Y160)</f>
        <v>5.794284256682819E-2</v>
      </c>
      <c r="AE160" s="142">
        <f>AVERAGE(AD160,AC160,AA160,Z160)</f>
        <v>5.902431039358666E-2</v>
      </c>
      <c r="AF160" s="142">
        <f>AVERAGE(AE160,AD160,AC160,AA160)</f>
        <v>5.9342209670643346E-2</v>
      </c>
      <c r="AG160" s="54"/>
      <c r="AH160" s="177">
        <f>AVERAGE(AF160,AE160,AD160,AC160)-0.25%</f>
        <v>5.6099930857355221E-2</v>
      </c>
      <c r="AI160" s="177">
        <f>AVERAGE(AH160,AF160,AE160,AD160)-0.25%</f>
        <v>5.560232337210335E-2</v>
      </c>
      <c r="AJ160" s="177">
        <f>AVERAGE(AI160,AH160,AF160,AE160)-0.25%</f>
        <v>5.5017193573422142E-2</v>
      </c>
      <c r="AK160" s="177">
        <f>AVERAGE(AJ160,AI160,AH160,AF160)-0.25%</f>
        <v>5.4015414368381018E-2</v>
      </c>
      <c r="AL160" s="54"/>
      <c r="AM160" s="177">
        <f>AVERAGE(AK160,AJ160,AI160,AH160)-0.25%</f>
        <v>5.2683715542815437E-2</v>
      </c>
      <c r="AN160" s="177">
        <f>AVERAGE(AM160,AK160,AJ160,AI160)-0.25%</f>
        <v>5.1829661714180485E-2</v>
      </c>
      <c r="AO160" s="177">
        <f>AVERAGE(AN160,AM160,AK160,AJ160)-0.25%</f>
        <v>5.0886496299699761E-2</v>
      </c>
      <c r="AP160" s="177">
        <f>AVERAGE(AO160,AN160,AM160,AK160)-0.25%</f>
        <v>4.985382198126917E-2</v>
      </c>
      <c r="AQ160" s="54"/>
    </row>
    <row r="161" spans="2:43" x14ac:dyDescent="0.3">
      <c r="B161" s="291" t="s">
        <v>333</v>
      </c>
      <c r="C161" s="292"/>
      <c r="D161" s="139">
        <v>65</v>
      </c>
      <c r="E161" s="139">
        <v>62</v>
      </c>
      <c r="F161" s="139">
        <v>62</v>
      </c>
      <c r="G161" s="139">
        <v>65</v>
      </c>
      <c r="H161" s="54"/>
      <c r="I161" s="139">
        <v>65</v>
      </c>
      <c r="J161" s="139">
        <v>62</v>
      </c>
      <c r="K161" s="139">
        <v>62</v>
      </c>
      <c r="L161" s="139">
        <v>65</v>
      </c>
      <c r="M161" s="54"/>
      <c r="N161" s="139">
        <v>65</v>
      </c>
      <c r="O161" s="139">
        <v>62</v>
      </c>
      <c r="P161" s="139">
        <v>62</v>
      </c>
      <c r="Q161" s="139">
        <v>65</v>
      </c>
      <c r="R161" s="54"/>
      <c r="S161" s="139">
        <v>65</v>
      </c>
      <c r="T161" s="140">
        <v>62</v>
      </c>
      <c r="U161" s="140">
        <v>62</v>
      </c>
      <c r="V161" s="140">
        <v>65</v>
      </c>
      <c r="W161" s="54"/>
      <c r="X161" s="140">
        <v>65</v>
      </c>
      <c r="Y161" s="140">
        <v>62</v>
      </c>
      <c r="Z161" s="140">
        <v>62</v>
      </c>
      <c r="AA161" s="140">
        <v>65</v>
      </c>
      <c r="AB161" s="54"/>
      <c r="AC161" s="140">
        <v>65</v>
      </c>
      <c r="AD161" s="140">
        <v>62</v>
      </c>
      <c r="AE161" s="140">
        <v>62</v>
      </c>
      <c r="AF161" s="140">
        <v>65</v>
      </c>
      <c r="AG161" s="54"/>
      <c r="AH161" s="140">
        <v>65</v>
      </c>
      <c r="AI161" s="140">
        <v>62</v>
      </c>
      <c r="AJ161" s="140">
        <v>62</v>
      </c>
      <c r="AK161" s="140">
        <v>65</v>
      </c>
      <c r="AL161" s="54"/>
      <c r="AM161" s="140">
        <v>65</v>
      </c>
      <c r="AN161" s="140">
        <v>62</v>
      </c>
      <c r="AO161" s="140">
        <v>62</v>
      </c>
      <c r="AP161" s="140">
        <v>65</v>
      </c>
      <c r="AQ161" s="54"/>
    </row>
    <row r="162" spans="2:43" outlineLevel="1" x14ac:dyDescent="0.3">
      <c r="B162" s="325" t="s">
        <v>267</v>
      </c>
      <c r="C162" s="167"/>
      <c r="D162" s="269">
        <f>+D155*D161*D159/1000</f>
        <v>1501.7570704500001</v>
      </c>
      <c r="E162" s="269">
        <f>+E155*E161*E159/1000</f>
        <v>1446.8645747999999</v>
      </c>
      <c r="F162" s="269">
        <f>+F155*F161*F159/1000</f>
        <v>1360.50678608</v>
      </c>
      <c r="G162" s="269">
        <f>+G155*G161*G159/1000</f>
        <v>1515.53934675</v>
      </c>
      <c r="H162" s="56"/>
      <c r="I162" s="269">
        <f>+I155*I161*I159/1000</f>
        <v>1561.5074881639998</v>
      </c>
      <c r="J162" s="269">
        <f>+J155*J161*J159/1000</f>
        <v>1502.253025</v>
      </c>
      <c r="K162" s="269">
        <f>+K155*K161*K159/1000</f>
        <v>1406.3394937199998</v>
      </c>
      <c r="L162" s="269">
        <f>+L155*L161*L159/1000</f>
        <v>1600.1240527999998</v>
      </c>
      <c r="M162" s="56"/>
      <c r="N162" s="269">
        <f>+N155*N161*N159/1000</f>
        <v>1664.0875679999999</v>
      </c>
      <c r="O162" s="269">
        <f>+O155*O161*O159/1000</f>
        <v>1672.8426881600001</v>
      </c>
      <c r="P162" s="269">
        <f>+P155*P161*P159/1000</f>
        <v>1612.5039360000001</v>
      </c>
      <c r="Q162" s="269">
        <f>+Q155*Q161*Q159/1000</f>
        <v>1862.3914919999997</v>
      </c>
      <c r="R162" s="326"/>
      <c r="S162" s="269">
        <f>+S155*S161*S159/1000</f>
        <v>1959.0246357499998</v>
      </c>
      <c r="T162" s="269">
        <f>+T155*T161*T159/1000</f>
        <v>1924.1875637241094</v>
      </c>
      <c r="U162" s="269">
        <f>+U155*U161*U159/1000</f>
        <v>1869.6965070777651</v>
      </c>
      <c r="V162" s="269">
        <f>+V155*V161*V159/1000</f>
        <v>2165.4382257331586</v>
      </c>
      <c r="W162" s="56"/>
      <c r="X162" s="269">
        <f>+X155*X161*X159/1000</f>
        <v>2193.5118825858608</v>
      </c>
      <c r="Y162" s="269">
        <f>+Y155*Y161*Y159/1000</f>
        <v>2127.2329423272076</v>
      </c>
      <c r="Z162" s="269">
        <f>+Z155*Z161*Z159/1000</f>
        <v>2085.6486168799188</v>
      </c>
      <c r="AA162" s="269">
        <f>+AA155*AA161*AA159/1000</f>
        <v>2437.7521534448842</v>
      </c>
      <c r="AB162" s="56"/>
      <c r="AC162" s="269">
        <f>+AC155*AC161*AC159/1000</f>
        <v>2449.29022753859</v>
      </c>
      <c r="AD162" s="269">
        <f>+AD155*AD161*AD159/1000</f>
        <v>2373.6407970749196</v>
      </c>
      <c r="AE162" s="269">
        <f>+AE155*AE161*AE159/1000</f>
        <v>2332.6318807446692</v>
      </c>
      <c r="AF162" s="269">
        <f>+AF155*AF161*AF159/1000</f>
        <v>2728.2121635596409</v>
      </c>
      <c r="AG162" s="56"/>
      <c r="AH162" s="269">
        <f>+AH155*AH161*AH159/1000</f>
        <v>2724.1580371906889</v>
      </c>
      <c r="AI162" s="269">
        <f>+AI155*AI161*AI159/1000</f>
        <v>2637.4210508600945</v>
      </c>
      <c r="AJ162" s="269">
        <f>+AJ155*AJ161*AJ159/1000</f>
        <v>2589.1141598578938</v>
      </c>
      <c r="AK162" s="269">
        <f>+AK155*AK161*AK159/1000</f>
        <v>3022.4293150900817</v>
      </c>
      <c r="AL162" s="56"/>
      <c r="AM162" s="269">
        <f>+AM155*AM161*AM159/1000</f>
        <v>3010.2610362646842</v>
      </c>
      <c r="AN162" s="269">
        <f>+AN155*AN161*AN159/1000</f>
        <v>2909.6774346875004</v>
      </c>
      <c r="AO162" s="269">
        <f>+AO155*AO161*AO159/1000</f>
        <v>2851.2813515789367</v>
      </c>
      <c r="AP162" s="269">
        <f>+AP155*AP161*AP159/1000</f>
        <v>3321.9178894900419</v>
      </c>
      <c r="AQ162" s="56"/>
    </row>
    <row r="163" spans="2:43" outlineLevel="1" x14ac:dyDescent="0.3">
      <c r="B163" s="135" t="s">
        <v>264</v>
      </c>
      <c r="C163" s="134"/>
      <c r="D163" s="320">
        <f>ROUND((130-D168),0)</f>
        <v>0</v>
      </c>
      <c r="E163" s="320">
        <f>ROUND((98-E168),0)</f>
        <v>0</v>
      </c>
      <c r="F163" s="320">
        <f>ROUND((56-F168),0)</f>
        <v>0</v>
      </c>
      <c r="G163" s="320">
        <f>ROUND((137-G168),0)</f>
        <v>0</v>
      </c>
      <c r="H163" s="136"/>
      <c r="I163" s="320">
        <f>ROUND((128-I168),0)</f>
        <v>0</v>
      </c>
      <c r="J163" s="320">
        <f>ROUND((81-J168),0)</f>
        <v>0</v>
      </c>
      <c r="K163" s="320">
        <f>ROUND((37-K168),0)</f>
        <v>0</v>
      </c>
      <c r="L163" s="320">
        <f>ROUND((125-L168),0)</f>
        <v>0</v>
      </c>
      <c r="M163" s="136"/>
      <c r="N163" s="320">
        <f>ROUND((165-N168),0)</f>
        <v>0</v>
      </c>
      <c r="O163" s="320">
        <f>ROUND((108-O168),0)</f>
        <v>0</v>
      </c>
      <c r="P163" s="320">
        <f>ROUND((49-P168),0)</f>
        <v>0</v>
      </c>
      <c r="Q163" s="320">
        <f>ROUND((168-Q168),0)</f>
        <v>0</v>
      </c>
      <c r="R163" s="191"/>
      <c r="S163" s="169"/>
      <c r="T163" s="169"/>
      <c r="U163" s="169"/>
      <c r="V163" s="169"/>
      <c r="W163" s="136"/>
      <c r="X163" s="169"/>
      <c r="Y163" s="169"/>
      <c r="Z163" s="169"/>
      <c r="AA163" s="169"/>
      <c r="AB163" s="136"/>
      <c r="AC163" s="169"/>
      <c r="AD163" s="169"/>
      <c r="AE163" s="169"/>
      <c r="AF163" s="169"/>
      <c r="AG163" s="136"/>
      <c r="AH163" s="169"/>
      <c r="AI163" s="169"/>
      <c r="AJ163" s="169"/>
      <c r="AK163" s="169"/>
      <c r="AL163" s="136"/>
      <c r="AM163" s="169"/>
      <c r="AN163" s="169"/>
      <c r="AO163" s="169"/>
      <c r="AP163" s="169"/>
      <c r="AQ163" s="136"/>
    </row>
    <row r="164" spans="2:43" outlineLevel="1" x14ac:dyDescent="0.3">
      <c r="B164" s="127" t="s">
        <v>158</v>
      </c>
      <c r="C164" s="134"/>
      <c r="D164" s="168">
        <v>102</v>
      </c>
      <c r="E164" s="168">
        <v>95</v>
      </c>
      <c r="F164" s="168">
        <v>80</v>
      </c>
      <c r="G164" s="168">
        <v>86</v>
      </c>
      <c r="H164" s="136"/>
      <c r="I164" s="168">
        <v>91</v>
      </c>
      <c r="J164" s="168">
        <v>92</v>
      </c>
      <c r="K164" s="168">
        <v>99</v>
      </c>
      <c r="L164" s="168">
        <v>102</v>
      </c>
      <c r="M164" s="136"/>
      <c r="N164" s="168">
        <v>97</v>
      </c>
      <c r="O164" s="168">
        <v>112</v>
      </c>
      <c r="P164" s="168">
        <v>127</v>
      </c>
      <c r="Q164" s="168">
        <v>135</v>
      </c>
      <c r="R164" s="136"/>
      <c r="S164" s="168">
        <v>137</v>
      </c>
      <c r="T164" s="140">
        <f>+S164/S155*T155</f>
        <v>137.32412706134323</v>
      </c>
      <c r="U164" s="140">
        <f t="shared" ref="U164:V164" si="42">+T164/T155*U155</f>
        <v>127.56536099374046</v>
      </c>
      <c r="V164" s="140">
        <f t="shared" si="42"/>
        <v>140.99093166353819</v>
      </c>
      <c r="W164" s="136"/>
      <c r="X164" s="140">
        <f>+V164/V155*X155</f>
        <v>144.89579244791929</v>
      </c>
      <c r="Y164" s="140">
        <f>+X164/X155*Y155</f>
        <v>144.08930147702767</v>
      </c>
      <c r="Z164" s="140">
        <f t="shared" ref="Z164:AA164" si="43">+Y164/Y155*Z155</f>
        <v>134.52984425762003</v>
      </c>
      <c r="AA164" s="140">
        <f t="shared" si="43"/>
        <v>149.41118794868044</v>
      </c>
      <c r="AB164" s="136"/>
      <c r="AC164" s="140">
        <f>(AA164/AA155*AC155)*(1+0.5%)</f>
        <v>153.67362519495043</v>
      </c>
      <c r="AD164" s="140">
        <f>(AC164/AC155*AD155)*(1+0.5%)</f>
        <v>153.49760468107874</v>
      </c>
      <c r="AE164" s="140">
        <f t="shared" ref="AE164:AF164" si="44">(AD164/AD155*AE155)*(1+0.5%)</f>
        <v>144.21683499199736</v>
      </c>
      <c r="AF164" s="140">
        <f t="shared" si="44"/>
        <v>161.02736293136437</v>
      </c>
      <c r="AG164" s="136"/>
      <c r="AH164" s="140">
        <f>(AF164/AF155*AH155)*(1+0.5%)</f>
        <v>165.10134772344486</v>
      </c>
      <c r="AI164" s="140">
        <f>(AH164/AH155*AI155)*(1+0.5%)</f>
        <v>164.8276180948539</v>
      </c>
      <c r="AJ164" s="140">
        <f t="shared" ref="AJ164:AK164" si="45">(AI164/AI155*AJ155)*(1+0.5%)</f>
        <v>154.78385640232923</v>
      </c>
      <c r="AK164" s="140">
        <f t="shared" si="45"/>
        <v>172.66128851393</v>
      </c>
      <c r="AL164" s="136"/>
      <c r="AM164" s="140">
        <f>(AK164/AK155*AM155)*(1+0.5%)</f>
        <v>176.80267000039535</v>
      </c>
      <c r="AN164" s="140">
        <f>(AM164/AM155*AN155)*(1+0.5%)</f>
        <v>176.36572732319732</v>
      </c>
      <c r="AO164" s="140">
        <f t="shared" ref="AO164:AP164" si="46">(AN164/AN155*AO155)*(1+0.5%)</f>
        <v>165.47141172942568</v>
      </c>
      <c r="AP164" s="140">
        <f t="shared" si="46"/>
        <v>184.40094040713549</v>
      </c>
      <c r="AQ164" s="136"/>
    </row>
    <row r="165" spans="2:43" outlineLevel="1" x14ac:dyDescent="0.3">
      <c r="B165" s="127" t="s">
        <v>157</v>
      </c>
      <c r="C165" s="134"/>
      <c r="D165" s="168">
        <v>58</v>
      </c>
      <c r="E165" s="168">
        <v>60</v>
      </c>
      <c r="F165" s="168">
        <v>64</v>
      </c>
      <c r="G165" s="168">
        <v>62</v>
      </c>
      <c r="H165" s="136"/>
      <c r="I165" s="168">
        <v>63</v>
      </c>
      <c r="J165" s="168">
        <v>65</v>
      </c>
      <c r="K165" s="168">
        <v>68</v>
      </c>
      <c r="L165" s="168">
        <v>69</v>
      </c>
      <c r="M165" s="136"/>
      <c r="N165" s="168">
        <v>68</v>
      </c>
      <c r="O165" s="168">
        <v>72</v>
      </c>
      <c r="P165" s="168">
        <v>76</v>
      </c>
      <c r="Q165" s="168">
        <v>80</v>
      </c>
      <c r="R165" s="136"/>
      <c r="S165" s="168">
        <v>78</v>
      </c>
      <c r="T165" s="168">
        <f>S165/(S69+S148+S165+S179)*T18</f>
        <v>71.781038946738676</v>
      </c>
      <c r="U165" s="168">
        <f>T165/(T69+T148+T165+T179)*U18</f>
        <v>72.692676908520141</v>
      </c>
      <c r="V165" s="168">
        <f>U165/(U69+U148+U165+U179)*V18</f>
        <v>74.562523733299329</v>
      </c>
      <c r="W165" s="136"/>
      <c r="X165" s="168">
        <f>V165/(V69+V148+V165+V179)*X18</f>
        <v>77.326034913548057</v>
      </c>
      <c r="Y165" s="168">
        <f>X165/(X69+X148+X165+X179)*Y18</f>
        <v>79.158575267031807</v>
      </c>
      <c r="Z165" s="168">
        <f>Y165/(Y69+Y148+Y165+Y179)*Z18</f>
        <v>80.112995145569684</v>
      </c>
      <c r="AA165" s="168">
        <f>Z165/(Z69+Z148+Z165+Z179)*AA18</f>
        <v>82.054614092810709</v>
      </c>
      <c r="AB165" s="136"/>
      <c r="AC165" s="168">
        <f>AA165/(AA69+AA148+AA165+AA179)*AC18</f>
        <v>84.962483768129417</v>
      </c>
      <c r="AD165" s="168">
        <f>AC165/(AC69+AC148+AC165+AC179)*AD18</f>
        <v>86.912129453032449</v>
      </c>
      <c r="AE165" s="168">
        <f>AD165/(AD69+AD148+AD165+AD179)*AE18</f>
        <v>87.918403719158974</v>
      </c>
      <c r="AF165" s="168">
        <f>AE165/(AE69+AE148+AE165+AE179)*AF18</f>
        <v>89.964128695607627</v>
      </c>
      <c r="AG165" s="136"/>
      <c r="AH165" s="168">
        <f>AF165/(AF69+AF148+AF165+AF179)*AH18</f>
        <v>93.033854165589162</v>
      </c>
      <c r="AI165" s="168">
        <f>AH165/(AH69+AH148+AH165+AH179)*AI18</f>
        <v>95.087829873515645</v>
      </c>
      <c r="AJ165" s="168">
        <f>AI165/(AI69+AI148+AI165+AI179)*AJ18</f>
        <v>96.146120383659323</v>
      </c>
      <c r="AK165" s="168">
        <f>AJ165/(AJ69+AJ148+AJ165+AJ179)*AK18</f>
        <v>98.295676580753877</v>
      </c>
      <c r="AL165" s="136"/>
      <c r="AM165" s="168">
        <f>AK165/(AK69+AK148+AK165+AK179)*AM18</f>
        <v>101.52085792313777</v>
      </c>
      <c r="AN165" s="168">
        <f>AM165/(AM69+AM148+AM165+AM179)*AN18</f>
        <v>103.67337415280585</v>
      </c>
      <c r="AO165" s="168">
        <f>AN165/(AN69+AN148+AN165+AN179)*AO18</f>
        <v>104.78124492879532</v>
      </c>
      <c r="AP165" s="168">
        <f>AO165/(AO69+AO148+AO165+AO179)*AP18</f>
        <v>107.02993683980105</v>
      </c>
      <c r="AQ165" s="136"/>
    </row>
    <row r="166" spans="2:43" outlineLevel="1" x14ac:dyDescent="0.3">
      <c r="B166" s="127" t="s">
        <v>253</v>
      </c>
      <c r="C166" s="134"/>
      <c r="D166" s="168">
        <v>1212</v>
      </c>
      <c r="E166" s="168">
        <v>1194</v>
      </c>
      <c r="F166" s="168">
        <v>1161</v>
      </c>
      <c r="G166" s="168">
        <v>1231</v>
      </c>
      <c r="H166" s="136"/>
      <c r="I166" s="168">
        <f>1275+5</f>
        <v>1280</v>
      </c>
      <c r="J166" s="168">
        <f>1259+5</f>
        <v>1264</v>
      </c>
      <c r="K166" s="168">
        <f>1198+4</f>
        <v>1202</v>
      </c>
      <c r="L166" s="168">
        <f>1299+5</f>
        <v>1304</v>
      </c>
      <c r="M166" s="136"/>
      <c r="N166" s="168">
        <f>1328+6</f>
        <v>1334</v>
      </c>
      <c r="O166" s="168">
        <f>1374+7</f>
        <v>1381</v>
      </c>
      <c r="P166" s="168">
        <f>1354+7</f>
        <v>1361</v>
      </c>
      <c r="Q166" s="168">
        <f>1472+7</f>
        <v>1479</v>
      </c>
      <c r="R166" s="136"/>
      <c r="S166" s="168">
        <v>1568</v>
      </c>
      <c r="T166" s="168">
        <f>+T167*T162</f>
        <v>1598.1164038363047</v>
      </c>
      <c r="U166" s="168">
        <f>+U167*U162</f>
        <v>1582.7522163485801</v>
      </c>
      <c r="V166" s="168">
        <f>+V167*V162</f>
        <v>1719.6616015572638</v>
      </c>
      <c r="W166" s="136"/>
      <c r="X166" s="168">
        <f>+X167*X162</f>
        <v>1755.6831951619984</v>
      </c>
      <c r="Y166" s="168">
        <f>+Y167*Y162</f>
        <v>1766.7538882407564</v>
      </c>
      <c r="Z166" s="168">
        <f>+Z167*Z162</f>
        <v>1765.5619285776111</v>
      </c>
      <c r="AA166" s="168">
        <f>+AA167*AA162</f>
        <v>1935.9170456009495</v>
      </c>
      <c r="AB166" s="136"/>
      <c r="AC166" s="168">
        <f>+AC167*AC162</f>
        <v>1935.9148469156821</v>
      </c>
      <c r="AD166" s="168">
        <f>+AD167*AD162</f>
        <v>1947.6692731255262</v>
      </c>
      <c r="AE166" s="168">
        <f>+AE167*AE162</f>
        <v>1951.3140921886379</v>
      </c>
      <c r="AF166" s="168">
        <f>+AF167*AF162</f>
        <v>2139.3009019861142</v>
      </c>
      <c r="AG166" s="136"/>
      <c r="AH166" s="168">
        <f>+AH167*AH162</f>
        <v>2159.98029315033</v>
      </c>
      <c r="AI166" s="168">
        <f>+AI167*AI162</f>
        <v>2170.7053033961975</v>
      </c>
      <c r="AJ166" s="168">
        <f>+AJ167*AJ162</f>
        <v>2172.3417285965447</v>
      </c>
      <c r="AK166" s="168">
        <f>+AK167*AK162</f>
        <v>2377.5644789115408</v>
      </c>
      <c r="AL166" s="136"/>
      <c r="AM166" s="168">
        <f>+AM167*AM162</f>
        <v>2394.3565290677689</v>
      </c>
      <c r="AN166" s="168">
        <f>+AN167*AN162</f>
        <v>2402.0576266637618</v>
      </c>
      <c r="AO166" s="168">
        <f>+AO167*AO162</f>
        <v>2399.4357949237096</v>
      </c>
      <c r="AP166" s="168">
        <f>+AP167*AP162</f>
        <v>2621.4590334282025</v>
      </c>
      <c r="AQ166" s="136"/>
    </row>
    <row r="167" spans="2:43" outlineLevel="1" x14ac:dyDescent="0.3">
      <c r="B167" s="127" t="s">
        <v>255</v>
      </c>
      <c r="C167" s="134"/>
      <c r="D167" s="321">
        <f>+D166/D162</f>
        <v>0.80705463210293082</v>
      </c>
      <c r="E167" s="321">
        <f>+E166/E162</f>
        <v>0.82523272792482782</v>
      </c>
      <c r="F167" s="321">
        <f>+F166/F162</f>
        <v>0.85335847779573759</v>
      </c>
      <c r="G167" s="321">
        <f>+G166/G162</f>
        <v>0.81225208876286803</v>
      </c>
      <c r="H167" s="136"/>
      <c r="I167" s="321">
        <f>+I166/I162</f>
        <v>0.81972069279347959</v>
      </c>
      <c r="J167" s="321">
        <f>+J166/J162</f>
        <v>0.84140286553924559</v>
      </c>
      <c r="K167" s="321">
        <f>+K166/K162</f>
        <v>0.85470116239181471</v>
      </c>
      <c r="L167" s="321">
        <f>+L166/L162</f>
        <v>0.81493681550388364</v>
      </c>
      <c r="M167" s="136"/>
      <c r="N167" s="146">
        <f>+N166/N162</f>
        <v>0.8016405059760654</v>
      </c>
      <c r="O167" s="146">
        <f>+O166/O162</f>
        <v>0.82554086512402136</v>
      </c>
      <c r="P167" s="146">
        <f>+P166/P162</f>
        <v>0.84402894753616275</v>
      </c>
      <c r="Q167" s="146">
        <f>+Q166/Q162</f>
        <v>0.79414022580811927</v>
      </c>
      <c r="R167" s="179"/>
      <c r="S167" s="146">
        <f>+S166/S162</f>
        <v>0.80039830606811202</v>
      </c>
      <c r="T167" s="177">
        <f>+O167+0.5%</f>
        <v>0.83054086512402137</v>
      </c>
      <c r="U167" s="177">
        <f>+P167+0.25%</f>
        <v>0.8465289475361627</v>
      </c>
      <c r="V167" s="177">
        <f>+Q167</f>
        <v>0.79414022580811927</v>
      </c>
      <c r="W167" s="136"/>
      <c r="X167" s="177">
        <f>+S167</f>
        <v>0.80039830606811202</v>
      </c>
      <c r="Y167" s="177">
        <f>+T167</f>
        <v>0.83054086512402137</v>
      </c>
      <c r="Z167" s="177">
        <f>+U167</f>
        <v>0.8465289475361627</v>
      </c>
      <c r="AA167" s="177">
        <f>+V167</f>
        <v>0.79414022580811927</v>
      </c>
      <c r="AB167" s="136"/>
      <c r="AC167" s="177">
        <f>+X167-1%</f>
        <v>0.79039830606811201</v>
      </c>
      <c r="AD167" s="177">
        <f>+Y167-1%</f>
        <v>0.82054086512402136</v>
      </c>
      <c r="AE167" s="177">
        <f>+Z167-1%</f>
        <v>0.83652894753616269</v>
      </c>
      <c r="AF167" s="177">
        <f>+AA167-1%</f>
        <v>0.78414022580811926</v>
      </c>
      <c r="AG167" s="136"/>
      <c r="AH167" s="177">
        <f>+AC167+0.25%</f>
        <v>0.79289830606811196</v>
      </c>
      <c r="AI167" s="177">
        <f>+AD167+0.25%</f>
        <v>0.8230408651240213</v>
      </c>
      <c r="AJ167" s="177">
        <f>+AE167+0.25%</f>
        <v>0.83902894753616264</v>
      </c>
      <c r="AK167" s="177">
        <f>+AF167+0.25%</f>
        <v>0.78664022580811921</v>
      </c>
      <c r="AL167" s="136"/>
      <c r="AM167" s="177">
        <f>+AH167+0.25%</f>
        <v>0.7953983060681119</v>
      </c>
      <c r="AN167" s="177">
        <f>+AI167+0.25%</f>
        <v>0.82554086512402125</v>
      </c>
      <c r="AO167" s="177">
        <f>+AJ167+0.25%</f>
        <v>0.84152894753616259</v>
      </c>
      <c r="AP167" s="177">
        <f>+AK167+0.25%</f>
        <v>0.78914022580811916</v>
      </c>
      <c r="AQ167" s="136"/>
    </row>
    <row r="168" spans="2:43" outlineLevel="1" x14ac:dyDescent="0.3">
      <c r="B168" s="172" t="s">
        <v>265</v>
      </c>
      <c r="C168" s="134"/>
      <c r="D168" s="169">
        <f t="shared" ref="D168:Q168" si="47">+D162-D165-D166-D164</f>
        <v>129.75707045000013</v>
      </c>
      <c r="E168" s="169">
        <f t="shared" si="47"/>
        <v>97.8645747999999</v>
      </c>
      <c r="F168" s="169">
        <f t="shared" si="47"/>
        <v>55.506786079999983</v>
      </c>
      <c r="G168" s="169">
        <f t="shared" si="47"/>
        <v>136.53934675000005</v>
      </c>
      <c r="H168" s="136">
        <f t="shared" si="47"/>
        <v>0</v>
      </c>
      <c r="I168" s="169">
        <f t="shared" si="47"/>
        <v>127.50748816399982</v>
      </c>
      <c r="J168" s="169">
        <f t="shared" si="47"/>
        <v>81.25302499999998</v>
      </c>
      <c r="K168" s="169">
        <f t="shared" si="47"/>
        <v>37.339493719999837</v>
      </c>
      <c r="L168" s="169">
        <f t="shared" si="47"/>
        <v>125.12405279999984</v>
      </c>
      <c r="M168" s="136">
        <f t="shared" si="47"/>
        <v>0</v>
      </c>
      <c r="N168" s="169">
        <f t="shared" si="47"/>
        <v>165.08756799999992</v>
      </c>
      <c r="O168" s="169">
        <f t="shared" si="47"/>
        <v>107.84268816000008</v>
      </c>
      <c r="P168" s="169">
        <f t="shared" si="47"/>
        <v>48.503936000000067</v>
      </c>
      <c r="Q168" s="169">
        <f t="shared" si="47"/>
        <v>168.39149199999974</v>
      </c>
      <c r="R168" s="191"/>
      <c r="S168" s="169">
        <f>+S162-S165-S166-S164</f>
        <v>176.02463574999979</v>
      </c>
      <c r="T168" s="169">
        <f>+T162-T165-T166-T164</f>
        <v>116.96599387972287</v>
      </c>
      <c r="U168" s="169">
        <f>+U162-U165-U166-U164</f>
        <v>86.686252826924488</v>
      </c>
      <c r="V168" s="169">
        <f>+V162-V165-V166-V164</f>
        <v>230.22316877905732</v>
      </c>
      <c r="W168" s="136"/>
      <c r="X168" s="169">
        <f>+X162-X165-X166-X164</f>
        <v>215.60686006239513</v>
      </c>
      <c r="Y168" s="169">
        <f>+Y162-Y165-Y166-Y164</f>
        <v>137.2311773423919</v>
      </c>
      <c r="Z168" s="169">
        <f>+Z162-Z165-Z166-Z164</f>
        <v>105.44384889911811</v>
      </c>
      <c r="AA168" s="169">
        <f>+AA162-AA165-AA166-AA164</f>
        <v>270.36930580244348</v>
      </c>
      <c r="AB168" s="136"/>
      <c r="AC168" s="169">
        <f>+AC162-AC165-AC166-AC164</f>
        <v>274.73927165982798</v>
      </c>
      <c r="AD168" s="169">
        <f>+AD162-AD165-AD166-AD164</f>
        <v>185.56178981528242</v>
      </c>
      <c r="AE168" s="169">
        <f>+AE162-AE165-AE166-AE164</f>
        <v>149.18254984487493</v>
      </c>
      <c r="AF168" s="169">
        <f>+AF162-AF165-AF166-AF164</f>
        <v>337.91976994655477</v>
      </c>
      <c r="AG168" s="136"/>
      <c r="AH168" s="169">
        <f>+AH162-AH165-AH166-AH164</f>
        <v>306.04254215132482</v>
      </c>
      <c r="AI168" s="169">
        <f>+AI162-AI165-AI166-AI164</f>
        <v>206.80029949552755</v>
      </c>
      <c r="AJ168" s="169">
        <f>+AJ162-AJ165-AJ166-AJ164</f>
        <v>165.84245447536054</v>
      </c>
      <c r="AK168" s="169">
        <f>+AK162-AK165-AK166-AK164</f>
        <v>373.90787108385689</v>
      </c>
      <c r="AL168" s="136"/>
      <c r="AM168" s="169">
        <f>+AM162-AM165-AM166-AM164</f>
        <v>337.58097927338247</v>
      </c>
      <c r="AN168" s="169">
        <f>+AN162-AN165-AN166-AN164</f>
        <v>227.58070654773533</v>
      </c>
      <c r="AO168" s="169">
        <f>+AO162-AO165-AO166-AO164</f>
        <v>181.59289999700601</v>
      </c>
      <c r="AP168" s="169">
        <f>+AP162-AP165-AP166-AP164</f>
        <v>409.02797881490301</v>
      </c>
      <c r="AQ168" s="136"/>
    </row>
    <row r="169" spans="2:43" outlineLevel="1" x14ac:dyDescent="0.3">
      <c r="B169" s="172" t="s">
        <v>266</v>
      </c>
      <c r="C169" s="131"/>
      <c r="D169" s="193">
        <f>+D168/(D162)</f>
        <v>8.6403502272919902E-2</v>
      </c>
      <c r="E169" s="193">
        <f>+E168/(E162)</f>
        <v>6.7639070376388E-2</v>
      </c>
      <c r="F169" s="193">
        <f>+F168/(F162)</f>
        <v>4.0798610229597264E-2</v>
      </c>
      <c r="G169" s="193">
        <f>+G168/(G162)</f>
        <v>9.0092907876527253E-2</v>
      </c>
      <c r="H169" s="137"/>
      <c r="I169" s="193">
        <f>+I168/(I162)</f>
        <v>8.1656661354804941E-2</v>
      </c>
      <c r="J169" s="193">
        <f>+J168/(J162)</f>
        <v>5.4087443092351223E-2</v>
      </c>
      <c r="K169" s="193">
        <f>+K168/(K162)</f>
        <v>2.655083917271691E-2</v>
      </c>
      <c r="L169" s="193">
        <f>+L168/(L162)</f>
        <v>7.8196470193076434E-2</v>
      </c>
      <c r="M169" s="137"/>
      <c r="N169" s="193">
        <f>+N168/(N162)</f>
        <v>9.9206058127344857E-2</v>
      </c>
      <c r="O169" s="193">
        <f>+O168/(O162)</f>
        <v>6.4466724171547085E-2</v>
      </c>
      <c r="P169" s="193">
        <f>+P168/(P162)</f>
        <v>3.0079886887172266E-2</v>
      </c>
      <c r="Q169" s="193">
        <f>+Q168/(Q162)</f>
        <v>9.0416806951349502E-2</v>
      </c>
      <c r="R169" s="174"/>
      <c r="S169" s="193">
        <f>+S168/(S162)</f>
        <v>8.9853201709538436E-2</v>
      </c>
      <c r="T169" s="193">
        <f>+T168/(T162)</f>
        <v>6.0787210189293943E-2</v>
      </c>
      <c r="U169" s="193">
        <f>+U168/(U162)</f>
        <v>4.6363809580203169E-2</v>
      </c>
      <c r="V169" s="193">
        <f>+V168/(V162)</f>
        <v>0.10631712604090103</v>
      </c>
      <c r="W169" s="137"/>
      <c r="X169" s="193">
        <f>+X168/(X162)</f>
        <v>9.829299844422229E-2</v>
      </c>
      <c r="Y169" s="193">
        <f>+Y168/(Y162)</f>
        <v>6.4511589028073274E-2</v>
      </c>
      <c r="Z169" s="193">
        <f>+Z168/(Z162)</f>
        <v>5.0556861805829793E-2</v>
      </c>
      <c r="AA169" s="193">
        <f>+AA168/(AA162)</f>
        <v>0.11090926754812785</v>
      </c>
      <c r="AB169" s="137"/>
      <c r="AC169" s="193">
        <f>+AC168/(AC162)</f>
        <v>0.112170974501428</v>
      </c>
      <c r="AD169" s="193">
        <f>+AD168/(AD162)</f>
        <v>7.8176019743153038E-2</v>
      </c>
      <c r="AE169" s="193">
        <f>+AE168/(AE162)</f>
        <v>6.3954604700528189E-2</v>
      </c>
      <c r="AF169" s="193">
        <f>+AF168/(AF162)</f>
        <v>0.12386125040424026</v>
      </c>
      <c r="AG169" s="137"/>
      <c r="AH169" s="193">
        <f>+AH168/(AH162)</f>
        <v>0.11234390148191761</v>
      </c>
      <c r="AI169" s="193">
        <f>+AI168/(AI162)</f>
        <v>7.8410043564370396E-2</v>
      </c>
      <c r="AJ169" s="193">
        <f>+AJ168/(AJ162)</f>
        <v>6.4053743572459146E-2</v>
      </c>
      <c r="AK169" s="193">
        <f>+AK168/(AK162)</f>
        <v>0.12371103906948203</v>
      </c>
      <c r="AL169" s="137"/>
      <c r="AM169" s="193">
        <f>+AM168/(AM162)</f>
        <v>0.11214342384482164</v>
      </c>
      <c r="AN169" s="193">
        <f>+AN168/(AN162)</f>
        <v>7.8215098290500898E-2</v>
      </c>
      <c r="AO169" s="193">
        <f>+AO168/(AO162)</f>
        <v>6.3688173002094797E-2</v>
      </c>
      <c r="AP169" s="193">
        <f>+AP168/(AP162)</f>
        <v>0.12313006896076356</v>
      </c>
      <c r="AQ169" s="137"/>
    </row>
    <row r="170" spans="2:43" ht="15.6" x14ac:dyDescent="0.3">
      <c r="B170" s="705" t="s">
        <v>249</v>
      </c>
      <c r="C170" s="713"/>
      <c r="D170" s="90" t="s">
        <v>71</v>
      </c>
      <c r="E170" s="90" t="s">
        <v>74</v>
      </c>
      <c r="F170" s="90" t="s">
        <v>75</v>
      </c>
      <c r="G170" s="90" t="s">
        <v>78</v>
      </c>
      <c r="H170" s="403"/>
      <c r="I170" s="90" t="s">
        <v>80</v>
      </c>
      <c r="J170" s="90" t="s">
        <v>91</v>
      </c>
      <c r="K170" s="90" t="s">
        <v>109</v>
      </c>
      <c r="L170" s="90" t="s">
        <v>113</v>
      </c>
      <c r="M170" s="403"/>
      <c r="N170" s="90" t="s">
        <v>115</v>
      </c>
      <c r="O170" s="90" t="s">
        <v>116</v>
      </c>
      <c r="P170" s="90" t="s">
        <v>117</v>
      </c>
      <c r="Q170" s="90" t="s">
        <v>118</v>
      </c>
      <c r="R170" s="403"/>
      <c r="S170" s="90" t="s">
        <v>511</v>
      </c>
      <c r="T170" s="92" t="s">
        <v>377</v>
      </c>
      <c r="U170" s="92" t="s">
        <v>378</v>
      </c>
      <c r="V170" s="92" t="s">
        <v>379</v>
      </c>
      <c r="W170" s="407"/>
      <c r="X170" s="92" t="s">
        <v>381</v>
      </c>
      <c r="Y170" s="92" t="s">
        <v>382</v>
      </c>
      <c r="Z170" s="92" t="s">
        <v>383</v>
      </c>
      <c r="AA170" s="92" t="s">
        <v>384</v>
      </c>
      <c r="AB170" s="407"/>
      <c r="AC170" s="92" t="s">
        <v>386</v>
      </c>
      <c r="AD170" s="92" t="s">
        <v>387</v>
      </c>
      <c r="AE170" s="92" t="s">
        <v>388</v>
      </c>
      <c r="AF170" s="92" t="s">
        <v>389</v>
      </c>
      <c r="AG170" s="407"/>
      <c r="AH170" s="92" t="s">
        <v>391</v>
      </c>
      <c r="AI170" s="92" t="s">
        <v>392</v>
      </c>
      <c r="AJ170" s="92" t="s">
        <v>393</v>
      </c>
      <c r="AK170" s="92" t="s">
        <v>394</v>
      </c>
      <c r="AL170" s="407"/>
      <c r="AM170" s="92" t="s">
        <v>396</v>
      </c>
      <c r="AN170" s="92" t="s">
        <v>397</v>
      </c>
      <c r="AO170" s="92" t="s">
        <v>398</v>
      </c>
      <c r="AP170" s="92" t="s">
        <v>399</v>
      </c>
      <c r="AQ170" s="407"/>
    </row>
    <row r="171" spans="2:43" ht="15.6" outlineLevel="1" x14ac:dyDescent="0.3">
      <c r="B171" s="301" t="s">
        <v>250</v>
      </c>
      <c r="C171" s="175"/>
      <c r="D171" s="139">
        <v>390</v>
      </c>
      <c r="E171" s="139">
        <v>403</v>
      </c>
      <c r="F171" s="139">
        <v>384</v>
      </c>
      <c r="G171" s="139">
        <v>416</v>
      </c>
      <c r="H171" s="170"/>
      <c r="I171" s="139">
        <v>395</v>
      </c>
      <c r="J171" s="139">
        <v>414</v>
      </c>
      <c r="K171" s="139">
        <v>389</v>
      </c>
      <c r="L171" s="139">
        <v>423</v>
      </c>
      <c r="M171" s="170"/>
      <c r="N171" s="139">
        <v>400</v>
      </c>
      <c r="O171" s="139">
        <v>416</v>
      </c>
      <c r="P171" s="139">
        <v>397</v>
      </c>
      <c r="Q171" s="264">
        <v>437</v>
      </c>
      <c r="R171" s="50"/>
      <c r="S171" s="264">
        <v>417</v>
      </c>
      <c r="T171" s="124">
        <f>+O171*(1+T172)</f>
        <v>426.50331331790755</v>
      </c>
      <c r="U171" s="124">
        <f>+P171*(1+U172)</f>
        <v>409.05002475195568</v>
      </c>
      <c r="V171" s="124">
        <f>+Q171*(1+V172)</f>
        <v>451.3333796667423</v>
      </c>
      <c r="W171" s="54"/>
      <c r="X171" s="124">
        <f>+S171*(1+X172)</f>
        <v>430.64638257837618</v>
      </c>
      <c r="Y171" s="124">
        <f>+T171*(1+Y172)</f>
        <v>439.41844038752953</v>
      </c>
      <c r="Z171" s="124">
        <f>+U171*(1+Z172)</f>
        <v>421.95133610174918</v>
      </c>
      <c r="AA171" s="124">
        <f>+V171*(1+AA172)</f>
        <v>465.7022263062845</v>
      </c>
      <c r="AB171" s="54"/>
      <c r="AC171" s="124">
        <f>+X171*(1+AC172)</f>
        <v>444.25294447761451</v>
      </c>
      <c r="AD171" s="124">
        <f>+Y171*(1+AD172)</f>
        <v>453.17808430552492</v>
      </c>
      <c r="AE171" s="124">
        <f>+Z171*(1+AE172)</f>
        <v>435.27287834982116</v>
      </c>
      <c r="AF171" s="124">
        <f>+AA171*(1+AF172)</f>
        <v>480.40871735501605</v>
      </c>
      <c r="AG171" s="54"/>
      <c r="AH171" s="124">
        <f>+AC171*(1+AH172)</f>
        <v>457.14288000443787</v>
      </c>
      <c r="AI171" s="124">
        <f>+AD171*(1+AI172)</f>
        <v>466.03458924080724</v>
      </c>
      <c r="AJ171" s="124">
        <f>+AE171*(1+AJ172)</f>
        <v>447.30109575550989</v>
      </c>
      <c r="AK171" s="124">
        <f>+AF171*(1+AK172)</f>
        <v>493.21130004627548</v>
      </c>
      <c r="AL171" s="54"/>
      <c r="AM171" s="124">
        <f>+AH171*(1+AM172)</f>
        <v>468.76203541214619</v>
      </c>
      <c r="AN171" s="124">
        <f>+AI171*(1+AN172)</f>
        <v>477.46055141207501</v>
      </c>
      <c r="AO171" s="124">
        <f>+AJ171*(1+AO172)</f>
        <v>457.83698328749227</v>
      </c>
      <c r="AP171" s="124">
        <f>+AK171*(1+AP172)</f>
        <v>504.32557269395147</v>
      </c>
      <c r="AQ171" s="54"/>
    </row>
    <row r="172" spans="2:43" ht="15.6" outlineLevel="1" x14ac:dyDescent="0.3">
      <c r="B172" s="141" t="s">
        <v>251</v>
      </c>
      <c r="C172" s="175"/>
      <c r="D172" s="166">
        <f>+D171/374-1</f>
        <v>4.2780748663101553E-2</v>
      </c>
      <c r="E172" s="166">
        <f>+E171/394-1</f>
        <v>2.2842639593908531E-2</v>
      </c>
      <c r="F172" s="166">
        <f>+F171/370-1</f>
        <v>3.7837837837837895E-2</v>
      </c>
      <c r="G172" s="166">
        <f>+G171/407-1</f>
        <v>2.2113022113022129E-2</v>
      </c>
      <c r="H172" s="170"/>
      <c r="I172" s="166">
        <f>+I171/D171-1</f>
        <v>1.2820512820512775E-2</v>
      </c>
      <c r="J172" s="166">
        <f>+J171/E171-1</f>
        <v>2.7295285359801413E-2</v>
      </c>
      <c r="K172" s="166">
        <f>+K171/F171-1</f>
        <v>1.3020833333333259E-2</v>
      </c>
      <c r="L172" s="166">
        <f>+L171/G171-1</f>
        <v>1.6826923076923128E-2</v>
      </c>
      <c r="M172" s="170"/>
      <c r="N172" s="166">
        <f>+N171/I171-1</f>
        <v>1.2658227848101333E-2</v>
      </c>
      <c r="O172" s="166">
        <f>+O171/J171-1</f>
        <v>4.8309178743961567E-3</v>
      </c>
      <c r="P172" s="166">
        <f>+P171/K171-1</f>
        <v>2.0565552699228773E-2</v>
      </c>
      <c r="Q172" s="166">
        <f>+Q171/L171-1</f>
        <v>3.3096926713948038E-2</v>
      </c>
      <c r="R172" s="76"/>
      <c r="S172" s="166">
        <f>+S171/N171-1</f>
        <v>4.2499999999999982E-2</v>
      </c>
      <c r="T172" s="177">
        <f>AVERAGE(S172,Q172,P172,O172)</f>
        <v>2.5248349321893238E-2</v>
      </c>
      <c r="U172" s="177">
        <f>AVERAGE(T172,S172,Q172,P172)</f>
        <v>3.0352707183767508E-2</v>
      </c>
      <c r="V172" s="177">
        <f>AVERAGE(U172,T172,S172,Q172)</f>
        <v>3.2799495804902191E-2</v>
      </c>
      <c r="W172" s="54"/>
      <c r="X172" s="177">
        <f>AVERAGE(V172,U172,T172,S172)</f>
        <v>3.2725138077640728E-2</v>
      </c>
      <c r="Y172" s="177">
        <f>AVERAGE(X172,V172,U172,T172)</f>
        <v>3.0281422597050918E-2</v>
      </c>
      <c r="Z172" s="177">
        <f>AVERAGE(Y172,X172,V172,U172)</f>
        <v>3.1539690915840336E-2</v>
      </c>
      <c r="AA172" s="177">
        <f>AVERAGE(Z172,Y172,X172,V172)</f>
        <v>3.1836436848858542E-2</v>
      </c>
      <c r="AB172" s="54"/>
      <c r="AC172" s="177">
        <f>AVERAGE(AA172,Z172,Y172,X172)</f>
        <v>3.1595672109847636E-2</v>
      </c>
      <c r="AD172" s="177">
        <f>AVERAGE(AC172,AA172,Z172,Y172)</f>
        <v>3.1313305617899356E-2</v>
      </c>
      <c r="AE172" s="177">
        <f>AVERAGE(AD172,AC172,AA172,Z172)</f>
        <v>3.1571276373111468E-2</v>
      </c>
      <c r="AF172" s="177">
        <f>AVERAGE(AE172,AD172,AC172,AA172)</f>
        <v>3.1579172737429252E-2</v>
      </c>
      <c r="AG172" s="54"/>
      <c r="AH172" s="177">
        <f>AVERAGE(AF172,AE172,AD172,AC172)-0.25%</f>
        <v>2.9014856709571924E-2</v>
      </c>
      <c r="AI172" s="177">
        <f>AVERAGE(AH172,AF172,AE172,AD172)-0.25%</f>
        <v>2.8369652859503002E-2</v>
      </c>
      <c r="AJ172" s="177">
        <f>AVERAGE(AI172,AH172,AF172,AE172)-0.25%</f>
        <v>2.7633739669903911E-2</v>
      </c>
      <c r="AK172" s="177">
        <f>AVERAGE(AJ172,AI172,AH172,AF172)-0.25%</f>
        <v>2.6649355494102026E-2</v>
      </c>
      <c r="AL172" s="54"/>
      <c r="AM172" s="177">
        <f>AVERAGE(AK172,AJ172,AI172,AH172)-0.25%</f>
        <v>2.5416901183270217E-2</v>
      </c>
      <c r="AN172" s="177">
        <f>AVERAGE(AM172,AK172,AJ172,AI172)-0.25%</f>
        <v>2.4517412301694793E-2</v>
      </c>
      <c r="AO172" s="177">
        <f>AVERAGE(AN172,AM172,AK172,AJ172)-0.25%</f>
        <v>2.3554352162242737E-2</v>
      </c>
      <c r="AP172" s="177">
        <f>AVERAGE(AO172,AN172,AM172,AK172)-0.25%</f>
        <v>2.2534505285327442E-2</v>
      </c>
      <c r="AQ172" s="54"/>
    </row>
    <row r="173" spans="2:43" s="53" customFormat="1" ht="15.6" outlineLevel="1" x14ac:dyDescent="0.3">
      <c r="B173" s="332" t="s">
        <v>272</v>
      </c>
      <c r="C173" s="333"/>
      <c r="D173" s="334"/>
      <c r="E173" s="317"/>
      <c r="F173" s="317"/>
      <c r="G173" s="317"/>
      <c r="H173" s="335"/>
      <c r="I173" s="317"/>
      <c r="J173" s="317"/>
      <c r="K173" s="317"/>
      <c r="L173" s="317"/>
      <c r="M173" s="335"/>
      <c r="N173" s="317"/>
      <c r="O173" s="317"/>
      <c r="P173" s="317"/>
      <c r="Q173" s="317"/>
      <c r="R173" s="336"/>
      <c r="S173" s="317"/>
      <c r="T173" s="317"/>
      <c r="U173" s="317"/>
      <c r="V173" s="317"/>
      <c r="W173" s="165"/>
      <c r="X173" s="317"/>
      <c r="Y173" s="317"/>
      <c r="Z173" s="317"/>
      <c r="AA173" s="317"/>
      <c r="AB173" s="165"/>
      <c r="AC173" s="317"/>
      <c r="AD173" s="317"/>
      <c r="AE173" s="317"/>
      <c r="AF173" s="317"/>
      <c r="AG173" s="165"/>
      <c r="AH173" s="317"/>
      <c r="AI173" s="317"/>
      <c r="AJ173" s="317"/>
      <c r="AK173" s="317"/>
      <c r="AL173" s="165"/>
      <c r="AM173" s="317"/>
      <c r="AN173" s="317"/>
      <c r="AO173" s="317"/>
      <c r="AP173" s="317"/>
      <c r="AQ173" s="165"/>
    </row>
    <row r="174" spans="2:43" ht="15.6" outlineLevel="1" x14ac:dyDescent="0.3">
      <c r="B174" s="178" t="s">
        <v>334</v>
      </c>
      <c r="C174" s="171"/>
      <c r="D174" s="168">
        <v>578.5</v>
      </c>
      <c r="E174" s="168">
        <v>596</v>
      </c>
      <c r="F174" s="168">
        <v>531</v>
      </c>
      <c r="G174" s="168">
        <v>637</v>
      </c>
      <c r="H174" s="337"/>
      <c r="I174" s="168">
        <v>564.4</v>
      </c>
      <c r="J174" s="168">
        <v>608</v>
      </c>
      <c r="K174" s="168">
        <v>542.4</v>
      </c>
      <c r="L174" s="168">
        <v>587.4</v>
      </c>
      <c r="M174" s="337"/>
      <c r="N174" s="168">
        <v>587.5</v>
      </c>
      <c r="O174" s="168">
        <v>623</v>
      </c>
      <c r="P174" s="168">
        <v>590</v>
      </c>
      <c r="Q174" s="168">
        <v>620</v>
      </c>
      <c r="R174" s="136"/>
      <c r="S174" s="168">
        <v>655.4</v>
      </c>
      <c r="T174" s="140">
        <f>AVERAGE(S174,Q174,P174,O174)</f>
        <v>622.1</v>
      </c>
      <c r="U174" s="140">
        <f>AVERAGE(T174,S174,Q174,P174)</f>
        <v>621.875</v>
      </c>
      <c r="V174" s="140">
        <f>AVERAGE(U174,T174,S174,Q174)</f>
        <v>629.84375</v>
      </c>
      <c r="W174" s="136"/>
      <c r="X174" s="140">
        <f>AVERAGE(V174,U174,T174,S174)</f>
        <v>632.3046875</v>
      </c>
      <c r="Y174" s="140">
        <f>AVERAGE(X174,V174,U174,T174)</f>
        <v>626.53085937499998</v>
      </c>
      <c r="Z174" s="140">
        <f>AVERAGE(Y174,X174,V174,U174)</f>
        <v>627.63857421875002</v>
      </c>
      <c r="AA174" s="140">
        <f>AVERAGE(Z174,Y174,X174,V174)</f>
        <v>629.0794677734375</v>
      </c>
      <c r="AB174" s="136"/>
      <c r="AC174" s="140">
        <f>AVERAGE(AA174,Z174,Y174,X174)</f>
        <v>628.88839721679688</v>
      </c>
      <c r="AD174" s="140">
        <f>AVERAGE(AC174,AA174,Z174,Y174)</f>
        <v>628.03432464599609</v>
      </c>
      <c r="AE174" s="140">
        <f>AVERAGE(AD174,AC174,AA174,Z174)</f>
        <v>628.41019096374509</v>
      </c>
      <c r="AF174" s="140">
        <f>AVERAGE(AE174,AD174,AC174,AA174)</f>
        <v>628.60309514999392</v>
      </c>
      <c r="AG174" s="136"/>
      <c r="AH174" s="140">
        <f>AVERAGE(AF174,AE174,AD174,AC174)</f>
        <v>628.484001994133</v>
      </c>
      <c r="AI174" s="140">
        <f>AVERAGE(AH174,AF174,AE174,AD174)</f>
        <v>628.38290318846703</v>
      </c>
      <c r="AJ174" s="140">
        <f>AVERAGE(AI174,AH174,AF174,AE174)</f>
        <v>628.47004782408476</v>
      </c>
      <c r="AK174" s="140">
        <f>AVERAGE(AJ174,AI174,AH174,AF174)</f>
        <v>628.48501203916965</v>
      </c>
      <c r="AL174" s="136"/>
      <c r="AM174" s="140">
        <f>AVERAGE(AK174,AJ174,AI174,AH174)</f>
        <v>628.45549126146364</v>
      </c>
      <c r="AN174" s="140">
        <f>AVERAGE(AM174,AK174,AJ174,AI174)</f>
        <v>628.44836357829627</v>
      </c>
      <c r="AO174" s="140">
        <f>AVERAGE(AN174,AM174,AK174,AJ174)</f>
        <v>628.46472867575358</v>
      </c>
      <c r="AP174" s="140">
        <f>AVERAGE(AO174,AN174,AM174,AK174)</f>
        <v>628.46339888867078</v>
      </c>
      <c r="AQ174" s="136"/>
    </row>
    <row r="175" spans="2:43" ht="15.6" outlineLevel="1" x14ac:dyDescent="0.3">
      <c r="B175" s="178" t="s">
        <v>335</v>
      </c>
      <c r="C175" s="171"/>
      <c r="D175" s="168">
        <v>-43.4</v>
      </c>
      <c r="E175" s="168">
        <v>-83</v>
      </c>
      <c r="F175" s="168">
        <v>-329</v>
      </c>
      <c r="G175" s="168">
        <v>-1613.5</v>
      </c>
      <c r="H175" s="136"/>
      <c r="I175" s="168">
        <f>-80.5-1</f>
        <v>-81.5</v>
      </c>
      <c r="J175" s="168">
        <f>-88-1</f>
        <v>-89</v>
      </c>
      <c r="K175" s="168">
        <f>-90.5-1</f>
        <v>-91.5</v>
      </c>
      <c r="L175" s="168">
        <f>-140.5-24</f>
        <v>-164.5</v>
      </c>
      <c r="M175" s="136"/>
      <c r="N175" s="168">
        <f>-118-3</f>
        <v>-121</v>
      </c>
      <c r="O175" s="168">
        <f>-87-3</f>
        <v>-90</v>
      </c>
      <c r="P175" s="168">
        <f>-119-3</f>
        <v>-122</v>
      </c>
      <c r="Q175" s="168">
        <f>-507-13</f>
        <v>-520</v>
      </c>
      <c r="R175" s="136"/>
      <c r="S175" s="168">
        <v>-139</v>
      </c>
      <c r="T175" s="168">
        <f>+T174-T176-T208</f>
        <v>-117.70000000000005</v>
      </c>
      <c r="U175" s="168">
        <f>+U174-U176-U208</f>
        <v>-126.85833333333323</v>
      </c>
      <c r="V175" s="168">
        <f>+V174-V176-V208</f>
        <v>96.096478839869434</v>
      </c>
      <c r="W175" s="136"/>
      <c r="X175" s="168">
        <f>+X174-X176-X208</f>
        <v>-128.67309027777776</v>
      </c>
      <c r="Y175" s="168">
        <f>+Y174-Y176-Y208</f>
        <v>-126.09136284722229</v>
      </c>
      <c r="Z175" s="168">
        <f>+Z174-Z176-Z208</f>
        <v>-128.18920355902765</v>
      </c>
      <c r="AA175" s="168">
        <f>+AA174-AA176-AA208</f>
        <v>-28.521921115451335</v>
      </c>
      <c r="AB175" s="136"/>
      <c r="AC175" s="168">
        <f>+AC174-AC176-AC208</f>
        <v>-127.86889444986969</v>
      </c>
      <c r="AD175" s="168">
        <f>+AD174-AD176-AD208</f>
        <v>-127.66784549289275</v>
      </c>
      <c r="AE175" s="168">
        <f>+AE174-AE176-AE208</f>
        <v>-128.06196615431031</v>
      </c>
      <c r="AF175" s="168">
        <f>+AF174-AF176-AF208</f>
        <v>-73.030156803130865</v>
      </c>
      <c r="AG175" s="136"/>
      <c r="AH175" s="168">
        <f>+AH174-AH176-AH208</f>
        <v>-127.90721572505095</v>
      </c>
      <c r="AI175" s="168">
        <f>+AI174-AI176-AI208</f>
        <v>-127.91679604384626</v>
      </c>
      <c r="AJ175" s="168">
        <f>+AJ174-AJ176-AJ208</f>
        <v>-127.97903368158461</v>
      </c>
      <c r="AK175" s="168">
        <f>+AK174-AK176-AK208</f>
        <v>-72.958300563403043</v>
      </c>
      <c r="AL175" s="136"/>
      <c r="AM175" s="168">
        <f>+AM174-AM176-AM208</f>
        <v>-127.94033650347126</v>
      </c>
      <c r="AN175" s="168">
        <f>+AN174-AN176-AN208</f>
        <v>-127.94861669807631</v>
      </c>
      <c r="AO175" s="168">
        <f>+AO174-AO176-AO208</f>
        <v>-127.95657186163385</v>
      </c>
      <c r="AP175" s="168">
        <f>+AP174-AP176-AP208</f>
        <v>-72.950956406646071</v>
      </c>
      <c r="AQ175" s="136"/>
    </row>
    <row r="176" spans="2:43" s="53" customFormat="1" ht="15.6" customHeight="1" outlineLevel="1" x14ac:dyDescent="0.3">
      <c r="B176" s="747" t="s">
        <v>403</v>
      </c>
      <c r="C176" s="748"/>
      <c r="D176" s="168">
        <f>-(D175-D174)</f>
        <v>621.9</v>
      </c>
      <c r="E176" s="168">
        <f>-(E175-E174)</f>
        <v>679</v>
      </c>
      <c r="F176" s="168">
        <f>-(F175-F174)</f>
        <v>860</v>
      </c>
      <c r="G176" s="168">
        <f>-(G175-G174)</f>
        <v>2250.5</v>
      </c>
      <c r="H176" s="136"/>
      <c r="I176" s="168">
        <f>-(I175-I174)</f>
        <v>645.9</v>
      </c>
      <c r="J176" s="168">
        <f>-(J175-J174)</f>
        <v>697</v>
      </c>
      <c r="K176" s="168">
        <f>-(K175-K174)</f>
        <v>633.9</v>
      </c>
      <c r="L176" s="168">
        <f>-(L175-L174)</f>
        <v>751.9</v>
      </c>
      <c r="M176" s="136"/>
      <c r="N176" s="168">
        <f>-(N175-N174)</f>
        <v>708.5</v>
      </c>
      <c r="O176" s="168">
        <f>-(O175-O174)</f>
        <v>713</v>
      </c>
      <c r="P176" s="168">
        <f>-(P175-P174)</f>
        <v>712</v>
      </c>
      <c r="Q176" s="431">
        <f>-(Q175-Q174)</f>
        <v>1140</v>
      </c>
      <c r="R176" s="136"/>
      <c r="S176" s="168">
        <f>-(S175-S174)</f>
        <v>794.4</v>
      </c>
      <c r="T176" s="140">
        <f>AVERAGE(S176,P176,O176)</f>
        <v>739.80000000000007</v>
      </c>
      <c r="U176" s="140">
        <f>AVERAGE(T176,S176,P176)</f>
        <v>748.73333333333323</v>
      </c>
      <c r="V176" s="140">
        <f>AVERAGE(U176,T176,S176)</f>
        <v>760.97777777777776</v>
      </c>
      <c r="W176" s="136"/>
      <c r="X176" s="140">
        <f>AVERAGE(V176,U176,T176,S176)</f>
        <v>760.97777777777776</v>
      </c>
      <c r="Y176" s="140">
        <f>AVERAGE(X176,V176,U176,T176)</f>
        <v>752.62222222222226</v>
      </c>
      <c r="Z176" s="140">
        <f>AVERAGE(Y176,X176,V176,U176)</f>
        <v>755.82777777777767</v>
      </c>
      <c r="AA176" s="140">
        <f>AVERAGE(Z176,Y176,X176,V176)</f>
        <v>757.60138888888878</v>
      </c>
      <c r="AB176" s="136"/>
      <c r="AC176" s="140">
        <f>AVERAGE(AA176,Z176,Y176,X176)</f>
        <v>756.75729166666656</v>
      </c>
      <c r="AD176" s="140">
        <f>AVERAGE(AC176,AA176,Z176,Y176)</f>
        <v>755.70217013888885</v>
      </c>
      <c r="AE176" s="140">
        <f>AVERAGE(AD176,AC176,AA176,Z176)</f>
        <v>756.47215711805541</v>
      </c>
      <c r="AF176" s="140">
        <f>AVERAGE(AE176,AD176,AC176,AA176)</f>
        <v>756.63325195312484</v>
      </c>
      <c r="AG176" s="136"/>
      <c r="AH176" s="140">
        <f>AVERAGE(AF176,AE176,AD176,AC176)</f>
        <v>756.39121771918394</v>
      </c>
      <c r="AI176" s="140">
        <f>AVERAGE(AH176,AF176,AE176,AD176)</f>
        <v>756.29969923231329</v>
      </c>
      <c r="AJ176" s="140">
        <f>AVERAGE(AI176,AH176,AF176,AE176)</f>
        <v>756.44908150566937</v>
      </c>
      <c r="AK176" s="140">
        <f>AVERAGE(AJ176,AI176,AH176,AF176)</f>
        <v>756.44331260257275</v>
      </c>
      <c r="AL176" s="136"/>
      <c r="AM176" s="140">
        <f>AVERAGE(AK176,AJ176,AI176,AH176)</f>
        <v>756.39582776493489</v>
      </c>
      <c r="AN176" s="140">
        <f>AVERAGE(AM176,AK176,AJ176,AI176)</f>
        <v>756.39698027637257</v>
      </c>
      <c r="AO176" s="140">
        <f>AVERAGE(AN176,AM176,AK176,AJ176)</f>
        <v>756.42130053738742</v>
      </c>
      <c r="AP176" s="140">
        <f>AVERAGE(AO176,AN176,AM176,AK176)</f>
        <v>756.41435529531691</v>
      </c>
      <c r="AQ176" s="136"/>
    </row>
    <row r="177" spans="2:43" s="195" customFormat="1" ht="15.6" outlineLevel="1" x14ac:dyDescent="0.3">
      <c r="B177" s="327" t="s">
        <v>269</v>
      </c>
      <c r="C177" s="328"/>
      <c r="D177" s="203"/>
      <c r="E177" s="203"/>
      <c r="F177" s="247"/>
      <c r="G177" s="203"/>
      <c r="H177" s="202"/>
      <c r="I177" s="203"/>
      <c r="J177" s="203"/>
      <c r="K177" s="247"/>
      <c r="L177" s="203"/>
      <c r="M177" s="204"/>
      <c r="N177" s="329"/>
      <c r="O177" s="329"/>
      <c r="P177" s="329"/>
      <c r="Q177" s="203"/>
      <c r="R177" s="330"/>
      <c r="S177" s="203"/>
      <c r="T177" s="203"/>
      <c r="U177" s="247"/>
      <c r="V177" s="203"/>
      <c r="W177" s="202"/>
      <c r="X177" s="203"/>
      <c r="Y177" s="203"/>
      <c r="Z177" s="247"/>
      <c r="AA177" s="203"/>
      <c r="AB177" s="202"/>
      <c r="AC177" s="203"/>
      <c r="AD177" s="203"/>
      <c r="AE177" s="247"/>
      <c r="AF177" s="203"/>
      <c r="AG177" s="202"/>
      <c r="AH177" s="203"/>
      <c r="AI177" s="203"/>
      <c r="AJ177" s="247"/>
      <c r="AK177" s="203"/>
      <c r="AL177" s="202"/>
      <c r="AM177" s="203"/>
      <c r="AN177" s="203"/>
      <c r="AO177" s="247"/>
      <c r="AP177" s="203"/>
      <c r="AQ177" s="202"/>
    </row>
    <row r="178" spans="2:43" s="195" customFormat="1" ht="15.6" outlineLevel="1" x14ac:dyDescent="0.3">
      <c r="B178" s="297" t="s">
        <v>270</v>
      </c>
      <c r="C178" s="175"/>
      <c r="D178" s="139">
        <f>+D19-(D68+D147+D164)</f>
        <v>0</v>
      </c>
      <c r="E178" s="139">
        <f>+E19-(E68+E147+E164)</f>
        <v>1</v>
      </c>
      <c r="F178" s="139">
        <f>+F19-(F68+F147+F164)</f>
        <v>-1</v>
      </c>
      <c r="G178" s="139">
        <f>+G19-(G68+G147+G164)</f>
        <v>3</v>
      </c>
      <c r="H178" s="54"/>
      <c r="I178" s="139">
        <f>+I19-(I68+I147+I164)</f>
        <v>2</v>
      </c>
      <c r="J178" s="139">
        <f>+J19-(J68+J147+J164)</f>
        <v>-2</v>
      </c>
      <c r="K178" s="139">
        <f>+K19-(K68+K147+K164)</f>
        <v>0</v>
      </c>
      <c r="L178" s="139">
        <f>+L19-(L68+L147+L164)</f>
        <v>1</v>
      </c>
      <c r="M178" s="170"/>
      <c r="N178" s="139">
        <f>+N19-(N68+N147+N164)</f>
        <v>1</v>
      </c>
      <c r="O178" s="139">
        <f>+O19-(O68+O147+O164)</f>
        <v>-1</v>
      </c>
      <c r="P178" s="139">
        <f>+P19-(P68+P147+P164)</f>
        <v>1</v>
      </c>
      <c r="Q178" s="139">
        <f>+Q19-(Q68+Q147+Q164)</f>
        <v>0</v>
      </c>
      <c r="R178" s="54"/>
      <c r="S178" s="139">
        <f>+S19-(S68+S147+S164)</f>
        <v>1</v>
      </c>
      <c r="T178" s="140">
        <f>AVERAGE(S178,Q178,P178,O178)</f>
        <v>0.25</v>
      </c>
      <c r="U178" s="140">
        <f>AVERAGE(T178,S178,Q178,P178)</f>
        <v>0.5625</v>
      </c>
      <c r="V178" s="140">
        <f>AVERAGE(U178,T178,S178,Q178)</f>
        <v>0.453125</v>
      </c>
      <c r="W178" s="54"/>
      <c r="X178" s="140">
        <f>AVERAGE(V178,U178,T178,S178)</f>
        <v>0.56640625</v>
      </c>
      <c r="Y178" s="140">
        <f>AVERAGE(X178,V178,U178,T178)</f>
        <v>0.4580078125</v>
      </c>
      <c r="Z178" s="140">
        <f>AVERAGE(Y178,X178,V178,U178)</f>
        <v>0.510009765625</v>
      </c>
      <c r="AA178" s="140">
        <f>AVERAGE(Z178,Y178,X178,V178)</f>
        <v>0.49688720703125</v>
      </c>
      <c r="AB178" s="54"/>
      <c r="AC178" s="140">
        <f>AVERAGE(AA178,Z178,Y178,X178)</f>
        <v>0.5078277587890625</v>
      </c>
      <c r="AD178" s="140">
        <f>AVERAGE(AC178,AA178,Z178,Y178)</f>
        <v>0.49318313598632813</v>
      </c>
      <c r="AE178" s="140">
        <f>AVERAGE(AD178,AC178,AA178,Z178)</f>
        <v>0.50197696685791016</v>
      </c>
      <c r="AF178" s="140">
        <f>AVERAGE(AE178,AD178,AC178,AA178)</f>
        <v>0.4999687671661377</v>
      </c>
      <c r="AG178" s="54"/>
      <c r="AH178" s="140">
        <f>AVERAGE(AF178,AE178,AD178,AC178)</f>
        <v>0.50073915719985962</v>
      </c>
      <c r="AI178" s="140">
        <f>AVERAGE(AH178,AF178,AE178,AD178)</f>
        <v>0.4989670068025589</v>
      </c>
      <c r="AJ178" s="140">
        <f>AVERAGE(AI178,AH178,AF178,AE178)</f>
        <v>0.50041297450661659</v>
      </c>
      <c r="AK178" s="140">
        <f>AVERAGE(AJ178,AI178,AH178,AF178)</f>
        <v>0.5000219764187932</v>
      </c>
      <c r="AL178" s="54"/>
      <c r="AM178" s="140">
        <f>AVERAGE(AK178,AJ178,AI178,AH178)</f>
        <v>0.50003527873195708</v>
      </c>
      <c r="AN178" s="140">
        <f>AVERAGE(AM178,AK178,AJ178,AI178)</f>
        <v>0.49985930911498144</v>
      </c>
      <c r="AO178" s="140">
        <f>AVERAGE(AN178,AM178,AK178,AJ178)</f>
        <v>0.50008238469308708</v>
      </c>
      <c r="AP178" s="140">
        <f>AVERAGE(AO178,AN178,AM178,AK178)</f>
        <v>0.4999997372397047</v>
      </c>
      <c r="AQ178" s="54"/>
    </row>
    <row r="179" spans="2:43" s="195" customFormat="1" ht="15.6" outlineLevel="1" x14ac:dyDescent="0.3">
      <c r="B179" s="297" t="s">
        <v>157</v>
      </c>
      <c r="C179" s="175"/>
      <c r="D179" s="139">
        <f>+D18-(D69+D148+D165)</f>
        <v>113</v>
      </c>
      <c r="E179" s="139">
        <f>+E18-(E69+E148+E165)</f>
        <v>110</v>
      </c>
      <c r="F179" s="139">
        <f>+F18-(F69+F148+F165)</f>
        <v>114</v>
      </c>
      <c r="G179" s="139">
        <f>+G18-(G69+G148+G165)</f>
        <v>117</v>
      </c>
      <c r="H179" s="54"/>
      <c r="I179" s="139">
        <f>+I18-(I69+I148+I165)</f>
        <v>113</v>
      </c>
      <c r="J179" s="139">
        <f>+J18-(J69+J148+J165)</f>
        <v>110</v>
      </c>
      <c r="K179" s="139">
        <f>+K18-(K69+K148+K165)</f>
        <v>111</v>
      </c>
      <c r="L179" s="139">
        <f>+L18-(L69+L148+L165)</f>
        <v>107</v>
      </c>
      <c r="M179" s="170"/>
      <c r="N179" s="139">
        <f>+N18-(N69+N148+N165)</f>
        <v>107</v>
      </c>
      <c r="O179" s="139">
        <f>+O18-(O69+O148+O165)</f>
        <v>108</v>
      </c>
      <c r="P179" s="139">
        <f>+P18-(P69+P148+P165)</f>
        <v>110</v>
      </c>
      <c r="Q179" s="139">
        <f>+Q18-(Q69+Q148+Q165)</f>
        <v>114</v>
      </c>
      <c r="R179" s="54"/>
      <c r="S179" s="139">
        <f>+S18-(S69+S148+S165)</f>
        <v>121</v>
      </c>
      <c r="T179" s="139">
        <f>S179/(S69+S148+S165+S179)*T18</f>
        <v>111.35263734045358</v>
      </c>
      <c r="U179" s="139">
        <f>T179/(T69+T148+T165+T179)*U18</f>
        <v>112.76684494783252</v>
      </c>
      <c r="V179" s="139">
        <f>U179/(U69+U148+U165+U179)*V18</f>
        <v>115.6675047657592</v>
      </c>
      <c r="W179" s="54"/>
      <c r="X179" s="139">
        <f>V179/(V69+V148+V165+V179)*X18</f>
        <v>119.95449005819634</v>
      </c>
      <c r="Y179" s="139">
        <f>X179/(X69+X148+X165+X179)*Y18</f>
        <v>122.79727701680575</v>
      </c>
      <c r="Z179" s="139">
        <f>Y179/(Y69+Y148+Y165+Y179)*Z18</f>
        <v>124.27785144376837</v>
      </c>
      <c r="AA179" s="139">
        <f>Z179/(Z69+Z148+Z165+Z179)*AA18</f>
        <v>127.28985006705251</v>
      </c>
      <c r="AB179" s="54"/>
      <c r="AC179" s="139">
        <f>AA179/(AA69+AA148+AA165+AA179)*AC18</f>
        <v>131.80077610184182</v>
      </c>
      <c r="AD179" s="139">
        <f>AC179/(AC69+AC148+AC165+AC179)*AD18</f>
        <v>134.82522645919141</v>
      </c>
      <c r="AE179" s="139">
        <f>AD179/(AD69+AD148+AD165+AD179)*AE18</f>
        <v>136.38624166690053</v>
      </c>
      <c r="AF179" s="139">
        <f>AE179/(AE69+AE148+AE165+AE179)*AF18</f>
        <v>139.55973810472472</v>
      </c>
      <c r="AG179" s="54"/>
      <c r="AH179" s="139">
        <f>AF179/(AF69+AF148+AF165+AF179)*AH18</f>
        <v>144.32174812867044</v>
      </c>
      <c r="AI179" s="139">
        <f>AH179/(AH69+AH148+AH165+AH179)*AI18</f>
        <v>147.50804377814612</v>
      </c>
      <c r="AJ179" s="139">
        <f>AI179/(AI69+AI148+AI165+AI179)*AJ18</f>
        <v>149.14975085157411</v>
      </c>
      <c r="AK179" s="139">
        <f>AJ179/(AJ69+AJ148+AJ165+AJ179)*AK18</f>
        <v>152.48431879834899</v>
      </c>
      <c r="AL179" s="54"/>
      <c r="AM179" s="139">
        <f>AK179/(AK69+AK148+AK165+AK179)*AM18</f>
        <v>157.48748472691889</v>
      </c>
      <c r="AN179" s="139">
        <f>AM179/(AM69+AM148+AM165+AM179)*AN18</f>
        <v>160.82664451909628</v>
      </c>
      <c r="AO179" s="139">
        <f>AN179/(AN69+AN148+AN165+AN179)*AO18</f>
        <v>162.54526456902866</v>
      </c>
      <c r="AP179" s="139">
        <f>AO179/(AO69+AO148+AO165+AO179)*AP18</f>
        <v>166.03361996943499</v>
      </c>
      <c r="AQ179" s="54"/>
    </row>
    <row r="180" spans="2:43" s="53" customFormat="1" ht="15.6" customHeight="1" outlineLevel="1" x14ac:dyDescent="0.3">
      <c r="B180" s="775" t="s">
        <v>271</v>
      </c>
      <c r="C180" s="776"/>
      <c r="D180" s="216">
        <f>+D24-(D68+D69+D70+D147+D148+D149+D164+D165+D166)-(D178+D179)-D176</f>
        <v>277.10000000000002</v>
      </c>
      <c r="E180" s="216">
        <f>+E24-(E68+E69+E70+E147+E148+E149+E164+E165+E166)-(E178+E179)-E176</f>
        <v>292</v>
      </c>
      <c r="F180" s="216">
        <f>+F24-(F68+F69+F70+F147+F148+F149+F164+F165+F166)-(F178+F179)-F176</f>
        <v>271</v>
      </c>
      <c r="G180" s="216">
        <f>+G24-(G68+G69+G70+G147+G148+G149+G164+G165+G166)-(G178+G179)-G176</f>
        <v>295.5</v>
      </c>
      <c r="H180" s="56"/>
      <c r="I180" s="216">
        <f>+I24-(I68+I69+I70+I147+I148+I149+I164+I165+I166)-(I178+I179)-I176</f>
        <v>280.10000000000002</v>
      </c>
      <c r="J180" s="216">
        <f>+J24-(J68+J69+J70+J147+J148+J149+J164+J165+J166)-(J178+J179)-J176</f>
        <v>306</v>
      </c>
      <c r="K180" s="216">
        <f>+K24-(K68+K69+K70+K147+K148+K149+K164+K165+K166)-(K178+K179)-K176</f>
        <v>278.10000000000002</v>
      </c>
      <c r="L180" s="216">
        <f>+L24-(L68+L69+L70+L147+L148+L149+L164+L165+L166)-(L178+L179)-L176</f>
        <v>315.10000000000002</v>
      </c>
      <c r="M180" s="176"/>
      <c r="N180" s="216">
        <f>+N24-(N68+N69+N70+N147+N148+N149+N164+N165+N166)-(N178+N179)-N176</f>
        <v>291.5</v>
      </c>
      <c r="O180" s="216">
        <f>+O24-(O68+O69+O70+O147+O148+O149+O164+O165+O166)-(O178+O179)-O176</f>
        <v>309</v>
      </c>
      <c r="P180" s="216">
        <f>+P24-(P68+P69+P70+P147+P148+P149+P164+P165+P166)-(P178+P179)-P176</f>
        <v>286</v>
      </c>
      <c r="Q180" s="216">
        <f>+Q24-(Q68+Q69+Q70+Q147+Q148+Q149+Q164+Q165+Q166)-(Q178+Q179)-Q176</f>
        <v>322</v>
      </c>
      <c r="R180" s="56"/>
      <c r="S180" s="216">
        <f>+S24-(S68+S69+S70+S147+S148+S149+S164+S165+S166)-(S178+S179)-S176</f>
        <v>295.10000000000002</v>
      </c>
      <c r="T180" s="331">
        <v>315</v>
      </c>
      <c r="U180" s="331">
        <v>296</v>
      </c>
      <c r="V180" s="331">
        <v>335</v>
      </c>
      <c r="W180" s="56"/>
      <c r="X180" s="331">
        <v>310</v>
      </c>
      <c r="Y180" s="331">
        <v>316</v>
      </c>
      <c r="Z180" s="331">
        <v>297</v>
      </c>
      <c r="AA180" s="331">
        <v>338</v>
      </c>
      <c r="AB180" s="56"/>
      <c r="AC180" s="331">
        <v>312</v>
      </c>
      <c r="AD180" s="331">
        <v>318</v>
      </c>
      <c r="AE180" s="331">
        <v>298</v>
      </c>
      <c r="AF180" s="331">
        <v>340</v>
      </c>
      <c r="AG180" s="56"/>
      <c r="AH180" s="331">
        <v>312</v>
      </c>
      <c r="AI180" s="331">
        <v>318</v>
      </c>
      <c r="AJ180" s="331">
        <v>298</v>
      </c>
      <c r="AK180" s="331">
        <v>340</v>
      </c>
      <c r="AL180" s="56"/>
      <c r="AM180" s="331">
        <v>311</v>
      </c>
      <c r="AN180" s="331">
        <v>316</v>
      </c>
      <c r="AO180" s="331">
        <v>295</v>
      </c>
      <c r="AP180" s="331">
        <v>338</v>
      </c>
      <c r="AQ180" s="56"/>
    </row>
    <row r="181" spans="2:43" s="53" customFormat="1" ht="15.6" customHeight="1" outlineLevel="1" x14ac:dyDescent="0.3">
      <c r="B181" s="338" t="s">
        <v>273</v>
      </c>
      <c r="C181" s="339"/>
      <c r="D181" s="168"/>
      <c r="E181" s="168"/>
      <c r="F181" s="168"/>
      <c r="G181" s="168"/>
      <c r="H181" s="136"/>
      <c r="I181" s="168"/>
      <c r="J181" s="168"/>
      <c r="K181" s="168"/>
      <c r="L181" s="168"/>
      <c r="M181" s="337"/>
      <c r="N181" s="158"/>
      <c r="O181" s="158"/>
      <c r="P181" s="158"/>
      <c r="Q181" s="168"/>
      <c r="R181" s="136"/>
      <c r="S181" s="168"/>
      <c r="T181" s="168"/>
      <c r="U181" s="168"/>
      <c r="V181" s="168"/>
      <c r="W181" s="136"/>
      <c r="X181" s="168"/>
      <c r="Y181" s="168"/>
      <c r="Z181" s="168"/>
      <c r="AA181" s="168"/>
      <c r="AB181" s="136"/>
      <c r="AC181" s="168"/>
      <c r="AD181" s="168"/>
      <c r="AE181" s="168"/>
      <c r="AF181" s="168"/>
      <c r="AG181" s="136"/>
      <c r="AH181" s="168"/>
      <c r="AI181" s="168"/>
      <c r="AJ181" s="168"/>
      <c r="AK181" s="168"/>
      <c r="AL181" s="136"/>
      <c r="AM181" s="168"/>
      <c r="AN181" s="168"/>
      <c r="AO181" s="168"/>
      <c r="AP181" s="168"/>
      <c r="AQ181" s="136"/>
    </row>
    <row r="182" spans="2:43" s="196" customFormat="1" ht="15.6" customHeight="1" outlineLevel="1" x14ac:dyDescent="0.3">
      <c r="B182" s="340" t="s">
        <v>92</v>
      </c>
      <c r="C182" s="341"/>
      <c r="D182" s="342">
        <f>ROUND((D13-(D54+D57+D58+D145+D162+D171+D174)),0)</f>
        <v>0</v>
      </c>
      <c r="E182" s="342">
        <f>ROUND((E13-(E54+E57+E58+E145+E162+E171+E174)),0)</f>
        <v>0</v>
      </c>
      <c r="F182" s="342">
        <f>ROUND((F13-(F54+F57+F58+F145+F162+F171+F174)),0)</f>
        <v>0</v>
      </c>
      <c r="G182" s="342">
        <f>ROUND((G13-(G54+G57+G58+G145+G162+G171+G174)),0)</f>
        <v>0</v>
      </c>
      <c r="H182" s="136"/>
      <c r="I182" s="342">
        <f>ROUND((I13-(I54+I57+I58+I145+I162+I171+I174)),0)</f>
        <v>0</v>
      </c>
      <c r="J182" s="342">
        <f>ROUND((J13-(J54+J57+J58+J145+J162+J171+J174)),0)</f>
        <v>0</v>
      </c>
      <c r="K182" s="342">
        <f>ROUND((K13-(K54+K57+K58+K145+K162+K171+K174)),0)</f>
        <v>0</v>
      </c>
      <c r="L182" s="342">
        <f>ROUND((L13-(L54+L57+L58+L145+L162+L171+L174)),0)</f>
        <v>0</v>
      </c>
      <c r="M182" s="343"/>
      <c r="N182" s="342">
        <f>ROUND((N13-(N54+N57+N58+N145+N162+N171+N174)),0)</f>
        <v>0</v>
      </c>
      <c r="O182" s="342">
        <f>ROUND((O13-(O54+O57+O58+O145+O162+O171+O174)),0)</f>
        <v>0</v>
      </c>
      <c r="P182" s="342">
        <f>ROUND((P13-(P54+P57+P58+P145+P162+P171+P174)),0)</f>
        <v>0</v>
      </c>
      <c r="Q182" s="342">
        <f>ROUND((Q13-(Q54+Q57+Q58+Q145+Q162+Q171+Q174)),0)</f>
        <v>0</v>
      </c>
      <c r="R182" s="343"/>
      <c r="S182" s="342">
        <f>ROUND((S13-(S54+S57+S58+S145+S162+S171+S174)),0)</f>
        <v>0</v>
      </c>
      <c r="T182" s="342">
        <f>ROUND((T13-(T54+T57+T58+T145+T162+T171+T174)),0)</f>
        <v>0</v>
      </c>
      <c r="U182" s="342">
        <f>ROUND((U13-(U54+U57+U58+U145+U162+U171+U174)),0)</f>
        <v>0</v>
      </c>
      <c r="V182" s="342">
        <f>ROUND((V13-(V54+V57+V58+V145+V162+V171+V174)),0)</f>
        <v>0</v>
      </c>
      <c r="W182" s="343"/>
      <c r="X182" s="342">
        <f>ROUND((X13-(X54+X57+X58+X145+X162+X171+X174)),0)</f>
        <v>0</v>
      </c>
      <c r="Y182" s="342">
        <f>ROUND((Y13-(Y54+Y57+Y58+Y145+Y162+Y171+Y174)),0)</f>
        <v>0</v>
      </c>
      <c r="Z182" s="342">
        <f>ROUND((Z13-(Z54+Z57+Z58+Z145+Z162+Z171+Z174)),0)</f>
        <v>0</v>
      </c>
      <c r="AA182" s="342">
        <f>ROUND((AA13-(AA54+AA57+AA58+AA145+AA162+AA171+AA174)),0)</f>
        <v>0</v>
      </c>
      <c r="AB182" s="343"/>
      <c r="AC182" s="342">
        <f>ROUND((AC13-(AC54+AC57+AC58+AC145+AC162+AC171+AC174)),0)</f>
        <v>0</v>
      </c>
      <c r="AD182" s="342">
        <f>ROUND((AD13-(AD54+AD57+AD58+AD145+AD162+AD171+AD174)),0)</f>
        <v>0</v>
      </c>
      <c r="AE182" s="342">
        <f>ROUND((AE13-(AE54+AE57+AE58+AE145+AE162+AE171+AE174)),0)</f>
        <v>0</v>
      </c>
      <c r="AF182" s="342">
        <f>ROUND((AF13-(AF54+AF57+AF58+AF145+AF162+AF171+AF174)),0)</f>
        <v>0</v>
      </c>
      <c r="AG182" s="343"/>
      <c r="AH182" s="342">
        <f>ROUND((AH13-(AH54+AH57+AH58+AH145+AH162+AH171+AH174)),0)</f>
        <v>0</v>
      </c>
      <c r="AI182" s="342">
        <f>ROUND((AI13-(AI54+AI57+AI58+AI145+AI162+AI171+AI174)),0)</f>
        <v>0</v>
      </c>
      <c r="AJ182" s="342">
        <f>ROUND((AJ13-(AJ54+AJ57+AJ58+AJ145+AJ162+AJ171+AJ174)),0)</f>
        <v>0</v>
      </c>
      <c r="AK182" s="342">
        <f>ROUND((AK13-(AK54+AK57+AK58+AK145+AK162+AK171+AK174)),0)</f>
        <v>0</v>
      </c>
      <c r="AL182" s="343"/>
      <c r="AM182" s="342">
        <f>ROUND((AM13-(AM54+AM57+AM58+AM145+AM162+AM171+AM174)),0)</f>
        <v>0</v>
      </c>
      <c r="AN182" s="342">
        <f>ROUND((AN13-(AN54+AN57+AN58+AN145+AN162+AN171+AN174)),0)</f>
        <v>0</v>
      </c>
      <c r="AO182" s="342">
        <f>ROUND((AO13-(AO54+AO57+AO58+AO145+AO162+AO171+AO174)),0)</f>
        <v>0</v>
      </c>
      <c r="AP182" s="342">
        <f>ROUND((AP13-(AP54+AP57+AP58+AP145+AP162+AP171+AP174)),0)</f>
        <v>0</v>
      </c>
      <c r="AQ182" s="343"/>
    </row>
    <row r="183" spans="2:43" s="196" customFormat="1" ht="15.6" customHeight="1" outlineLevel="1" x14ac:dyDescent="0.3">
      <c r="B183" s="340" t="s">
        <v>274</v>
      </c>
      <c r="C183" s="341"/>
      <c r="D183" s="342">
        <f>D18-(D69+D148+D165+D179)</f>
        <v>0</v>
      </c>
      <c r="E183" s="342">
        <f>E18-(E69+E148+E165+E179)</f>
        <v>0</v>
      </c>
      <c r="F183" s="342">
        <f>F18-(F69+F148+F165+F179)</f>
        <v>0</v>
      </c>
      <c r="G183" s="342">
        <f>G18-(G69+G148+G165+G179)</f>
        <v>0</v>
      </c>
      <c r="H183" s="136"/>
      <c r="I183" s="342">
        <f>I18-(I69+I148+I165+I179)</f>
        <v>0</v>
      </c>
      <c r="J183" s="342">
        <f>J18-(J69+J148+J165+J179)</f>
        <v>0</v>
      </c>
      <c r="K183" s="342">
        <f>K18-(K69+K148+K165+K179)</f>
        <v>0</v>
      </c>
      <c r="L183" s="342">
        <f>L18-(L69+L148+L165+L179)</f>
        <v>0</v>
      </c>
      <c r="M183" s="343"/>
      <c r="N183" s="342">
        <f>N18-(N69+N148+N165+N179)</f>
        <v>0</v>
      </c>
      <c r="O183" s="342">
        <f>O18-(O69+O148+O165+O179)</f>
        <v>0</v>
      </c>
      <c r="P183" s="342">
        <f>P18-(P69+P148+P165+P179)</f>
        <v>0</v>
      </c>
      <c r="Q183" s="342">
        <f>Q18-(Q69+Q148+Q165+Q179)</f>
        <v>0</v>
      </c>
      <c r="R183" s="343"/>
      <c r="S183" s="342">
        <f>S18-(S69+S148+S165+S179)</f>
        <v>0</v>
      </c>
      <c r="T183" s="342">
        <f>T18-(T69+T148+T165+T179)</f>
        <v>0</v>
      </c>
      <c r="U183" s="342">
        <f>U18-(U69+U148+U165+U179)</f>
        <v>0</v>
      </c>
      <c r="V183" s="342">
        <f>V18-(V69+V148+V165+V179)</f>
        <v>0</v>
      </c>
      <c r="W183" s="343"/>
      <c r="X183" s="342">
        <f>X18-(X69+X148+X165+X179)</f>
        <v>0</v>
      </c>
      <c r="Y183" s="342">
        <f>Y18-(Y69+Y148+Y165+Y179)</f>
        <v>0</v>
      </c>
      <c r="Z183" s="342">
        <f>Z18-(Z69+Z148+Z165+Z179)</f>
        <v>0</v>
      </c>
      <c r="AA183" s="342">
        <f>AA18-(AA69+AA148+AA165+AA179)</f>
        <v>0</v>
      </c>
      <c r="AB183" s="343"/>
      <c r="AC183" s="342">
        <f>AC18-(AC69+AC148+AC165+AC179)</f>
        <v>0</v>
      </c>
      <c r="AD183" s="342">
        <f>AD18-(AD69+AD148+AD165+AD179)</f>
        <v>0</v>
      </c>
      <c r="AE183" s="342">
        <f>AE18-(AE69+AE148+AE165+AE179)</f>
        <v>0</v>
      </c>
      <c r="AF183" s="342">
        <f>AF18-(AF69+AF148+AF165+AF179)</f>
        <v>0</v>
      </c>
      <c r="AG183" s="343"/>
      <c r="AH183" s="342">
        <f>AH18-(AH69+AH148+AH165+AH179)</f>
        <v>0</v>
      </c>
      <c r="AI183" s="342">
        <f>AI18-(AI69+AI148+AI165+AI179)</f>
        <v>0</v>
      </c>
      <c r="AJ183" s="342">
        <f>AJ18-(AJ69+AJ148+AJ165+AJ179)</f>
        <v>0</v>
      </c>
      <c r="AK183" s="342">
        <f>AK18-(AK69+AK148+AK165+AK179)</f>
        <v>0</v>
      </c>
      <c r="AL183" s="343"/>
      <c r="AM183" s="342">
        <f>AM18-(AM69+AM148+AM165+AM179)</f>
        <v>0</v>
      </c>
      <c r="AN183" s="342">
        <f>AN18-(AN69+AN148+AN165+AN179)</f>
        <v>0</v>
      </c>
      <c r="AO183" s="342">
        <f>AO18-(AO69+AO148+AO165+AO179)</f>
        <v>0</v>
      </c>
      <c r="AP183" s="342">
        <f>AP18-(AP69+AP148+AP165+AP179)</f>
        <v>0</v>
      </c>
      <c r="AQ183" s="343"/>
    </row>
    <row r="184" spans="2:43" s="196" customFormat="1" ht="15.6" customHeight="1" outlineLevel="1" x14ac:dyDescent="0.3">
      <c r="B184" s="340" t="s">
        <v>275</v>
      </c>
      <c r="C184" s="341"/>
      <c r="D184" s="342">
        <f>D19-(D68+D147+D164+D178)</f>
        <v>0</v>
      </c>
      <c r="E184" s="342">
        <f>E19-(E68+E147+E164+E178)</f>
        <v>0</v>
      </c>
      <c r="F184" s="342">
        <f>F19-(F68+F147+F164+F178)</f>
        <v>0</v>
      </c>
      <c r="G184" s="342">
        <f>G19-(G68+G147+G164+G178)</f>
        <v>0</v>
      </c>
      <c r="H184" s="136"/>
      <c r="I184" s="342">
        <f>I19-(I68+I147+I164+I178)</f>
        <v>0</v>
      </c>
      <c r="J184" s="342">
        <f>J19-(J68+J147+J164+J178)</f>
        <v>0</v>
      </c>
      <c r="K184" s="342">
        <f>K19-(K68+K147+K164+K178)</f>
        <v>0</v>
      </c>
      <c r="L184" s="342">
        <f>L19-(L68+L147+L164+L178)</f>
        <v>0</v>
      </c>
      <c r="M184" s="343"/>
      <c r="N184" s="342">
        <f>N19-(N68+N147+N164+N178)</f>
        <v>0</v>
      </c>
      <c r="O184" s="342">
        <f>O19-(O68+O147+O164+O178)</f>
        <v>0</v>
      </c>
      <c r="P184" s="342">
        <f>P19-(P68+P147+P164+P178)</f>
        <v>0</v>
      </c>
      <c r="Q184" s="342">
        <f>Q19-(Q68+Q147+Q164+Q178)</f>
        <v>0</v>
      </c>
      <c r="R184" s="343"/>
      <c r="S184" s="342">
        <f>S19-(S68+S147+S164+S178)</f>
        <v>0</v>
      </c>
      <c r="T184" s="342">
        <f>T19-(T68+T147+T164+T178)</f>
        <v>0</v>
      </c>
      <c r="U184" s="342">
        <f>U19-(U68+U147+U164+U178)</f>
        <v>0</v>
      </c>
      <c r="V184" s="342">
        <f>V19-(V68+V147+V164+V178)</f>
        <v>0</v>
      </c>
      <c r="W184" s="343"/>
      <c r="X184" s="342">
        <f>X19-(X68+X147+X164+X178)</f>
        <v>0</v>
      </c>
      <c r="Y184" s="342">
        <f>Y19-(Y68+Y147+Y164+Y178)</f>
        <v>0</v>
      </c>
      <c r="Z184" s="342">
        <f>Z19-(Z68+Z147+Z164+Z178)</f>
        <v>0</v>
      </c>
      <c r="AA184" s="342">
        <f>AA19-(AA68+AA147+AA164+AA178)</f>
        <v>0</v>
      </c>
      <c r="AB184" s="343"/>
      <c r="AC184" s="342">
        <f>AC19-(AC68+AC147+AC164+AC178)</f>
        <v>0</v>
      </c>
      <c r="AD184" s="342">
        <f>AD19-(AD68+AD147+AD164+AD178)</f>
        <v>0</v>
      </c>
      <c r="AE184" s="342">
        <f>AE19-(AE68+AE147+AE164+AE178)</f>
        <v>0</v>
      </c>
      <c r="AF184" s="342">
        <f>AF19-(AF68+AF147+AF164+AF178)</f>
        <v>0</v>
      </c>
      <c r="AG184" s="343"/>
      <c r="AH184" s="342">
        <f>AH19-(AH68+AH147+AH164+AH178)</f>
        <v>0</v>
      </c>
      <c r="AI184" s="342">
        <f>AI19-(AI68+AI147+AI164+AI178)</f>
        <v>0</v>
      </c>
      <c r="AJ184" s="342">
        <f>AJ19-(AJ68+AJ147+AJ164+AJ178)</f>
        <v>0</v>
      </c>
      <c r="AK184" s="342">
        <f>AK19-(AK68+AK147+AK164+AK178)</f>
        <v>0</v>
      </c>
      <c r="AL184" s="343"/>
      <c r="AM184" s="342">
        <f>AM19-(AM68+AM147+AM164+AM178)</f>
        <v>0</v>
      </c>
      <c r="AN184" s="342">
        <f>AN19-(AN68+AN147+AN164+AN178)</f>
        <v>0</v>
      </c>
      <c r="AO184" s="342">
        <f>AO19-(AO68+AO147+AO164+AO178)</f>
        <v>0</v>
      </c>
      <c r="AP184" s="342">
        <f>AP19-(AP68+AP147+AP164+AP178)</f>
        <v>0</v>
      </c>
      <c r="AQ184" s="343"/>
    </row>
    <row r="185" spans="2:43" s="196" customFormat="1" ht="15.6" customHeight="1" outlineLevel="1" x14ac:dyDescent="0.3">
      <c r="B185" s="340" t="s">
        <v>299</v>
      </c>
      <c r="C185" s="341"/>
      <c r="D185" s="342">
        <f>(D15+D16+D17+D20+D21+D23)-(D70+D149+D166)-(D176+D180)+D208</f>
        <v>0</v>
      </c>
      <c r="E185" s="342">
        <f>(E15+E16+E17+E20+E21+E23)-(E70+E149+E166)-(E176+E180)+E208</f>
        <v>0</v>
      </c>
      <c r="F185" s="342">
        <f>(F15+F16+F17+F20+F21+F23)-(F70+F149+F166)-(F176+F180)+F208</f>
        <v>0</v>
      </c>
      <c r="G185" s="342">
        <f>(G15+G16+G17+G20+G21+G23)-(G70+G149+G166)-(G176+G180)+G208</f>
        <v>0</v>
      </c>
      <c r="H185" s="136"/>
      <c r="I185" s="342">
        <f>(I15+I16+I17+I20+I21+I23)-(I70+I149+I166)-(I176+I180)+I208</f>
        <v>0</v>
      </c>
      <c r="J185" s="342">
        <f>(J15+J16+J17+J20+J21+J23)-(J70+J149+J166)-(J176+J180)+J208</f>
        <v>0</v>
      </c>
      <c r="K185" s="342">
        <f>(K15+K16+K17+K20+K21+K23)-(K70+K149+K166)-(K176+K180)+K208</f>
        <v>0</v>
      </c>
      <c r="L185" s="342">
        <f>(L15+L16+L17+L20+L21+L23)-(L70+L149+L166)-(L176+L180)+L208</f>
        <v>0</v>
      </c>
      <c r="M185" s="343"/>
      <c r="N185" s="342">
        <f>(N15+N16+N17+N20+N21+N23)-(N70+N149+N166)-(N176+N180)+N208</f>
        <v>0</v>
      </c>
      <c r="O185" s="342">
        <f>(O15+O16+O17+O20+O21+O23)-(O70+O149+O166)-(O176+O180)+O208</f>
        <v>0</v>
      </c>
      <c r="P185" s="342">
        <f>(P15+P16+P17+P20+P21+P23)-(P70+P149+P166)-(P176+P180)+P208</f>
        <v>0</v>
      </c>
      <c r="Q185" s="342">
        <f>(Q15+Q16+Q17+Q20+Q21+Q23)-(Q70+Q149+Q166)-(Q176+Q180)+Q208</f>
        <v>0</v>
      </c>
      <c r="R185" s="343"/>
      <c r="S185" s="342">
        <f>(S15+S16+S17+S20+S21+S23)-(S70+S149+S166)-(S176+S180)</f>
        <v>0</v>
      </c>
      <c r="T185" s="342">
        <f>(T15+T16+T17+T20+T21+T23)-(T70+T149+T166)-(T176+T180)</f>
        <v>-2.7284841053187847E-12</v>
      </c>
      <c r="U185" s="342">
        <f>(U15+U16+U17+U20+U21+U23)-(U70+U149+U166)-(U176+U180)</f>
        <v>0</v>
      </c>
      <c r="V185" s="342">
        <f>(V15+V16+V17+V20+V21+V23)-(V70+V149+V166)-(V176+V180)</f>
        <v>2.2737367544323206E-12</v>
      </c>
      <c r="W185" s="343"/>
      <c r="X185" s="342">
        <f>(X15+X16+X17+X20+X21+X23)-(X70+X149+X166)-(X176+X180)</f>
        <v>0</v>
      </c>
      <c r="Y185" s="342">
        <f>(Y15+Y16+Y17+Y20+Y21+Y23)-(Y70+Y149+Y166)-(Y176+Y180)</f>
        <v>1.8189894035458565E-12</v>
      </c>
      <c r="Z185" s="342">
        <f>(Z15+Z16+Z17+Z20+Z21+Z23)-(Z70+Z149+Z166)-(Z176+Z180)</f>
        <v>0</v>
      </c>
      <c r="AA185" s="342">
        <f>(AA15+AA16+AA17+AA20+AA21+AA23)-(AA70+AA149+AA166)-(AA176+AA180)</f>
        <v>0</v>
      </c>
      <c r="AB185" s="343"/>
      <c r="AC185" s="342">
        <f>(AC15+AC16+AC17+AC20+AC21+AC23)-(AC70+AC149+AC166)-(AC176+AC180)</f>
        <v>3.865352482534945E-12</v>
      </c>
      <c r="AD185" s="342">
        <f>(AD15+AD16+AD17+AD20+AD21+AD23)-(AD70+AD149+AD166)-(AD176+AD180)</f>
        <v>0</v>
      </c>
      <c r="AE185" s="342">
        <f>(AE15+AE16+AE17+AE20+AE21+AE23)-(AE70+AE149+AE166)-(AE176+AE180)</f>
        <v>2.7284841053187847E-12</v>
      </c>
      <c r="AF185" s="342">
        <f>(AF15+AF16+AF17+AF20+AF21+AF23)-(AF70+AF149+AF166)-(AF176+AF180)</f>
        <v>0</v>
      </c>
      <c r="AG185" s="343"/>
      <c r="AH185" s="342">
        <f>(AH15+AH16+AH17+AH20+AH21+AH23)-(AH70+AH149+AH166)-(AH176+AH180)</f>
        <v>0</v>
      </c>
      <c r="AI185" s="342">
        <f>(AI15+AI16+AI17+AI20+AI21+AI23)-(AI70+AI149+AI166)-(AI176+AI180)</f>
        <v>0</v>
      </c>
      <c r="AJ185" s="342">
        <f>(AJ15+AJ16+AJ17+AJ20+AJ21+AJ23)-(AJ70+AJ149+AJ166)-(AJ176+AJ180)</f>
        <v>0</v>
      </c>
      <c r="AK185" s="342">
        <f>(AK15+AK16+AK17+AK20+AK21+AK23)-(AK70+AK149+AK166)-(AK176+AK180)</f>
        <v>0</v>
      </c>
      <c r="AL185" s="343"/>
      <c r="AM185" s="342">
        <f>(AM15+AM16+AM17+AM20+AM21+AM23)-(AM70+AM149+AM166)-(AM176+AM180)</f>
        <v>0</v>
      </c>
      <c r="AN185" s="342">
        <f>(AN15+AN16+AN17+AN20+AN21+AN23)-(AN70+AN149+AN166)-(AN176+AN180)</f>
        <v>0</v>
      </c>
      <c r="AO185" s="342">
        <f>(AO15+AO16+AO17+AO20+AO21+AO23)-(AO70+AO149+AO166)-(AO176+AO180)</f>
        <v>0</v>
      </c>
      <c r="AP185" s="342">
        <f>(AP15+AP16+AP17+AP20+AP21+AP23)-(AP70+AP149+AP166)-(AP176+AP180)</f>
        <v>0</v>
      </c>
      <c r="AQ185" s="343"/>
    </row>
    <row r="186" spans="2:43" s="196" customFormat="1" ht="15.6" customHeight="1" outlineLevel="1" x14ac:dyDescent="0.25">
      <c r="B186" s="340" t="s">
        <v>268</v>
      </c>
      <c r="C186" s="341"/>
      <c r="D186" s="342">
        <f>D25-D72-D151-D168-D175</f>
        <v>-0.1345584499989414</v>
      </c>
      <c r="E186" s="342">
        <f>E25-E72-E151-E168-E175</f>
        <v>-0.18854740000051606</v>
      </c>
      <c r="F186" s="342">
        <f>F25-F72-F151-F168-F175</f>
        <v>0.23544271999935518</v>
      </c>
      <c r="G186" s="342">
        <f>G25-G72-G151-G168-G175</f>
        <v>0.43531089730709027</v>
      </c>
      <c r="H186" s="343"/>
      <c r="I186" s="342">
        <f>I25-I72-I151-I168-I175</f>
        <v>3.059883599917157E-2</v>
      </c>
      <c r="J186" s="342">
        <f>J25-J72-J151-J168-J175</f>
        <v>0.44908465079379312</v>
      </c>
      <c r="K186" s="342">
        <f>K25-K72-K151-K168-K175</f>
        <v>1.0799079999969763E-2</v>
      </c>
      <c r="L186" s="342">
        <f>L25-L72-L151-L168-L175</f>
        <v>0.36157627262582537</v>
      </c>
      <c r="M186" s="343"/>
      <c r="N186" s="342">
        <f>N25-N72-N151-N168-N175</f>
        <v>0.17811454997445253</v>
      </c>
      <c r="O186" s="342">
        <f>O25-O72-O151-O168-O175</f>
        <v>0.11987689403008517</v>
      </c>
      <c r="P186" s="342">
        <f>P25-P72-P151-P168-P175</f>
        <v>-0.32737784092023503</v>
      </c>
      <c r="Q186" s="342">
        <f>Q25-Q72-Q151-Q168-Q175</f>
        <v>0.99999999999818101</v>
      </c>
      <c r="R186" s="343"/>
      <c r="S186" s="342">
        <f>S25-S72-S151-S168-S175</f>
        <v>0.26731275000042842</v>
      </c>
      <c r="T186" s="342">
        <f>T25-T72-T151-T168-T175</f>
        <v>-9.9324022543555657E-2</v>
      </c>
      <c r="U186" s="342">
        <f>U25-U72-U151-U168-U175</f>
        <v>-0.27932019587456125</v>
      </c>
      <c r="V186" s="342">
        <f>V25-V72-V151-V168-V175</f>
        <v>0.21274990098459057</v>
      </c>
      <c r="W186" s="343"/>
      <c r="X186" s="342">
        <f>X25-X72-X151-X168-X175</f>
        <v>0.12548627018060188</v>
      </c>
      <c r="Y186" s="342">
        <f>Y25-Y72-Y151-Y168-Y175</f>
        <v>0.16315555822257011</v>
      </c>
      <c r="Z186" s="342">
        <f>Z25-Z72-Z151-Z168-Z175</f>
        <v>0.16347489235198509</v>
      </c>
      <c r="AA186" s="342">
        <f>AA25-AA72-AA151-AA168-AA175</f>
        <v>-8.4510967802486903E-2</v>
      </c>
      <c r="AB186" s="343"/>
      <c r="AC186" s="342">
        <f>AC25-AC72-AC151-AC168-AC175</f>
        <v>-5.5659383019360575E-2</v>
      </c>
      <c r="AD186" s="342">
        <f>AD25-AD72-AD151-AD168-AD175</f>
        <v>-0.14032528965245206</v>
      </c>
      <c r="AE186" s="342">
        <f>AE25-AE72-AE151-AE168-AE175</f>
        <v>0.38465971606211724</v>
      </c>
      <c r="AF186" s="342">
        <f>AF25-AF72-AF151-AF168-AF175</f>
        <v>0.34901048312650573</v>
      </c>
      <c r="AG186" s="343"/>
      <c r="AH186" s="342">
        <f>AH25-AH72-AH151-AH168-AH175</f>
        <v>0.32039271857115637</v>
      </c>
      <c r="AI186" s="342">
        <f>AI25-AI72-AI151-AI168-AI175</f>
        <v>2.757845586535268E-2</v>
      </c>
      <c r="AJ186" s="342">
        <f>AJ25-AJ72-AJ151-AJ168-AJ175</f>
        <v>-0.34906807056970024</v>
      </c>
      <c r="AK186" s="342">
        <f>AK25-AK72-AK151-AK168-AK175</f>
        <v>0.22695927150806483</v>
      </c>
      <c r="AL186" s="343"/>
      <c r="AM186" s="342">
        <f>AM25-AM72-AM151-AM168-AM175</f>
        <v>-0.22548459350400663</v>
      </c>
      <c r="AN186" s="342">
        <f>AN25-AN72-AN151-AN168-AN175</f>
        <v>0.13404758386215576</v>
      </c>
      <c r="AO186" s="342">
        <f>AO25-AO72-AO151-AO168-AO175</f>
        <v>-0.20836366622879154</v>
      </c>
      <c r="AP186" s="342">
        <f>AP25-AP72-AP151-AP168-AP175</f>
        <v>-0.20804701272487591</v>
      </c>
      <c r="AQ186" s="343"/>
    </row>
    <row r="187" spans="2:43" s="53" customFormat="1" ht="15.6" customHeight="1" x14ac:dyDescent="0.3">
      <c r="B187" s="705" t="s">
        <v>276</v>
      </c>
      <c r="C187" s="713"/>
      <c r="D187" s="90" t="s">
        <v>71</v>
      </c>
      <c r="E187" s="90" t="s">
        <v>74</v>
      </c>
      <c r="F187" s="90" t="s">
        <v>75</v>
      </c>
      <c r="G187" s="90" t="s">
        <v>78</v>
      </c>
      <c r="H187" s="403" t="s">
        <v>79</v>
      </c>
      <c r="I187" s="90" t="s">
        <v>80</v>
      </c>
      <c r="J187" s="90" t="s">
        <v>91</v>
      </c>
      <c r="K187" s="90" t="s">
        <v>109</v>
      </c>
      <c r="L187" s="90" t="s">
        <v>113</v>
      </c>
      <c r="M187" s="403" t="s">
        <v>114</v>
      </c>
      <c r="N187" s="90" t="s">
        <v>115</v>
      </c>
      <c r="O187" s="90" t="s">
        <v>116</v>
      </c>
      <c r="P187" s="90" t="s">
        <v>117</v>
      </c>
      <c r="Q187" s="90" t="s">
        <v>118</v>
      </c>
      <c r="R187" s="403" t="s">
        <v>119</v>
      </c>
      <c r="S187" s="90" t="s">
        <v>511</v>
      </c>
      <c r="T187" s="92" t="s">
        <v>377</v>
      </c>
      <c r="U187" s="92" t="s">
        <v>378</v>
      </c>
      <c r="V187" s="92" t="s">
        <v>379</v>
      </c>
      <c r="W187" s="407" t="s">
        <v>380</v>
      </c>
      <c r="X187" s="92" t="s">
        <v>381</v>
      </c>
      <c r="Y187" s="92" t="s">
        <v>382</v>
      </c>
      <c r="Z187" s="92" t="s">
        <v>383</v>
      </c>
      <c r="AA187" s="92" t="s">
        <v>384</v>
      </c>
      <c r="AB187" s="407" t="s">
        <v>385</v>
      </c>
      <c r="AC187" s="92" t="s">
        <v>386</v>
      </c>
      <c r="AD187" s="92" t="s">
        <v>387</v>
      </c>
      <c r="AE187" s="92" t="s">
        <v>388</v>
      </c>
      <c r="AF187" s="92" t="s">
        <v>389</v>
      </c>
      <c r="AG187" s="407" t="s">
        <v>390</v>
      </c>
      <c r="AH187" s="92" t="s">
        <v>391</v>
      </c>
      <c r="AI187" s="92" t="s">
        <v>392</v>
      </c>
      <c r="AJ187" s="92" t="s">
        <v>393</v>
      </c>
      <c r="AK187" s="92" t="s">
        <v>394</v>
      </c>
      <c r="AL187" s="407" t="s">
        <v>395</v>
      </c>
      <c r="AM187" s="92" t="s">
        <v>396</v>
      </c>
      <c r="AN187" s="92" t="s">
        <v>397</v>
      </c>
      <c r="AO187" s="92" t="s">
        <v>398</v>
      </c>
      <c r="AP187" s="92" t="s">
        <v>399</v>
      </c>
      <c r="AQ187" s="407" t="s">
        <v>400</v>
      </c>
    </row>
    <row r="188" spans="2:43" s="53" customFormat="1" ht="15.6" customHeight="1" outlineLevel="1" x14ac:dyDescent="0.3">
      <c r="B188" s="201" t="s">
        <v>285</v>
      </c>
      <c r="C188" s="288"/>
      <c r="D188" s="139"/>
      <c r="E188" s="139"/>
      <c r="F188" s="139"/>
      <c r="G188" s="139"/>
      <c r="H188" s="231"/>
      <c r="I188" s="139"/>
      <c r="J188" s="139"/>
      <c r="K188" s="139"/>
      <c r="L188" s="139"/>
      <c r="M188" s="211"/>
      <c r="N188" s="139"/>
      <c r="O188" s="139"/>
      <c r="P188" s="139"/>
      <c r="Q188" s="139"/>
      <c r="R188" s="54"/>
      <c r="S188" s="139"/>
      <c r="T188" s="139"/>
      <c r="U188" s="139"/>
      <c r="V188" s="139"/>
      <c r="W188" s="54"/>
      <c r="X188" s="139"/>
      <c r="Y188" s="139"/>
      <c r="Z188" s="139"/>
      <c r="AA188" s="139"/>
      <c r="AB188" s="54"/>
      <c r="AC188" s="139"/>
      <c r="AD188" s="139"/>
      <c r="AE188" s="139"/>
      <c r="AF188" s="139"/>
      <c r="AG188" s="54"/>
      <c r="AH188" s="139"/>
      <c r="AI188" s="139"/>
      <c r="AJ188" s="139"/>
      <c r="AK188" s="139"/>
      <c r="AL188" s="54"/>
      <c r="AM188" s="139"/>
      <c r="AN188" s="139"/>
      <c r="AO188" s="139"/>
      <c r="AP188" s="139"/>
      <c r="AQ188" s="54"/>
    </row>
    <row r="189" spans="2:43" s="53" customFormat="1" ht="15.6" customHeight="1" outlineLevel="1" x14ac:dyDescent="0.3">
      <c r="B189" s="286" t="s">
        <v>286</v>
      </c>
      <c r="C189" s="288"/>
      <c r="D189" s="139"/>
      <c r="E189" s="139"/>
      <c r="F189" s="139"/>
      <c r="G189" s="139"/>
      <c r="H189" s="170">
        <v>29602</v>
      </c>
      <c r="I189" s="139"/>
      <c r="J189" s="139"/>
      <c r="K189" s="139"/>
      <c r="L189" s="139"/>
      <c r="M189" s="170">
        <v>29913</v>
      </c>
      <c r="N189" s="139"/>
      <c r="O189" s="139"/>
      <c r="P189" s="139"/>
      <c r="Q189" s="139"/>
      <c r="R189" s="170">
        <v>24820</v>
      </c>
      <c r="S189" s="139"/>
      <c r="T189" s="139"/>
      <c r="U189" s="139"/>
      <c r="V189" s="139"/>
      <c r="W189" s="170">
        <f>+R189+W202-W201</f>
        <v>26186</v>
      </c>
      <c r="X189" s="139"/>
      <c r="Y189" s="139"/>
      <c r="Z189" s="139"/>
      <c r="AA189" s="139"/>
      <c r="AB189" s="170">
        <f>+W189+AB202-AB201</f>
        <v>27486</v>
      </c>
      <c r="AC189" s="139"/>
      <c r="AD189" s="139"/>
      <c r="AE189" s="139"/>
      <c r="AF189" s="139"/>
      <c r="AG189" s="170">
        <f>+AB189+AG202-AG201</f>
        <v>28786</v>
      </c>
      <c r="AH189" s="139"/>
      <c r="AI189" s="139"/>
      <c r="AJ189" s="139"/>
      <c r="AK189" s="139"/>
      <c r="AL189" s="170">
        <f>+AG189+AL202-AL201</f>
        <v>30186</v>
      </c>
      <c r="AM189" s="139"/>
      <c r="AN189" s="139"/>
      <c r="AO189" s="139"/>
      <c r="AP189" s="139"/>
      <c r="AQ189" s="170">
        <f>+AL189+AQ202-AQ201</f>
        <v>31686</v>
      </c>
    </row>
    <row r="190" spans="2:43" s="53" customFormat="1" ht="15.6" customHeight="1" outlineLevel="1" x14ac:dyDescent="0.45">
      <c r="B190" s="286" t="s">
        <v>287</v>
      </c>
      <c r="C190" s="288"/>
      <c r="D190" s="139"/>
      <c r="E190" s="139"/>
      <c r="F190" s="139"/>
      <c r="G190" s="139"/>
      <c r="H190" s="200">
        <v>24271</v>
      </c>
      <c r="I190" s="139"/>
      <c r="J190" s="139"/>
      <c r="K190" s="139"/>
      <c r="L190" s="139"/>
      <c r="M190" s="200">
        <v>26312</v>
      </c>
      <c r="N190" s="139"/>
      <c r="O190" s="139"/>
      <c r="P190" s="139"/>
      <c r="Q190" s="139"/>
      <c r="R190" s="200">
        <v>23566</v>
      </c>
      <c r="S190" s="139"/>
      <c r="T190" s="139"/>
      <c r="U190" s="139"/>
      <c r="V190" s="139"/>
      <c r="W190" s="200">
        <f>R190*(1+W212)+W199-W201</f>
        <v>25315.620000000003</v>
      </c>
      <c r="X190" s="139"/>
      <c r="Y190" s="139"/>
      <c r="Z190" s="139"/>
      <c r="AA190" s="139"/>
      <c r="AB190" s="200">
        <f>W190*(1+AB212)+AB199-AB201</f>
        <v>26461.135300000002</v>
      </c>
      <c r="AC190" s="139"/>
      <c r="AD190" s="139"/>
      <c r="AE190" s="139"/>
      <c r="AF190" s="139"/>
      <c r="AG190" s="200">
        <f>AB190*(1+AG212)+AG199-AG201</f>
        <v>27813.414771000003</v>
      </c>
      <c r="AH190" s="139"/>
      <c r="AI190" s="139"/>
      <c r="AJ190" s="139"/>
      <c r="AK190" s="139"/>
      <c r="AL190" s="200">
        <f>AG190*(1+AL212)+AL199-AL201</f>
        <v>29260.353804970004</v>
      </c>
      <c r="AM190" s="139"/>
      <c r="AN190" s="139"/>
      <c r="AO190" s="139"/>
      <c r="AP190" s="139"/>
      <c r="AQ190" s="200">
        <f>AL190*(1+AQ212)+AQ199-AQ201</f>
        <v>30808.578571317907</v>
      </c>
    </row>
    <row r="191" spans="2:43" s="197" customFormat="1" ht="15.6" customHeight="1" outlineLevel="1" x14ac:dyDescent="0.3">
      <c r="B191" s="289" t="s">
        <v>288</v>
      </c>
      <c r="C191" s="288"/>
      <c r="D191" s="190"/>
      <c r="E191" s="190"/>
      <c r="F191" s="190"/>
      <c r="G191" s="190"/>
      <c r="H191" s="198">
        <f>+H190-H189</f>
        <v>-5331</v>
      </c>
      <c r="I191" s="190"/>
      <c r="J191" s="190"/>
      <c r="K191" s="190"/>
      <c r="L191" s="190"/>
      <c r="M191" s="198">
        <f>+M190-M189</f>
        <v>-3601</v>
      </c>
      <c r="N191" s="190"/>
      <c r="O191" s="190"/>
      <c r="P191" s="190"/>
      <c r="Q191" s="190"/>
      <c r="R191" s="198">
        <f>+R190-R189</f>
        <v>-1254</v>
      </c>
      <c r="S191" s="190"/>
      <c r="T191" s="190"/>
      <c r="U191" s="190"/>
      <c r="V191" s="190"/>
      <c r="W191" s="198">
        <f>+W190-W189</f>
        <v>-870.37999999999738</v>
      </c>
      <c r="X191" s="190"/>
      <c r="Y191" s="190"/>
      <c r="Z191" s="190"/>
      <c r="AA191" s="190"/>
      <c r="AB191" s="198">
        <f>+AB190-AB189</f>
        <v>-1024.8646999999983</v>
      </c>
      <c r="AC191" s="190"/>
      <c r="AD191" s="190"/>
      <c r="AE191" s="190"/>
      <c r="AF191" s="190"/>
      <c r="AG191" s="198">
        <f>+AG190-AG189</f>
        <v>-972.58522899999662</v>
      </c>
      <c r="AH191" s="190"/>
      <c r="AI191" s="190"/>
      <c r="AJ191" s="190"/>
      <c r="AK191" s="190"/>
      <c r="AL191" s="198">
        <f>+AL190-AL189</f>
        <v>-925.64619502999631</v>
      </c>
      <c r="AM191" s="190"/>
      <c r="AN191" s="190"/>
      <c r="AO191" s="190"/>
      <c r="AP191" s="190"/>
      <c r="AQ191" s="198">
        <f>+AQ190-AQ189</f>
        <v>-877.42142868209339</v>
      </c>
    </row>
    <row r="192" spans="2:43" s="197" customFormat="1" ht="15.6" customHeight="1" outlineLevel="1" x14ac:dyDescent="0.3">
      <c r="B192" s="781" t="s">
        <v>291</v>
      </c>
      <c r="C192" s="782"/>
      <c r="D192" s="190"/>
      <c r="E192" s="190"/>
      <c r="F192" s="190"/>
      <c r="G192" s="190"/>
      <c r="H192" s="205">
        <f>+H190/H189</f>
        <v>0.8199108168367002</v>
      </c>
      <c r="I192" s="139"/>
      <c r="J192" s="139"/>
      <c r="K192" s="139"/>
      <c r="L192" s="139"/>
      <c r="M192" s="205">
        <f>+M190/M189</f>
        <v>0.87961755758365923</v>
      </c>
      <c r="N192" s="190"/>
      <c r="O192" s="190"/>
      <c r="P192" s="190"/>
      <c r="Q192" s="190"/>
      <c r="R192" s="205">
        <f>+R190/R189</f>
        <v>0.94947622884770344</v>
      </c>
      <c r="S192" s="190"/>
      <c r="T192" s="190"/>
      <c r="U192" s="190"/>
      <c r="V192" s="190"/>
      <c r="W192" s="205">
        <f>+W190/W189</f>
        <v>0.96676162835102741</v>
      </c>
      <c r="X192" s="190"/>
      <c r="Y192" s="190"/>
      <c r="Z192" s="190"/>
      <c r="AA192" s="190"/>
      <c r="AB192" s="205">
        <f>+AB190/AB189</f>
        <v>0.9627132103616387</v>
      </c>
      <c r="AC192" s="190"/>
      <c r="AD192" s="190"/>
      <c r="AE192" s="190"/>
      <c r="AF192" s="190"/>
      <c r="AG192" s="205">
        <f>+AG190/AG189</f>
        <v>0.96621325543667069</v>
      </c>
      <c r="AH192" s="190"/>
      <c r="AI192" s="190"/>
      <c r="AJ192" s="190"/>
      <c r="AK192" s="190"/>
      <c r="AL192" s="205">
        <f>+AL190/AL189</f>
        <v>0.9693352482929174</v>
      </c>
      <c r="AM192" s="190"/>
      <c r="AN192" s="190"/>
      <c r="AO192" s="190"/>
      <c r="AP192" s="190"/>
      <c r="AQ192" s="205">
        <f>+AQ190/AQ189</f>
        <v>0.97230886105276482</v>
      </c>
    </row>
    <row r="193" spans="1:43" s="197" customFormat="1" ht="15.6" customHeight="1" outlineLevel="1" x14ac:dyDescent="0.3">
      <c r="B193" s="349" t="s">
        <v>318</v>
      </c>
      <c r="C193" s="411"/>
      <c r="D193" s="350"/>
      <c r="E193" s="350"/>
      <c r="F193" s="350"/>
      <c r="G193" s="350"/>
      <c r="H193" s="351"/>
      <c r="I193" s="352"/>
      <c r="J193" s="352"/>
      <c r="K193" s="352"/>
      <c r="L193" s="352"/>
      <c r="M193" s="351"/>
      <c r="N193" s="350"/>
      <c r="O193" s="350"/>
      <c r="P193" s="350"/>
      <c r="Q193" s="350"/>
      <c r="R193" s="351"/>
      <c r="S193" s="350"/>
      <c r="T193" s="350"/>
      <c r="U193" s="350"/>
      <c r="V193" s="350"/>
      <c r="W193" s="351"/>
      <c r="X193" s="350"/>
      <c r="Y193" s="350"/>
      <c r="Z193" s="350"/>
      <c r="AA193" s="350"/>
      <c r="AB193" s="351"/>
      <c r="AC193" s="350"/>
      <c r="AD193" s="350"/>
      <c r="AE193" s="350"/>
      <c r="AF193" s="350"/>
      <c r="AG193" s="351"/>
      <c r="AH193" s="350"/>
      <c r="AI193" s="350"/>
      <c r="AJ193" s="350"/>
      <c r="AK193" s="350"/>
      <c r="AL193" s="351"/>
      <c r="AM193" s="350"/>
      <c r="AN193" s="350"/>
      <c r="AO193" s="350"/>
      <c r="AP193" s="350"/>
      <c r="AQ193" s="351"/>
    </row>
    <row r="194" spans="1:43" s="53" customFormat="1" ht="15.6" customHeight="1" outlineLevel="1" x14ac:dyDescent="0.45">
      <c r="B194" s="779" t="s">
        <v>323</v>
      </c>
      <c r="C194" s="780"/>
      <c r="D194" s="168"/>
      <c r="E194" s="168"/>
      <c r="F194" s="168"/>
      <c r="G194" s="168"/>
      <c r="H194" s="337">
        <f>-118-3</f>
        <v>-121</v>
      </c>
      <c r="I194" s="353"/>
      <c r="J194" s="353"/>
      <c r="K194" s="353"/>
      <c r="L194" s="353"/>
      <c r="M194" s="337">
        <f>-118-3+3</f>
        <v>-118</v>
      </c>
      <c r="N194" s="168"/>
      <c r="O194" s="168"/>
      <c r="P194" s="168"/>
      <c r="Q194" s="168"/>
      <c r="R194" s="354">
        <f>-118-2-6</f>
        <v>-126</v>
      </c>
      <c r="S194" s="168"/>
      <c r="T194" s="168"/>
      <c r="U194" s="168"/>
      <c r="V194" s="168"/>
      <c r="W194" s="252">
        <f>+R194</f>
        <v>-126</v>
      </c>
      <c r="X194" s="168"/>
      <c r="Y194" s="168"/>
      <c r="Z194" s="168"/>
      <c r="AA194" s="168"/>
      <c r="AB194" s="252">
        <f>+W194</f>
        <v>-126</v>
      </c>
      <c r="AC194" s="168"/>
      <c r="AD194" s="168"/>
      <c r="AE194" s="168"/>
      <c r="AF194" s="168"/>
      <c r="AG194" s="252">
        <f>+AB194</f>
        <v>-126</v>
      </c>
      <c r="AH194" s="168"/>
      <c r="AI194" s="168"/>
      <c r="AJ194" s="168"/>
      <c r="AK194" s="168"/>
      <c r="AL194" s="252">
        <f>+AG194</f>
        <v>-126</v>
      </c>
      <c r="AM194" s="168"/>
      <c r="AN194" s="168"/>
      <c r="AO194" s="168"/>
      <c r="AP194" s="168"/>
      <c r="AQ194" s="252">
        <f>+AL194</f>
        <v>-126</v>
      </c>
    </row>
    <row r="195" spans="1:43" s="197" customFormat="1" ht="15.6" customHeight="1" outlineLevel="1" x14ac:dyDescent="0.45">
      <c r="B195" s="159" t="s">
        <v>319</v>
      </c>
      <c r="C195" s="294"/>
      <c r="D195" s="169"/>
      <c r="E195" s="169"/>
      <c r="F195" s="169"/>
      <c r="G195" s="169"/>
      <c r="H195" s="355">
        <f>+(-74-2)-H194</f>
        <v>45</v>
      </c>
      <c r="I195" s="353"/>
      <c r="J195" s="353"/>
      <c r="K195" s="353"/>
      <c r="L195" s="169"/>
      <c r="M195" s="355">
        <f>+(-74-3+2)-M194</f>
        <v>43</v>
      </c>
      <c r="N195" s="356"/>
      <c r="O195" s="356"/>
      <c r="P195" s="356"/>
      <c r="Q195" s="169"/>
      <c r="R195" s="355">
        <f>+(-83-1-5)-R194</f>
        <v>37</v>
      </c>
      <c r="S195" s="169"/>
      <c r="T195" s="169"/>
      <c r="U195" s="169"/>
      <c r="V195" s="169"/>
      <c r="W195" s="252">
        <f>+R195</f>
        <v>37</v>
      </c>
      <c r="X195" s="169"/>
      <c r="Y195" s="169"/>
      <c r="Z195" s="169"/>
      <c r="AA195" s="169"/>
      <c r="AB195" s="252">
        <f>+W195</f>
        <v>37</v>
      </c>
      <c r="AC195" s="169"/>
      <c r="AD195" s="169"/>
      <c r="AE195" s="169"/>
      <c r="AF195" s="169"/>
      <c r="AG195" s="252">
        <f>+AB195</f>
        <v>37</v>
      </c>
      <c r="AH195" s="169"/>
      <c r="AI195" s="169"/>
      <c r="AJ195" s="169"/>
      <c r="AK195" s="169"/>
      <c r="AL195" s="252">
        <f>+AG195</f>
        <v>37</v>
      </c>
      <c r="AM195" s="169"/>
      <c r="AN195" s="169"/>
      <c r="AO195" s="169"/>
      <c r="AP195" s="169"/>
      <c r="AQ195" s="252">
        <f>+AL195</f>
        <v>37</v>
      </c>
    </row>
    <row r="196" spans="1:43" s="197" customFormat="1" ht="15.6" customHeight="1" outlineLevel="1" x14ac:dyDescent="0.3">
      <c r="B196" s="145" t="s">
        <v>312</v>
      </c>
      <c r="C196" s="294"/>
      <c r="D196" s="168">
        <v>-31</v>
      </c>
      <c r="E196" s="168">
        <v>-29</v>
      </c>
      <c r="F196" s="168">
        <v>-29</v>
      </c>
      <c r="G196" s="168">
        <f>+H196-F196-E196-D196</f>
        <v>13</v>
      </c>
      <c r="H196" s="337">
        <f>SUM(H194:H195)</f>
        <v>-76</v>
      </c>
      <c r="I196" s="168">
        <f>-30+1</f>
        <v>-29</v>
      </c>
      <c r="J196" s="168">
        <f>-30+1</f>
        <v>-29</v>
      </c>
      <c r="K196" s="168">
        <f>-30-2</f>
        <v>-32</v>
      </c>
      <c r="L196" s="168">
        <f>+M196-K196-J196-I196</f>
        <v>15</v>
      </c>
      <c r="M196" s="337">
        <f>SUM(M194:M195)</f>
        <v>-75</v>
      </c>
      <c r="N196" s="168">
        <v>-30</v>
      </c>
      <c r="O196" s="168">
        <f>-29-1</f>
        <v>-30</v>
      </c>
      <c r="P196" s="168">
        <f>-29+1</f>
        <v>-28</v>
      </c>
      <c r="Q196" s="168">
        <f>+R196-P196-O196-N196</f>
        <v>-1</v>
      </c>
      <c r="R196" s="354">
        <f>SUM(R194:R195)</f>
        <v>-89</v>
      </c>
      <c r="S196" s="168">
        <f>+S284-R284</f>
        <v>-23</v>
      </c>
      <c r="T196" s="140">
        <f>+R196/4</f>
        <v>-22.25</v>
      </c>
      <c r="U196" s="140">
        <f>+R196/4</f>
        <v>-22.25</v>
      </c>
      <c r="V196" s="140">
        <f>+R196/4</f>
        <v>-22.25</v>
      </c>
      <c r="W196" s="337">
        <f>SUM(S196:V196)</f>
        <v>-89.75</v>
      </c>
      <c r="X196" s="140">
        <f>+W196/4</f>
        <v>-22.4375</v>
      </c>
      <c r="Y196" s="140">
        <f>+W196/4</f>
        <v>-22.4375</v>
      </c>
      <c r="Z196" s="140">
        <f>+W196/4</f>
        <v>-22.4375</v>
      </c>
      <c r="AA196" s="140">
        <f>+W196/4</f>
        <v>-22.4375</v>
      </c>
      <c r="AB196" s="337">
        <f>SUM(X196:AA196)</f>
        <v>-89.75</v>
      </c>
      <c r="AC196" s="140">
        <f>+AB196/4</f>
        <v>-22.4375</v>
      </c>
      <c r="AD196" s="140">
        <f>+AB196/4</f>
        <v>-22.4375</v>
      </c>
      <c r="AE196" s="140">
        <f>+AB196/4</f>
        <v>-22.4375</v>
      </c>
      <c r="AF196" s="140">
        <f>+AB196/4</f>
        <v>-22.4375</v>
      </c>
      <c r="AG196" s="337">
        <f>SUM(AC196:AF196)</f>
        <v>-89.75</v>
      </c>
      <c r="AH196" s="140">
        <f>+AG196/4</f>
        <v>-22.4375</v>
      </c>
      <c r="AI196" s="140">
        <f>+AG196/4</f>
        <v>-22.4375</v>
      </c>
      <c r="AJ196" s="140">
        <f>+AG196/4</f>
        <v>-22.4375</v>
      </c>
      <c r="AK196" s="140">
        <f>+AG196/4</f>
        <v>-22.4375</v>
      </c>
      <c r="AL196" s="337">
        <f>SUM(AH196:AK196)</f>
        <v>-89.75</v>
      </c>
      <c r="AM196" s="140">
        <f>+AL196/4</f>
        <v>-22.4375</v>
      </c>
      <c r="AN196" s="140">
        <f>+AL196/4</f>
        <v>-22.4375</v>
      </c>
      <c r="AO196" s="140">
        <f>+AL196/4</f>
        <v>-22.4375</v>
      </c>
      <c r="AP196" s="140">
        <f>+AL196/4</f>
        <v>-22.4375</v>
      </c>
      <c r="AQ196" s="337">
        <f>SUM(AM196:AP196)</f>
        <v>-89.75</v>
      </c>
    </row>
    <row r="197" spans="1:43" s="197" customFormat="1" ht="15.6" customHeight="1" outlineLevel="1" x14ac:dyDescent="0.45">
      <c r="B197" s="159" t="s">
        <v>321</v>
      </c>
      <c r="C197" s="294"/>
      <c r="D197" s="169"/>
      <c r="E197" s="169"/>
      <c r="F197" s="169"/>
      <c r="G197" s="169"/>
      <c r="H197" s="337">
        <f>+(H191+H194+H195)+H270</f>
        <v>820</v>
      </c>
      <c r="I197" s="353"/>
      <c r="J197" s="353"/>
      <c r="K197" s="353"/>
      <c r="L197" s="353"/>
      <c r="M197" s="337">
        <f>+(M191+M194+M195)+M270</f>
        <v>811</v>
      </c>
      <c r="N197" s="169"/>
      <c r="O197" s="169"/>
      <c r="P197" s="169"/>
      <c r="Q197" s="169"/>
      <c r="R197" s="337">
        <f>+(R191+R194+R195)+R270</f>
        <v>844</v>
      </c>
      <c r="S197" s="169"/>
      <c r="T197" s="169"/>
      <c r="U197" s="169"/>
      <c r="V197" s="169"/>
      <c r="W197" s="252">
        <f>+R197</f>
        <v>844</v>
      </c>
      <c r="X197" s="169"/>
      <c r="Y197" s="169"/>
      <c r="Z197" s="169"/>
      <c r="AA197" s="169"/>
      <c r="AB197" s="252">
        <f>+W197</f>
        <v>844</v>
      </c>
      <c r="AC197" s="169"/>
      <c r="AD197" s="169"/>
      <c r="AE197" s="169"/>
      <c r="AF197" s="169"/>
      <c r="AG197" s="252">
        <f>+AB197</f>
        <v>844</v>
      </c>
      <c r="AH197" s="169"/>
      <c r="AI197" s="169"/>
      <c r="AJ197" s="169"/>
      <c r="AK197" s="169"/>
      <c r="AL197" s="252">
        <f>+AG197</f>
        <v>844</v>
      </c>
      <c r="AM197" s="169"/>
      <c r="AN197" s="169"/>
      <c r="AO197" s="169"/>
      <c r="AP197" s="169"/>
      <c r="AQ197" s="252">
        <f>+AL197</f>
        <v>844</v>
      </c>
    </row>
    <row r="198" spans="1:43" s="197" customFormat="1" ht="15.6" customHeight="1" outlineLevel="1" x14ac:dyDescent="0.45">
      <c r="B198" s="357" t="s">
        <v>320</v>
      </c>
      <c r="C198" s="294"/>
      <c r="D198" s="169"/>
      <c r="E198" s="169"/>
      <c r="F198" s="169"/>
      <c r="G198" s="169"/>
      <c r="H198" s="358">
        <f>+(H191+H194+H195-H197)+H270</f>
        <v>0</v>
      </c>
      <c r="I198" s="353"/>
      <c r="J198" s="353"/>
      <c r="K198" s="353"/>
      <c r="L198" s="353"/>
      <c r="M198" s="358">
        <f>+(M191+M194+M195-M197)+M270</f>
        <v>0</v>
      </c>
      <c r="N198" s="169"/>
      <c r="O198" s="169"/>
      <c r="P198" s="169"/>
      <c r="Q198" s="169"/>
      <c r="R198" s="359">
        <f>+(R191+R194+R195-R197)+R270</f>
        <v>0</v>
      </c>
      <c r="S198" s="169"/>
      <c r="T198" s="169"/>
      <c r="U198" s="169"/>
      <c r="V198" s="169"/>
      <c r="W198" s="359">
        <f>+(W191+W194+W195-W197)+W270</f>
        <v>0</v>
      </c>
      <c r="X198" s="169"/>
      <c r="Y198" s="169"/>
      <c r="Z198" s="169"/>
      <c r="AA198" s="169"/>
      <c r="AB198" s="359">
        <f>+(AB191+AB194+AB195-AB197)+AB270</f>
        <v>0</v>
      </c>
      <c r="AC198" s="169"/>
      <c r="AD198" s="169"/>
      <c r="AE198" s="169"/>
      <c r="AF198" s="169"/>
      <c r="AG198" s="359">
        <f>+(AG191+AG194+AG195-AG197)+AG270</f>
        <v>0</v>
      </c>
      <c r="AH198" s="169"/>
      <c r="AI198" s="169"/>
      <c r="AJ198" s="169"/>
      <c r="AK198" s="169"/>
      <c r="AL198" s="359">
        <f>+(AL191+AL194+AL195-AL197)+AL270</f>
        <v>0</v>
      </c>
      <c r="AM198" s="169"/>
      <c r="AN198" s="169"/>
      <c r="AO198" s="169"/>
      <c r="AP198" s="169"/>
      <c r="AQ198" s="359">
        <f>+(AQ191+AQ194+AQ195-AQ197)+AQ270</f>
        <v>0</v>
      </c>
    </row>
    <row r="199" spans="1:43" s="53" customFormat="1" ht="15.6" customHeight="1" outlineLevel="1" x14ac:dyDescent="0.3">
      <c r="B199" s="253" t="s">
        <v>289</v>
      </c>
      <c r="C199" s="412"/>
      <c r="D199" s="203">
        <v>165</v>
      </c>
      <c r="E199" s="203">
        <f>330-D199</f>
        <v>165</v>
      </c>
      <c r="F199" s="203">
        <f>330-E199-D199</f>
        <v>0</v>
      </c>
      <c r="G199" s="203">
        <f>+H199-F199-E199-D199</f>
        <v>396</v>
      </c>
      <c r="H199" s="204">
        <v>726</v>
      </c>
      <c r="I199" s="203">
        <v>250</v>
      </c>
      <c r="J199" s="203">
        <v>250</v>
      </c>
      <c r="K199" s="203">
        <f>1750-J199-I199</f>
        <v>1250</v>
      </c>
      <c r="L199" s="203">
        <f>+M199-K199-J199-I199</f>
        <v>365</v>
      </c>
      <c r="M199" s="204">
        <v>2115</v>
      </c>
      <c r="N199" s="203">
        <v>250</v>
      </c>
      <c r="O199" s="203">
        <f>750-N199</f>
        <v>500</v>
      </c>
      <c r="P199" s="203">
        <f>2500-O199-N199</f>
        <v>1750</v>
      </c>
      <c r="Q199" s="203">
        <f>+R199-P199-O199-N199</f>
        <v>173</v>
      </c>
      <c r="R199" s="204">
        <f>2547+84+42</f>
        <v>2673</v>
      </c>
      <c r="S199" s="203">
        <v>250</v>
      </c>
      <c r="T199" s="255">
        <v>250</v>
      </c>
      <c r="U199" s="255">
        <v>250</v>
      </c>
      <c r="V199" s="255">
        <v>250</v>
      </c>
      <c r="W199" s="204">
        <f>SUM(S199:V199)</f>
        <v>1000</v>
      </c>
      <c r="X199" s="255">
        <v>100</v>
      </c>
      <c r="Y199" s="255">
        <v>100</v>
      </c>
      <c r="Z199" s="255">
        <v>100</v>
      </c>
      <c r="AA199" s="255">
        <v>100</v>
      </c>
      <c r="AB199" s="204">
        <f>SUM(X199:AA199)</f>
        <v>400</v>
      </c>
      <c r="AC199" s="255">
        <v>100</v>
      </c>
      <c r="AD199" s="255">
        <v>100</v>
      </c>
      <c r="AE199" s="255">
        <v>100</v>
      </c>
      <c r="AF199" s="255">
        <v>100</v>
      </c>
      <c r="AG199" s="204">
        <f>SUM(AC199:AF199)</f>
        <v>400</v>
      </c>
      <c r="AH199" s="255">
        <v>100</v>
      </c>
      <c r="AI199" s="255">
        <v>100</v>
      </c>
      <c r="AJ199" s="255">
        <v>100</v>
      </c>
      <c r="AK199" s="255">
        <v>100</v>
      </c>
      <c r="AL199" s="204">
        <f>SUM(AH199:AK199)</f>
        <v>400</v>
      </c>
      <c r="AM199" s="255">
        <v>100</v>
      </c>
      <c r="AN199" s="255">
        <v>100</v>
      </c>
      <c r="AO199" s="255">
        <v>100</v>
      </c>
      <c r="AP199" s="255">
        <v>100</v>
      </c>
      <c r="AQ199" s="204">
        <f>SUM(AM199:AP199)</f>
        <v>400</v>
      </c>
    </row>
    <row r="200" spans="1:43" s="53" customFormat="1" ht="15.6" customHeight="1" outlineLevel="1" x14ac:dyDescent="0.3">
      <c r="B200" s="123" t="s">
        <v>338</v>
      </c>
      <c r="C200" s="413"/>
      <c r="D200" s="139"/>
      <c r="E200" s="139"/>
      <c r="F200" s="139"/>
      <c r="G200" s="139"/>
      <c r="H200" s="170"/>
      <c r="I200" s="139"/>
      <c r="J200" s="139"/>
      <c r="K200" s="139"/>
      <c r="L200" s="139"/>
      <c r="M200" s="170"/>
      <c r="N200" s="139"/>
      <c r="O200" s="139"/>
      <c r="P200" s="139"/>
      <c r="Q200" s="139">
        <f>-6178-5</f>
        <v>-6183</v>
      </c>
      <c r="R200" s="170">
        <f>+Q200</f>
        <v>-6183</v>
      </c>
      <c r="S200" s="139"/>
      <c r="T200" s="139"/>
      <c r="U200" s="139"/>
      <c r="V200" s="139"/>
      <c r="W200" s="170"/>
      <c r="X200" s="140"/>
      <c r="Y200" s="140"/>
      <c r="Z200" s="140"/>
      <c r="AA200" s="140"/>
      <c r="AB200" s="170"/>
      <c r="AC200" s="140"/>
      <c r="AD200" s="140"/>
      <c r="AE200" s="140"/>
      <c r="AF200" s="140"/>
      <c r="AG200" s="170"/>
      <c r="AH200" s="140"/>
      <c r="AI200" s="140"/>
      <c r="AJ200" s="140"/>
      <c r="AK200" s="140"/>
      <c r="AL200" s="170"/>
      <c r="AM200" s="140"/>
      <c r="AN200" s="140"/>
      <c r="AO200" s="140"/>
      <c r="AP200" s="140"/>
      <c r="AQ200" s="170"/>
    </row>
    <row r="201" spans="1:43" s="53" customFormat="1" ht="15.6" customHeight="1" outlineLevel="1" x14ac:dyDescent="0.3">
      <c r="B201" s="123" t="s">
        <v>290</v>
      </c>
      <c r="C201" s="413"/>
      <c r="D201" s="139"/>
      <c r="E201" s="139"/>
      <c r="F201" s="139"/>
      <c r="G201" s="139"/>
      <c r="H201" s="170">
        <v>912</v>
      </c>
      <c r="I201" s="139"/>
      <c r="J201" s="139"/>
      <c r="K201" s="139"/>
      <c r="L201" s="139"/>
      <c r="M201" s="170">
        <v>2310</v>
      </c>
      <c r="N201" s="139"/>
      <c r="O201" s="139"/>
      <c r="P201" s="139"/>
      <c r="Q201" s="139"/>
      <c r="R201" s="170">
        <f>854+46</f>
        <v>900</v>
      </c>
      <c r="S201" s="139"/>
      <c r="T201" s="139"/>
      <c r="U201" s="139"/>
      <c r="V201" s="139"/>
      <c r="W201" s="218">
        <f>+R201</f>
        <v>900</v>
      </c>
      <c r="X201" s="139"/>
      <c r="Y201" s="139"/>
      <c r="Z201" s="139"/>
      <c r="AA201" s="139"/>
      <c r="AB201" s="218">
        <f>+W201</f>
        <v>900</v>
      </c>
      <c r="AC201" s="139"/>
      <c r="AD201" s="139"/>
      <c r="AE201" s="139"/>
      <c r="AF201" s="139"/>
      <c r="AG201" s="218">
        <f>+AB201</f>
        <v>900</v>
      </c>
      <c r="AH201" s="139"/>
      <c r="AI201" s="139"/>
      <c r="AJ201" s="139"/>
      <c r="AK201" s="139"/>
      <c r="AL201" s="218">
        <f>+AG201</f>
        <v>900</v>
      </c>
      <c r="AM201" s="139"/>
      <c r="AN201" s="139"/>
      <c r="AO201" s="139"/>
      <c r="AP201" s="139"/>
      <c r="AQ201" s="218">
        <f>+AL201</f>
        <v>900</v>
      </c>
    </row>
    <row r="202" spans="1:43" s="53" customFormat="1" ht="15.6" customHeight="1" outlineLevel="1" x14ac:dyDescent="0.3">
      <c r="B202" s="360" t="s">
        <v>322</v>
      </c>
      <c r="C202" s="414"/>
      <c r="D202" s="216">
        <f>166+10+11+295</f>
        <v>482</v>
      </c>
      <c r="E202" s="216">
        <f>165+295+10+10</f>
        <v>480</v>
      </c>
      <c r="F202" s="216">
        <f>165+295+10+10</f>
        <v>480</v>
      </c>
      <c r="G202" s="216">
        <f>+H202-F202-E202-D202</f>
        <v>1614</v>
      </c>
      <c r="H202" s="176">
        <f>622+1155+284+40+25-7+907-24+40+42-64+36</f>
        <v>3056</v>
      </c>
      <c r="I202" s="216">
        <f>160+20+9+282+11+10</f>
        <v>492</v>
      </c>
      <c r="J202" s="216">
        <f>160+20+9+282+11+10</f>
        <v>492</v>
      </c>
      <c r="K202" s="216">
        <f>160+20+9+282+11+10</f>
        <v>492</v>
      </c>
      <c r="L202" s="216">
        <f>+M202-K202-J202-I202</f>
        <v>1166</v>
      </c>
      <c r="M202" s="176">
        <f>638+1128+571+83+43+161+26-30+36+39-14-72+33</f>
        <v>2642</v>
      </c>
      <c r="N202" s="216">
        <f>170+23+9+279+12+10</f>
        <v>503</v>
      </c>
      <c r="O202" s="216">
        <f>170+23+9+278+13+9</f>
        <v>502</v>
      </c>
      <c r="P202" s="216">
        <f>169+23+9+279+12+10</f>
        <v>502</v>
      </c>
      <c r="Q202" s="216">
        <f>+R202-P202-O202-N202</f>
        <v>591</v>
      </c>
      <c r="R202" s="176">
        <f>679+97+36+1115+49+39+21-34-9+63+42</f>
        <v>2098</v>
      </c>
      <c r="S202" s="216">
        <f>238+13+10+172+24+9</f>
        <v>466</v>
      </c>
      <c r="T202" s="331">
        <v>600</v>
      </c>
      <c r="U202" s="331">
        <v>600</v>
      </c>
      <c r="V202" s="331">
        <v>600</v>
      </c>
      <c r="W202" s="176">
        <f>SUM(S202:V202)</f>
        <v>2266</v>
      </c>
      <c r="X202" s="331">
        <v>550</v>
      </c>
      <c r="Y202" s="331">
        <v>550</v>
      </c>
      <c r="Z202" s="331">
        <v>550</v>
      </c>
      <c r="AA202" s="331">
        <v>550</v>
      </c>
      <c r="AB202" s="176">
        <f>SUM(X202:AA202)</f>
        <v>2200</v>
      </c>
      <c r="AC202" s="331">
        <v>550</v>
      </c>
      <c r="AD202" s="331">
        <v>550</v>
      </c>
      <c r="AE202" s="331">
        <v>550</v>
      </c>
      <c r="AF202" s="331">
        <v>550</v>
      </c>
      <c r="AG202" s="176">
        <f>SUM(AC202:AF202)</f>
        <v>2200</v>
      </c>
      <c r="AH202" s="331">
        <v>575</v>
      </c>
      <c r="AI202" s="331">
        <v>575</v>
      </c>
      <c r="AJ202" s="331">
        <v>575</v>
      </c>
      <c r="AK202" s="331">
        <v>575</v>
      </c>
      <c r="AL202" s="176">
        <f>SUM(AH202:AK202)</f>
        <v>2300</v>
      </c>
      <c r="AM202" s="331">
        <v>600</v>
      </c>
      <c r="AN202" s="331">
        <v>600</v>
      </c>
      <c r="AO202" s="331">
        <v>600</v>
      </c>
      <c r="AP202" s="331">
        <v>600</v>
      </c>
      <c r="AQ202" s="176">
        <f>SUM(AM202:AP202)</f>
        <v>2400</v>
      </c>
    </row>
    <row r="203" spans="1:43" s="53" customFormat="1" ht="15.6" customHeight="1" outlineLevel="1" x14ac:dyDescent="0.3">
      <c r="A203" s="230"/>
      <c r="B203" s="361" t="s">
        <v>277</v>
      </c>
      <c r="C203" s="294"/>
      <c r="D203" s="168"/>
      <c r="E203" s="168"/>
      <c r="F203" s="168"/>
      <c r="G203" s="168"/>
      <c r="H203" s="337"/>
      <c r="I203" s="168"/>
      <c r="J203" s="168"/>
      <c r="K203" s="168"/>
      <c r="L203" s="168"/>
      <c r="M203" s="337"/>
      <c r="N203" s="168"/>
      <c r="O203" s="168"/>
      <c r="P203" s="168"/>
      <c r="Q203" s="168"/>
      <c r="R203" s="136"/>
      <c r="S203" s="158"/>
      <c r="T203" s="168"/>
      <c r="U203" s="168"/>
      <c r="V203" s="168"/>
      <c r="W203" s="136"/>
      <c r="X203" s="168"/>
      <c r="Y203" s="168"/>
      <c r="Z203" s="168"/>
      <c r="AA203" s="168"/>
      <c r="AB203" s="136"/>
      <c r="AC203" s="168"/>
      <c r="AD203" s="168"/>
      <c r="AE203" s="168"/>
      <c r="AF203" s="168"/>
      <c r="AG203" s="136"/>
      <c r="AH203" s="168"/>
      <c r="AI203" s="168"/>
      <c r="AJ203" s="168"/>
      <c r="AK203" s="168"/>
      <c r="AL203" s="136"/>
      <c r="AM203" s="168"/>
      <c r="AN203" s="168"/>
      <c r="AO203" s="168"/>
      <c r="AP203" s="168"/>
      <c r="AQ203" s="136"/>
    </row>
    <row r="204" spans="1:43" s="53" customFormat="1" ht="15.6" customHeight="1" outlineLevel="1" x14ac:dyDescent="0.3">
      <c r="A204" s="230"/>
      <c r="B204" s="127" t="s">
        <v>278</v>
      </c>
      <c r="C204" s="294"/>
      <c r="D204" s="168"/>
      <c r="E204" s="168"/>
      <c r="F204" s="168"/>
      <c r="G204" s="168">
        <v>1285</v>
      </c>
      <c r="H204" s="337">
        <f>+SUM(D204:G204)</f>
        <v>1285</v>
      </c>
      <c r="I204" s="168"/>
      <c r="J204" s="168"/>
      <c r="K204" s="168"/>
      <c r="L204" s="168">
        <v>-740</v>
      </c>
      <c r="M204" s="337">
        <f>+SUM(I204:L204)</f>
        <v>-740</v>
      </c>
      <c r="N204" s="168"/>
      <c r="O204" s="168"/>
      <c r="P204" s="168"/>
      <c r="Q204" s="168">
        <v>11</v>
      </c>
      <c r="R204" s="337">
        <f>+SUM(N204:Q204)</f>
        <v>11</v>
      </c>
      <c r="S204" s="168"/>
      <c r="T204" s="168"/>
      <c r="U204" s="168"/>
      <c r="V204" s="140">
        <f>-W215*10000*W211</f>
        <v>-55.00000000000005</v>
      </c>
      <c r="W204" s="337">
        <f>SUM(S204:V204)</f>
        <v>-55.00000000000005</v>
      </c>
      <c r="X204" s="168"/>
      <c r="Y204" s="168"/>
      <c r="Z204" s="168"/>
      <c r="AA204" s="140">
        <f>-AB215*10000*AB211</f>
        <v>55.00000000000005</v>
      </c>
      <c r="AB204" s="337">
        <f>SUM(X204:AA204)</f>
        <v>55.00000000000005</v>
      </c>
      <c r="AC204" s="168"/>
      <c r="AD204" s="168"/>
      <c r="AE204" s="168"/>
      <c r="AF204" s="140">
        <f>-AG215*10000*AG211</f>
        <v>-55.00000000000005</v>
      </c>
      <c r="AG204" s="337">
        <f>SUM(AC204:AF204)</f>
        <v>-55.00000000000005</v>
      </c>
      <c r="AH204" s="168"/>
      <c r="AI204" s="168"/>
      <c r="AJ204" s="168"/>
      <c r="AK204" s="140">
        <f>-AL215*10000*AL211</f>
        <v>-55.00000000000005</v>
      </c>
      <c r="AL204" s="337">
        <f>SUM(AH204:AK204)</f>
        <v>-55.00000000000005</v>
      </c>
      <c r="AM204" s="168"/>
      <c r="AN204" s="168"/>
      <c r="AO204" s="168"/>
      <c r="AP204" s="140">
        <f>-AQ215*10000*AQ211</f>
        <v>-55.00000000000005</v>
      </c>
      <c r="AQ204" s="337">
        <f>SUM(AM204:AP204)</f>
        <v>-55.00000000000005</v>
      </c>
    </row>
    <row r="205" spans="1:43" s="53" customFormat="1" ht="15.6" customHeight="1" outlineLevel="1" x14ac:dyDescent="0.3">
      <c r="A205" s="230"/>
      <c r="B205" s="127" t="s">
        <v>337</v>
      </c>
      <c r="C205" s="294"/>
      <c r="D205" s="168"/>
      <c r="E205" s="168"/>
      <c r="F205" s="168"/>
      <c r="G205" s="168"/>
      <c r="H205" s="337"/>
      <c r="I205" s="168"/>
      <c r="J205" s="168"/>
      <c r="K205" s="168"/>
      <c r="L205" s="168">
        <v>0</v>
      </c>
      <c r="M205" s="337">
        <v>0</v>
      </c>
      <c r="N205" s="168"/>
      <c r="O205" s="168"/>
      <c r="P205" s="168"/>
      <c r="Q205" s="168">
        <v>210</v>
      </c>
      <c r="R205" s="337">
        <f>+Q205</f>
        <v>210</v>
      </c>
      <c r="S205" s="168"/>
      <c r="T205" s="168"/>
      <c r="U205" s="168"/>
      <c r="V205" s="140"/>
      <c r="W205" s="337"/>
      <c r="X205" s="168"/>
      <c r="Y205" s="168"/>
      <c r="Z205" s="168"/>
      <c r="AA205" s="140"/>
      <c r="AB205" s="337"/>
      <c r="AC205" s="168"/>
      <c r="AD205" s="168"/>
      <c r="AE205" s="168"/>
      <c r="AF205" s="140"/>
      <c r="AG205" s="337"/>
      <c r="AH205" s="168"/>
      <c r="AI205" s="168"/>
      <c r="AJ205" s="168"/>
      <c r="AK205" s="140"/>
      <c r="AL205" s="337"/>
      <c r="AM205" s="168"/>
      <c r="AN205" s="168"/>
      <c r="AO205" s="168"/>
      <c r="AP205" s="140"/>
      <c r="AQ205" s="337"/>
    </row>
    <row r="206" spans="1:43" s="53" customFormat="1" ht="15.6" customHeight="1" outlineLevel="1" x14ac:dyDescent="0.3">
      <c r="A206" s="230"/>
      <c r="B206" s="362" t="s">
        <v>279</v>
      </c>
      <c r="C206" s="294"/>
      <c r="D206" s="168">
        <v>0</v>
      </c>
      <c r="E206" s="168">
        <v>0</v>
      </c>
      <c r="F206" s="168">
        <v>0</v>
      </c>
      <c r="G206" s="168">
        <v>1129</v>
      </c>
      <c r="H206" s="337">
        <f>+SUM(D206:G206)</f>
        <v>1129</v>
      </c>
      <c r="I206" s="168">
        <v>0</v>
      </c>
      <c r="J206" s="168">
        <v>0</v>
      </c>
      <c r="K206" s="168">
        <v>0</v>
      </c>
      <c r="L206" s="168">
        <v>266</v>
      </c>
      <c r="M206" s="337">
        <f>+SUM(I206:L206)</f>
        <v>266</v>
      </c>
      <c r="N206" s="168">
        <v>0</v>
      </c>
      <c r="O206" s="168">
        <v>0</v>
      </c>
      <c r="P206" s="168">
        <v>0</v>
      </c>
      <c r="Q206" s="168">
        <v>-613</v>
      </c>
      <c r="R206" s="337">
        <f>+SUM(N206:Q206)</f>
        <v>-613</v>
      </c>
      <c r="S206" s="168">
        <v>0</v>
      </c>
      <c r="T206" s="168">
        <v>0</v>
      </c>
      <c r="U206" s="168">
        <v>0</v>
      </c>
      <c r="V206" s="140">
        <f>-W216*10000*W214</f>
        <v>-172.23050661764714</v>
      </c>
      <c r="W206" s="218">
        <f>+SUM(S206:V206)</f>
        <v>-172.23050661764714</v>
      </c>
      <c r="X206" s="168">
        <v>0</v>
      </c>
      <c r="Y206" s="168">
        <v>0</v>
      </c>
      <c r="Z206" s="168">
        <v>0</v>
      </c>
      <c r="AA206" s="140">
        <f>-AB216*10000*AB214</f>
        <v>-155</v>
      </c>
      <c r="AB206" s="218">
        <f>+SUM(X206:AA206)</f>
        <v>-155</v>
      </c>
      <c r="AC206" s="168">
        <v>0</v>
      </c>
      <c r="AD206" s="168">
        <v>0</v>
      </c>
      <c r="AE206" s="168">
        <v>0</v>
      </c>
      <c r="AF206" s="140">
        <f>-AG216*10000*AG214</f>
        <v>0</v>
      </c>
      <c r="AG206" s="218">
        <f>+SUM(AC206:AF206)</f>
        <v>0</v>
      </c>
      <c r="AH206" s="168">
        <v>0</v>
      </c>
      <c r="AI206" s="168">
        <v>0</v>
      </c>
      <c r="AJ206" s="168">
        <v>0</v>
      </c>
      <c r="AK206" s="140">
        <f>-AL216*10000*AL214</f>
        <v>0</v>
      </c>
      <c r="AL206" s="218">
        <f>+SUM(AH206:AK206)</f>
        <v>0</v>
      </c>
      <c r="AM206" s="168">
        <v>0</v>
      </c>
      <c r="AN206" s="168">
        <v>0</v>
      </c>
      <c r="AO206" s="168">
        <v>0</v>
      </c>
      <c r="AP206" s="140">
        <f>-AQ216*10000*AQ214</f>
        <v>0</v>
      </c>
      <c r="AQ206" s="218">
        <f>+SUM(AM206:AP206)</f>
        <v>0</v>
      </c>
    </row>
    <row r="207" spans="1:43" s="53" customFormat="1" ht="15.6" customHeight="1" outlineLevel="1" x14ac:dyDescent="0.45">
      <c r="A207" s="230"/>
      <c r="B207" s="362" t="s">
        <v>280</v>
      </c>
      <c r="C207" s="294"/>
      <c r="D207" s="353">
        <v>0</v>
      </c>
      <c r="E207" s="353">
        <v>0</v>
      </c>
      <c r="F207" s="353">
        <v>0</v>
      </c>
      <c r="G207" s="353">
        <v>-916</v>
      </c>
      <c r="H207" s="355">
        <f>+SUM(D207:G207)</f>
        <v>-916</v>
      </c>
      <c r="I207" s="353">
        <v>0</v>
      </c>
      <c r="J207" s="353">
        <v>0</v>
      </c>
      <c r="K207" s="353">
        <v>0</v>
      </c>
      <c r="L207" s="353">
        <v>450</v>
      </c>
      <c r="M207" s="355">
        <f>+SUM(I207:L207)</f>
        <v>450</v>
      </c>
      <c r="N207" s="353">
        <v>0</v>
      </c>
      <c r="O207" s="353">
        <v>0</v>
      </c>
      <c r="P207" s="353">
        <v>0</v>
      </c>
      <c r="Q207" s="353">
        <v>382</v>
      </c>
      <c r="R207" s="355">
        <f>+SUM(N207:Q207)</f>
        <v>382</v>
      </c>
      <c r="S207" s="353">
        <v>0</v>
      </c>
      <c r="T207" s="353">
        <v>0</v>
      </c>
      <c r="U207" s="353">
        <v>0</v>
      </c>
      <c r="V207" s="219">
        <v>0</v>
      </c>
      <c r="W207" s="220">
        <f>+SUM(S207:V207)</f>
        <v>0</v>
      </c>
      <c r="X207" s="353">
        <v>0</v>
      </c>
      <c r="Y207" s="353">
        <v>0</v>
      </c>
      <c r="Z207" s="353">
        <v>0</v>
      </c>
      <c r="AA207" s="219">
        <f>+V207</f>
        <v>0</v>
      </c>
      <c r="AB207" s="220">
        <f>+SUM(X207:AA207)</f>
        <v>0</v>
      </c>
      <c r="AC207" s="353">
        <v>0</v>
      </c>
      <c r="AD207" s="353">
        <v>0</v>
      </c>
      <c r="AE207" s="353">
        <v>0</v>
      </c>
      <c r="AF207" s="219">
        <v>0</v>
      </c>
      <c r="AG207" s="220">
        <f>+SUM(AC207:AF207)</f>
        <v>0</v>
      </c>
      <c r="AH207" s="353">
        <v>0</v>
      </c>
      <c r="AI207" s="353">
        <v>0</v>
      </c>
      <c r="AJ207" s="353">
        <v>0</v>
      </c>
      <c r="AK207" s="219">
        <v>0</v>
      </c>
      <c r="AL207" s="220">
        <f>+SUM(AH207:AK207)</f>
        <v>0</v>
      </c>
      <c r="AM207" s="353">
        <v>0</v>
      </c>
      <c r="AN207" s="353">
        <v>0</v>
      </c>
      <c r="AO207" s="353">
        <v>0</v>
      </c>
      <c r="AP207" s="219">
        <v>0</v>
      </c>
      <c r="AQ207" s="220">
        <f>+SUM(AM207:AP207)</f>
        <v>0</v>
      </c>
    </row>
    <row r="208" spans="1:43" s="197" customFormat="1" ht="15.6" customHeight="1" outlineLevel="1" x14ac:dyDescent="0.3">
      <c r="A208" s="232"/>
      <c r="B208" s="164" t="s">
        <v>281</v>
      </c>
      <c r="C208" s="294"/>
      <c r="D208" s="363">
        <f t="shared" ref="D208:AQ208" si="48">SUM(D204:D207)</f>
        <v>0</v>
      </c>
      <c r="E208" s="363">
        <f t="shared" si="48"/>
        <v>0</v>
      </c>
      <c r="F208" s="363">
        <f t="shared" si="48"/>
        <v>0</v>
      </c>
      <c r="G208" s="363">
        <f t="shared" si="48"/>
        <v>1498</v>
      </c>
      <c r="H208" s="364">
        <f t="shared" si="48"/>
        <v>1498</v>
      </c>
      <c r="I208" s="363">
        <f t="shared" si="48"/>
        <v>0</v>
      </c>
      <c r="J208" s="363">
        <f t="shared" si="48"/>
        <v>0</v>
      </c>
      <c r="K208" s="363">
        <f t="shared" si="48"/>
        <v>0</v>
      </c>
      <c r="L208" s="363">
        <f t="shared" si="48"/>
        <v>-24</v>
      </c>
      <c r="M208" s="364">
        <f t="shared" si="48"/>
        <v>-24</v>
      </c>
      <c r="N208" s="363">
        <f t="shared" si="48"/>
        <v>0</v>
      </c>
      <c r="O208" s="363">
        <f t="shared" si="48"/>
        <v>0</v>
      </c>
      <c r="P208" s="363">
        <f t="shared" si="48"/>
        <v>0</v>
      </c>
      <c r="Q208" s="363">
        <f t="shared" si="48"/>
        <v>-10</v>
      </c>
      <c r="R208" s="364">
        <f t="shared" si="48"/>
        <v>-10</v>
      </c>
      <c r="S208" s="363">
        <f t="shared" si="48"/>
        <v>0</v>
      </c>
      <c r="T208" s="363">
        <f t="shared" si="48"/>
        <v>0</v>
      </c>
      <c r="U208" s="363">
        <f t="shared" si="48"/>
        <v>0</v>
      </c>
      <c r="V208" s="363">
        <f t="shared" si="48"/>
        <v>-227.23050661764719</v>
      </c>
      <c r="W208" s="364">
        <f t="shared" si="48"/>
        <v>-227.23050661764719</v>
      </c>
      <c r="X208" s="363">
        <f t="shared" si="48"/>
        <v>0</v>
      </c>
      <c r="Y208" s="363">
        <f t="shared" si="48"/>
        <v>0</v>
      </c>
      <c r="Z208" s="363">
        <f t="shared" si="48"/>
        <v>0</v>
      </c>
      <c r="AA208" s="363">
        <f t="shared" si="48"/>
        <v>-99.999999999999943</v>
      </c>
      <c r="AB208" s="364">
        <f t="shared" si="48"/>
        <v>-99.999999999999943</v>
      </c>
      <c r="AC208" s="363">
        <f t="shared" si="48"/>
        <v>0</v>
      </c>
      <c r="AD208" s="363">
        <f t="shared" si="48"/>
        <v>0</v>
      </c>
      <c r="AE208" s="363">
        <f t="shared" si="48"/>
        <v>0</v>
      </c>
      <c r="AF208" s="363">
        <f t="shared" si="48"/>
        <v>-55.00000000000005</v>
      </c>
      <c r="AG208" s="364">
        <f t="shared" si="48"/>
        <v>-55.00000000000005</v>
      </c>
      <c r="AH208" s="363">
        <f t="shared" si="48"/>
        <v>0</v>
      </c>
      <c r="AI208" s="363">
        <f t="shared" si="48"/>
        <v>0</v>
      </c>
      <c r="AJ208" s="363">
        <f t="shared" si="48"/>
        <v>0</v>
      </c>
      <c r="AK208" s="363">
        <f t="shared" si="48"/>
        <v>-55.00000000000005</v>
      </c>
      <c r="AL208" s="364">
        <f t="shared" si="48"/>
        <v>-55.00000000000005</v>
      </c>
      <c r="AM208" s="363">
        <f t="shared" si="48"/>
        <v>0</v>
      </c>
      <c r="AN208" s="363">
        <f t="shared" si="48"/>
        <v>0</v>
      </c>
      <c r="AO208" s="363">
        <f t="shared" si="48"/>
        <v>0</v>
      </c>
      <c r="AP208" s="363">
        <f t="shared" si="48"/>
        <v>-55.00000000000005</v>
      </c>
      <c r="AQ208" s="364">
        <f t="shared" si="48"/>
        <v>-55.00000000000005</v>
      </c>
    </row>
    <row r="209" spans="1:43" s="197" customFormat="1" ht="15.6" customHeight="1" outlineLevel="1" x14ac:dyDescent="0.3">
      <c r="A209" s="232"/>
      <c r="B209" s="345" t="s">
        <v>282</v>
      </c>
      <c r="C209" s="415"/>
      <c r="D209" s="346"/>
      <c r="E209" s="346"/>
      <c r="F209" s="346"/>
      <c r="G209" s="346"/>
      <c r="H209" s="347"/>
      <c r="I209" s="346"/>
      <c r="J209" s="346"/>
      <c r="K209" s="346"/>
      <c r="L209" s="346"/>
      <c r="M209" s="347"/>
      <c r="N209" s="346"/>
      <c r="O209" s="346"/>
      <c r="P209" s="346"/>
      <c r="Q209" s="344"/>
      <c r="R209" s="348"/>
      <c r="S209" s="344"/>
      <c r="T209" s="344"/>
      <c r="U209" s="344"/>
      <c r="V209" s="344"/>
      <c r="W209" s="348"/>
      <c r="X209" s="344"/>
      <c r="Y209" s="344"/>
      <c r="Z209" s="344"/>
      <c r="AA209" s="344"/>
      <c r="AB209" s="348"/>
      <c r="AC209" s="344"/>
      <c r="AD209" s="344"/>
      <c r="AE209" s="344"/>
      <c r="AF209" s="344"/>
      <c r="AG209" s="348"/>
      <c r="AH209" s="344"/>
      <c r="AI209" s="344"/>
      <c r="AJ209" s="344"/>
      <c r="AK209" s="344"/>
      <c r="AL209" s="348"/>
      <c r="AM209" s="344"/>
      <c r="AN209" s="344"/>
      <c r="AO209" s="344"/>
      <c r="AP209" s="344"/>
      <c r="AQ209" s="348"/>
    </row>
    <row r="210" spans="1:43" s="197" customFormat="1" ht="15.6" customHeight="1" outlineLevel="1" x14ac:dyDescent="0.3">
      <c r="A210" s="232"/>
      <c r="B210" s="286" t="s">
        <v>283</v>
      </c>
      <c r="C210" s="288"/>
      <c r="D210" s="206"/>
      <c r="E210" s="206"/>
      <c r="F210" s="206"/>
      <c r="G210" s="208"/>
      <c r="H210" s="207">
        <v>6.5000000000000002E-2</v>
      </c>
      <c r="I210" s="208"/>
      <c r="J210" s="208"/>
      <c r="K210" s="208"/>
      <c r="L210" s="208"/>
      <c r="M210" s="207">
        <v>6.5000000000000002E-2</v>
      </c>
      <c r="N210" s="109"/>
      <c r="O210" s="109"/>
      <c r="P210" s="109"/>
      <c r="Q210" s="190"/>
      <c r="R210" s="261">
        <v>6.5000000000000002E-2</v>
      </c>
      <c r="S210" s="190"/>
      <c r="T210" s="190"/>
      <c r="U210" s="190"/>
      <c r="V210" s="190"/>
      <c r="W210" s="261">
        <v>6.7500000000000004E-2</v>
      </c>
      <c r="X210" s="190"/>
      <c r="Y210" s="190"/>
      <c r="Z210" s="190"/>
      <c r="AA210" s="190"/>
      <c r="AB210" s="221">
        <f>W210</f>
        <v>6.7500000000000004E-2</v>
      </c>
      <c r="AC210" s="190"/>
      <c r="AD210" s="190"/>
      <c r="AE210" s="190"/>
      <c r="AF210" s="190"/>
      <c r="AG210" s="221">
        <f>AB210</f>
        <v>6.7500000000000004E-2</v>
      </c>
      <c r="AH210" s="190"/>
      <c r="AI210" s="190"/>
      <c r="AJ210" s="190"/>
      <c r="AK210" s="190"/>
      <c r="AL210" s="221">
        <f>AG210</f>
        <v>6.7500000000000004E-2</v>
      </c>
      <c r="AM210" s="190"/>
      <c r="AN210" s="190"/>
      <c r="AO210" s="190"/>
      <c r="AP210" s="190"/>
      <c r="AQ210" s="221">
        <f>AL210</f>
        <v>6.7500000000000004E-2</v>
      </c>
    </row>
    <row r="211" spans="1:43" s="197" customFormat="1" ht="15.6" customHeight="1" outlineLevel="1" x14ac:dyDescent="0.3">
      <c r="A211" s="230"/>
      <c r="B211" s="123" t="s">
        <v>292</v>
      </c>
      <c r="C211" s="288"/>
      <c r="D211" s="225"/>
      <c r="E211" s="225"/>
      <c r="F211" s="225"/>
      <c r="G211" s="226"/>
      <c r="H211" s="214">
        <v>2.2999999999999998</v>
      </c>
      <c r="I211" s="226"/>
      <c r="J211" s="226"/>
      <c r="K211" s="226"/>
      <c r="L211" s="226"/>
      <c r="M211" s="214">
        <v>2.5</v>
      </c>
      <c r="N211" s="224"/>
      <c r="O211" s="224"/>
      <c r="P211" s="224"/>
      <c r="Q211" s="227"/>
      <c r="R211" s="262">
        <v>2.2000000000000002</v>
      </c>
      <c r="S211" s="190"/>
      <c r="T211" s="190"/>
      <c r="U211" s="190"/>
      <c r="V211" s="190"/>
      <c r="W211" s="418">
        <v>2.2000000000000002</v>
      </c>
      <c r="X211" s="190"/>
      <c r="Y211" s="190"/>
      <c r="Z211" s="190"/>
      <c r="AA211" s="190"/>
      <c r="AB211" s="228">
        <f>W211</f>
        <v>2.2000000000000002</v>
      </c>
      <c r="AC211" s="190"/>
      <c r="AD211" s="190"/>
      <c r="AE211" s="190"/>
      <c r="AF211" s="190"/>
      <c r="AG211" s="228">
        <f>AB211</f>
        <v>2.2000000000000002</v>
      </c>
      <c r="AH211" s="190"/>
      <c r="AI211" s="190"/>
      <c r="AJ211" s="190"/>
      <c r="AK211" s="190"/>
      <c r="AL211" s="228">
        <f>AG211</f>
        <v>2.2000000000000002</v>
      </c>
      <c r="AM211" s="190"/>
      <c r="AN211" s="190"/>
      <c r="AO211" s="190"/>
      <c r="AP211" s="190"/>
      <c r="AQ211" s="228">
        <f>AL211</f>
        <v>2.2000000000000002</v>
      </c>
    </row>
    <row r="212" spans="1:43" s="197" customFormat="1" ht="15.6" customHeight="1" outlineLevel="1" x14ac:dyDescent="0.3">
      <c r="A212" s="232"/>
      <c r="B212" s="286" t="s">
        <v>284</v>
      </c>
      <c r="C212" s="288"/>
      <c r="D212" s="109"/>
      <c r="E212" s="109"/>
      <c r="F212" s="109"/>
      <c r="G212" s="109"/>
      <c r="H212" s="207">
        <v>1.2E-2</v>
      </c>
      <c r="I212" s="206"/>
      <c r="J212" s="100"/>
      <c r="K212" s="100"/>
      <c r="L212" s="100"/>
      <c r="M212" s="207">
        <v>9.6000000000000002E-2</v>
      </c>
      <c r="N212" s="206"/>
      <c r="O212" s="109"/>
      <c r="P212" s="109"/>
      <c r="Q212" s="190"/>
      <c r="R212" s="261">
        <v>6.3E-2</v>
      </c>
      <c r="S212" s="190"/>
      <c r="T212" s="190"/>
      <c r="U212" s="190"/>
      <c r="V212" s="190"/>
      <c r="W212" s="221">
        <v>7.0000000000000007E-2</v>
      </c>
      <c r="X212" s="190"/>
      <c r="Y212" s="190"/>
      <c r="Z212" s="190"/>
      <c r="AA212" s="190"/>
      <c r="AB212" s="221">
        <v>6.5000000000000002E-2</v>
      </c>
      <c r="AC212" s="190"/>
      <c r="AD212" s="190"/>
      <c r="AE212" s="190"/>
      <c r="AF212" s="190"/>
      <c r="AG212" s="221">
        <v>7.0000000000000007E-2</v>
      </c>
      <c r="AH212" s="190"/>
      <c r="AI212" s="190"/>
      <c r="AJ212" s="190"/>
      <c r="AK212" s="190"/>
      <c r="AL212" s="221">
        <v>7.0000000000000007E-2</v>
      </c>
      <c r="AM212" s="190"/>
      <c r="AN212" s="190"/>
      <c r="AO212" s="190"/>
      <c r="AP212" s="190"/>
      <c r="AQ212" s="221">
        <v>7.0000000000000007E-2</v>
      </c>
    </row>
    <row r="213" spans="1:43" s="53" customFormat="1" ht="15.6" customHeight="1" outlineLevel="1" x14ac:dyDescent="0.3">
      <c r="A213" s="230"/>
      <c r="B213" s="703" t="s">
        <v>293</v>
      </c>
      <c r="C213" s="704"/>
      <c r="D213" s="213"/>
      <c r="E213" s="213"/>
      <c r="F213" s="213"/>
      <c r="G213" s="213"/>
      <c r="H213" s="212">
        <v>4.0399999999999998E-2</v>
      </c>
      <c r="I213" s="213"/>
      <c r="J213" s="213"/>
      <c r="K213" s="213"/>
      <c r="L213" s="213"/>
      <c r="M213" s="212">
        <v>3.9800000000000002E-2</v>
      </c>
      <c r="N213" s="139"/>
      <c r="O213" s="139"/>
      <c r="P213" s="139"/>
      <c r="Q213" s="139"/>
      <c r="R213" s="212">
        <v>4.1099999999999998E-2</v>
      </c>
      <c r="S213" s="139"/>
      <c r="T213" s="139"/>
      <c r="U213" s="139"/>
      <c r="V213" s="139"/>
      <c r="W213" s="222">
        <f>R213+W216</f>
        <v>4.1655582279411761E-2</v>
      </c>
      <c r="X213" s="139"/>
      <c r="Y213" s="139"/>
      <c r="Z213" s="139"/>
      <c r="AA213" s="139"/>
      <c r="AB213" s="222">
        <f>W213+AB216</f>
        <v>4.2155582279411762E-2</v>
      </c>
      <c r="AC213" s="139"/>
      <c r="AD213" s="139"/>
      <c r="AE213" s="139"/>
      <c r="AF213" s="139"/>
      <c r="AG213" s="222">
        <f>AB213+AG216</f>
        <v>4.2155582279411762E-2</v>
      </c>
      <c r="AH213" s="139"/>
      <c r="AI213" s="139"/>
      <c r="AJ213" s="139"/>
      <c r="AK213" s="139"/>
      <c r="AL213" s="222">
        <f>AG213+AL216</f>
        <v>4.2155582279411762E-2</v>
      </c>
      <c r="AM213" s="139"/>
      <c r="AN213" s="139"/>
      <c r="AO213" s="139"/>
      <c r="AP213" s="139"/>
      <c r="AQ213" s="222">
        <f>AL213+AQ216</f>
        <v>4.2155582279411762E-2</v>
      </c>
    </row>
    <row r="214" spans="1:43" s="53" customFormat="1" ht="15.6" customHeight="1" outlineLevel="1" x14ac:dyDescent="0.3">
      <c r="A214" s="230"/>
      <c r="B214" s="123" t="s">
        <v>298</v>
      </c>
      <c r="C214" s="288"/>
      <c r="D214" s="213"/>
      <c r="E214" s="213"/>
      <c r="F214" s="213"/>
      <c r="G214" s="213"/>
      <c r="H214" s="215">
        <v>38</v>
      </c>
      <c r="I214" s="213"/>
      <c r="J214" s="213"/>
      <c r="K214" s="213"/>
      <c r="L214" s="213"/>
      <c r="M214" s="215">
        <v>34</v>
      </c>
      <c r="N214" s="139"/>
      <c r="O214" s="139"/>
      <c r="P214" s="139"/>
      <c r="Q214" s="139"/>
      <c r="R214" s="233">
        <v>31</v>
      </c>
      <c r="S214" s="139"/>
      <c r="T214" s="139"/>
      <c r="U214" s="139"/>
      <c r="V214" s="139"/>
      <c r="W214" s="419">
        <v>31</v>
      </c>
      <c r="X214" s="139"/>
      <c r="Y214" s="139"/>
      <c r="Z214" s="139"/>
      <c r="AA214" s="139"/>
      <c r="AB214" s="223">
        <f>W214</f>
        <v>31</v>
      </c>
      <c r="AC214" s="139"/>
      <c r="AD214" s="139"/>
      <c r="AE214" s="139"/>
      <c r="AF214" s="139"/>
      <c r="AG214" s="223">
        <f>AB214</f>
        <v>31</v>
      </c>
      <c r="AH214" s="139"/>
      <c r="AI214" s="139"/>
      <c r="AJ214" s="139"/>
      <c r="AK214" s="139"/>
      <c r="AL214" s="223">
        <f>AG214</f>
        <v>31</v>
      </c>
      <c r="AM214" s="139"/>
      <c r="AN214" s="139"/>
      <c r="AO214" s="139"/>
      <c r="AP214" s="139"/>
      <c r="AQ214" s="223">
        <f>AL214</f>
        <v>31</v>
      </c>
    </row>
    <row r="215" spans="1:43" s="53" customFormat="1" ht="15.6" customHeight="1" outlineLevel="1" x14ac:dyDescent="0.3">
      <c r="B215" s="286" t="s">
        <v>296</v>
      </c>
      <c r="C215" s="288"/>
      <c r="D215" s="213"/>
      <c r="E215" s="213"/>
      <c r="F215" s="213"/>
      <c r="G215" s="213"/>
      <c r="H215" s="215"/>
      <c r="I215" s="192"/>
      <c r="J215" s="213"/>
      <c r="K215" s="213"/>
      <c r="L215" s="192"/>
      <c r="M215" s="215"/>
      <c r="N215" s="139"/>
      <c r="O215" s="139"/>
      <c r="P215" s="139"/>
      <c r="Q215" s="139"/>
      <c r="R215" s="233"/>
      <c r="S215" s="139"/>
      <c r="T215" s="139"/>
      <c r="U215" s="139"/>
      <c r="V215" s="139"/>
      <c r="W215" s="212">
        <f>+W212-W210</f>
        <v>2.5000000000000022E-3</v>
      </c>
      <c r="X215" s="139"/>
      <c r="Y215" s="139"/>
      <c r="Z215" s="139"/>
      <c r="AA215" s="139"/>
      <c r="AB215" s="212">
        <f>+AB212-AB210</f>
        <v>-2.5000000000000022E-3</v>
      </c>
      <c r="AC215" s="139"/>
      <c r="AD215" s="139"/>
      <c r="AE215" s="139"/>
      <c r="AF215" s="139"/>
      <c r="AG215" s="212">
        <f>+AG212-AG210</f>
        <v>2.5000000000000022E-3</v>
      </c>
      <c r="AH215" s="139"/>
      <c r="AI215" s="139"/>
      <c r="AJ215" s="139"/>
      <c r="AK215" s="139"/>
      <c r="AL215" s="212">
        <f>+AL212-AL210</f>
        <v>2.5000000000000022E-3</v>
      </c>
      <c r="AM215" s="139"/>
      <c r="AN215" s="139"/>
      <c r="AO215" s="139"/>
      <c r="AP215" s="139"/>
      <c r="AQ215" s="212">
        <f>+AQ212-AQ210</f>
        <v>2.5000000000000022E-3</v>
      </c>
    </row>
    <row r="216" spans="1:43" s="53" customFormat="1" ht="15.6" customHeight="1" outlineLevel="1" x14ac:dyDescent="0.3">
      <c r="B216" s="286" t="s">
        <v>297</v>
      </c>
      <c r="C216" s="288"/>
      <c r="D216" s="213"/>
      <c r="E216" s="213"/>
      <c r="F216" s="213"/>
      <c r="G216" s="213"/>
      <c r="H216" s="215"/>
      <c r="I216" s="139"/>
      <c r="J216" s="139"/>
      <c r="K216" s="192"/>
      <c r="L216" s="139"/>
      <c r="M216" s="215"/>
      <c r="N216" s="139"/>
      <c r="O216" s="139"/>
      <c r="P216" s="139"/>
      <c r="Q216" s="139"/>
      <c r="R216" s="233"/>
      <c r="S216" s="139"/>
      <c r="T216" s="139"/>
      <c r="U216" s="139"/>
      <c r="V216" s="496"/>
      <c r="W216" s="222">
        <v>5.5558227941176499E-4</v>
      </c>
      <c r="X216" s="433"/>
      <c r="Y216" s="139"/>
      <c r="Z216" s="139"/>
      <c r="AA216" s="139"/>
      <c r="AB216" s="222">
        <v>5.0000000000000001E-4</v>
      </c>
      <c r="AC216" s="139"/>
      <c r="AD216" s="139"/>
      <c r="AE216" s="139"/>
      <c r="AF216" s="139"/>
      <c r="AG216" s="222">
        <v>0</v>
      </c>
      <c r="AH216" s="139"/>
      <c r="AI216" s="139"/>
      <c r="AJ216" s="139"/>
      <c r="AK216" s="139"/>
      <c r="AL216" s="222">
        <f>+AG216</f>
        <v>0</v>
      </c>
      <c r="AM216" s="139"/>
      <c r="AN216" s="139"/>
      <c r="AO216" s="139"/>
      <c r="AP216" s="139"/>
      <c r="AQ216" s="222">
        <f>+AL216</f>
        <v>0</v>
      </c>
    </row>
    <row r="217" spans="1:43" s="53" customFormat="1" ht="15.6" customHeight="1" outlineLevel="1" x14ac:dyDescent="0.3">
      <c r="A217" s="230"/>
      <c r="B217" s="751" t="s">
        <v>295</v>
      </c>
      <c r="C217" s="752"/>
      <c r="D217" s="216"/>
      <c r="E217" s="216"/>
      <c r="F217" s="216"/>
      <c r="G217" s="216"/>
      <c r="H217" s="176"/>
      <c r="I217" s="216"/>
      <c r="J217" s="216"/>
      <c r="K217" s="216"/>
      <c r="L217" s="216"/>
      <c r="M217" s="176"/>
      <c r="N217" s="216"/>
      <c r="O217" s="216"/>
      <c r="P217" s="216"/>
      <c r="Q217" s="216"/>
      <c r="R217" s="217"/>
      <c r="S217" s="216"/>
      <c r="T217" s="216"/>
      <c r="U217" s="216"/>
      <c r="V217" s="216"/>
      <c r="W217" s="229" t="s">
        <v>294</v>
      </c>
      <c r="X217" s="432"/>
      <c r="Y217" s="216"/>
      <c r="Z217" s="216"/>
      <c r="AA217" s="216"/>
      <c r="AB217" s="229" t="s">
        <v>294</v>
      </c>
      <c r="AC217" s="216"/>
      <c r="AD217" s="216"/>
      <c r="AE217" s="216"/>
      <c r="AF217" s="216"/>
      <c r="AG217" s="229" t="s">
        <v>294</v>
      </c>
      <c r="AH217" s="216"/>
      <c r="AI217" s="216"/>
      <c r="AJ217" s="216"/>
      <c r="AK217" s="216"/>
      <c r="AL217" s="229" t="s">
        <v>294</v>
      </c>
      <c r="AM217" s="216"/>
      <c r="AN217" s="216"/>
      <c r="AO217" s="216"/>
      <c r="AP217" s="216"/>
      <c r="AQ217" s="229" t="s">
        <v>294</v>
      </c>
    </row>
    <row r="218" spans="1:43" ht="15" customHeight="1" x14ac:dyDescent="0.3">
      <c r="B218" s="705" t="s">
        <v>76</v>
      </c>
      <c r="C218" s="713"/>
      <c r="D218" s="90" t="s">
        <v>71</v>
      </c>
      <c r="E218" s="90" t="s">
        <v>74</v>
      </c>
      <c r="F218" s="90" t="s">
        <v>75</v>
      </c>
      <c r="G218" s="90" t="s">
        <v>78</v>
      </c>
      <c r="H218" s="403" t="s">
        <v>79</v>
      </c>
      <c r="I218" s="90" t="s">
        <v>80</v>
      </c>
      <c r="J218" s="90" t="s">
        <v>91</v>
      </c>
      <c r="K218" s="90" t="s">
        <v>109</v>
      </c>
      <c r="L218" s="90" t="s">
        <v>113</v>
      </c>
      <c r="M218" s="403" t="s">
        <v>114</v>
      </c>
      <c r="N218" s="90" t="s">
        <v>115</v>
      </c>
      <c r="O218" s="90" t="s">
        <v>116</v>
      </c>
      <c r="P218" s="90" t="s">
        <v>117</v>
      </c>
      <c r="Q218" s="90" t="s">
        <v>118</v>
      </c>
      <c r="R218" s="403" t="s">
        <v>119</v>
      </c>
      <c r="S218" s="90" t="s">
        <v>511</v>
      </c>
      <c r="T218" s="92" t="s">
        <v>377</v>
      </c>
      <c r="U218" s="92" t="s">
        <v>378</v>
      </c>
      <c r="V218" s="92" t="s">
        <v>379</v>
      </c>
      <c r="W218" s="407" t="s">
        <v>380</v>
      </c>
      <c r="X218" s="92" t="s">
        <v>381</v>
      </c>
      <c r="Y218" s="92" t="s">
        <v>382</v>
      </c>
      <c r="Z218" s="92" t="s">
        <v>383</v>
      </c>
      <c r="AA218" s="92" t="s">
        <v>384</v>
      </c>
      <c r="AB218" s="407" t="s">
        <v>385</v>
      </c>
      <c r="AC218" s="92" t="s">
        <v>386</v>
      </c>
      <c r="AD218" s="92" t="s">
        <v>387</v>
      </c>
      <c r="AE218" s="92" t="s">
        <v>388</v>
      </c>
      <c r="AF218" s="92" t="s">
        <v>389</v>
      </c>
      <c r="AG218" s="407" t="s">
        <v>390</v>
      </c>
      <c r="AH218" s="92" t="s">
        <v>391</v>
      </c>
      <c r="AI218" s="92" t="s">
        <v>392</v>
      </c>
      <c r="AJ218" s="92" t="s">
        <v>393</v>
      </c>
      <c r="AK218" s="92" t="s">
        <v>394</v>
      </c>
      <c r="AL218" s="407" t="s">
        <v>395</v>
      </c>
      <c r="AM218" s="92" t="s">
        <v>396</v>
      </c>
      <c r="AN218" s="92" t="s">
        <v>397</v>
      </c>
      <c r="AO218" s="92" t="s">
        <v>398</v>
      </c>
      <c r="AP218" s="92" t="s">
        <v>399</v>
      </c>
      <c r="AQ218" s="407" t="s">
        <v>400</v>
      </c>
    </row>
    <row r="219" spans="1:43" s="111" customFormat="1" outlineLevel="1" x14ac:dyDescent="0.3">
      <c r="B219" s="703" t="s">
        <v>536</v>
      </c>
      <c r="C219" s="704"/>
      <c r="D219" s="234">
        <f>D13/11684-1</f>
        <v>5.0924340979116689E-2</v>
      </c>
      <c r="E219" s="234">
        <f>E13/11939-1</f>
        <v>4.3052181924784216E-2</v>
      </c>
      <c r="F219" s="234">
        <f>F13/11716-1</f>
        <v>8.0061454421304301E-2</v>
      </c>
      <c r="G219" s="234">
        <f>G13/12114-1</f>
        <v>7.1404985966650125E-2</v>
      </c>
      <c r="H219" s="209">
        <f>H13/47453-1</f>
        <v>6.1365983183360395E-2</v>
      </c>
      <c r="I219" s="234">
        <f t="shared" ref="I219:AQ219" si="49">I13/D13-1</f>
        <v>0.19415261829139174</v>
      </c>
      <c r="J219" s="234">
        <f t="shared" si="49"/>
        <v>0.1989881956155144</v>
      </c>
      <c r="K219" s="234">
        <f t="shared" si="49"/>
        <v>0.18515884305357999</v>
      </c>
      <c r="L219" s="234">
        <f t="shared" si="49"/>
        <v>0.2118036828723322</v>
      </c>
      <c r="M219" s="209">
        <f t="shared" si="49"/>
        <v>0.19763724808895056</v>
      </c>
      <c r="N219" s="234">
        <f t="shared" si="49"/>
        <v>4.3238082247834653E-2</v>
      </c>
      <c r="O219" s="234">
        <f t="shared" si="49"/>
        <v>9.2559105217333126E-2</v>
      </c>
      <c r="P219" s="234">
        <f t="shared" si="49"/>
        <v>0.10195372407814896</v>
      </c>
      <c r="Q219" s="234">
        <f t="shared" si="49"/>
        <v>0.10084726513224807</v>
      </c>
      <c r="R219" s="210">
        <f t="shared" si="49"/>
        <v>8.5066492912680758E-2</v>
      </c>
      <c r="S219" s="234">
        <f t="shared" si="49"/>
        <v>0.11472837811335546</v>
      </c>
      <c r="T219" s="234">
        <f t="shared" si="49"/>
        <v>8.9468522037638776E-2</v>
      </c>
      <c r="U219" s="234">
        <f t="shared" si="49"/>
        <v>8.2463996127314587E-2</v>
      </c>
      <c r="V219" s="234">
        <f t="shared" si="49"/>
        <v>7.959825584231206E-2</v>
      </c>
      <c r="W219" s="423">
        <f t="shared" si="49"/>
        <v>9.099255566708031E-2</v>
      </c>
      <c r="X219" s="234">
        <f t="shared" si="49"/>
        <v>5.7054304480413043E-2</v>
      </c>
      <c r="Y219" s="234">
        <f t="shared" si="49"/>
        <v>4.8783818459810835E-2</v>
      </c>
      <c r="Z219" s="234">
        <f t="shared" si="49"/>
        <v>5.3991696960726365E-2</v>
      </c>
      <c r="AA219" s="234">
        <f t="shared" si="49"/>
        <v>5.527183715123174E-2</v>
      </c>
      <c r="AB219" s="209">
        <f t="shared" si="49"/>
        <v>5.3761957658082782E-2</v>
      </c>
      <c r="AC219" s="234">
        <f t="shared" si="49"/>
        <v>5.5688116528382459E-2</v>
      </c>
      <c r="AD219" s="234">
        <f t="shared" si="49"/>
        <v>5.4337416392882032E-2</v>
      </c>
      <c r="AE219" s="234">
        <f t="shared" si="49"/>
        <v>5.7060447011942239E-2</v>
      </c>
      <c r="AF219" s="234">
        <f t="shared" si="49"/>
        <v>5.77083088183592E-2</v>
      </c>
      <c r="AG219" s="209">
        <f t="shared" si="49"/>
        <v>5.6226994881149572E-2</v>
      </c>
      <c r="AH219" s="234">
        <f t="shared" si="49"/>
        <v>5.3128595416364277E-2</v>
      </c>
      <c r="AI219" s="234">
        <f t="shared" si="49"/>
        <v>5.1641732795512096E-2</v>
      </c>
      <c r="AJ219" s="234">
        <f t="shared" si="49"/>
        <v>5.2192739159926615E-2</v>
      </c>
      <c r="AK219" s="234">
        <f t="shared" si="49"/>
        <v>5.0866605078172089E-2</v>
      </c>
      <c r="AL219" s="209">
        <f t="shared" si="49"/>
        <v>5.193242375924001E-2</v>
      </c>
      <c r="AM219" s="234">
        <f t="shared" si="49"/>
        <v>4.88301890803573E-2</v>
      </c>
      <c r="AN219" s="234">
        <f t="shared" si="49"/>
        <v>4.6945501550974544E-2</v>
      </c>
      <c r="AO219" s="234">
        <f t="shared" si="49"/>
        <v>4.6906457880574459E-2</v>
      </c>
      <c r="AP219" s="234">
        <f t="shared" si="49"/>
        <v>4.5529486111351769E-2</v>
      </c>
      <c r="AQ219" s="209">
        <f t="shared" si="49"/>
        <v>4.7016114810749521E-2</v>
      </c>
    </row>
    <row r="220" spans="1:43" s="111" customFormat="1" outlineLevel="1" x14ac:dyDescent="0.3">
      <c r="B220" s="720" t="s">
        <v>28</v>
      </c>
      <c r="C220" s="721"/>
      <c r="D220" s="194">
        <f t="shared" ref="D220:AQ220" si="50">D25/D13</f>
        <v>9.3167196025734991E-2</v>
      </c>
      <c r="E220" s="194">
        <f t="shared" si="50"/>
        <v>9.1303300409539864E-2</v>
      </c>
      <c r="F220" s="194">
        <f t="shared" si="50"/>
        <v>6.8278805120910391E-2</v>
      </c>
      <c r="G220" s="194">
        <f t="shared" si="50"/>
        <v>-5.2392326065182218E-3</v>
      </c>
      <c r="H220" s="236">
        <f t="shared" si="50"/>
        <v>6.1094013699990075E-2</v>
      </c>
      <c r="I220" s="194">
        <f t="shared" si="50"/>
        <v>7.8565095819409403E-2</v>
      </c>
      <c r="J220" s="194">
        <f t="shared" si="50"/>
        <v>7.0658361797602307E-2</v>
      </c>
      <c r="K220" s="194">
        <f t="shared" si="50"/>
        <v>6.0812162432486494E-2</v>
      </c>
      <c r="L220" s="194">
        <f t="shared" si="50"/>
        <v>9.2001525940996948E-2</v>
      </c>
      <c r="M220" s="236">
        <f t="shared" si="50"/>
        <v>7.5697541404864135E-2</v>
      </c>
      <c r="N220" s="194">
        <f t="shared" si="50"/>
        <v>6.3476498659867944E-2</v>
      </c>
      <c r="O220" s="194">
        <f t="shared" si="50"/>
        <v>6.8350395390179605E-2</v>
      </c>
      <c r="P220" s="194">
        <f t="shared" si="50"/>
        <v>5.1918189519544959E-2</v>
      </c>
      <c r="Q220" s="194">
        <f t="shared" si="50"/>
        <v>7.6707643366776518E-2</v>
      </c>
      <c r="R220" s="236">
        <f t="shared" si="50"/>
        <v>6.5272995807042725E-2</v>
      </c>
      <c r="S220" s="194">
        <f t="shared" si="50"/>
        <v>6.2807881773399021E-2</v>
      </c>
      <c r="T220" s="194">
        <f t="shared" si="50"/>
        <v>7.3702305348279429E-2</v>
      </c>
      <c r="U220" s="194">
        <f t="shared" si="50"/>
        <v>7.0552416003479917E-2</v>
      </c>
      <c r="V220" s="194">
        <f t="shared" si="50"/>
        <v>0.12215300962343212</v>
      </c>
      <c r="W220" s="236">
        <f t="shared" si="50"/>
        <v>8.299479288724472E-2</v>
      </c>
      <c r="X220" s="194">
        <f t="shared" si="50"/>
        <v>8.4555256097337425E-2</v>
      </c>
      <c r="Y220" s="194">
        <f t="shared" si="50"/>
        <v>8.4120222952054777E-2</v>
      </c>
      <c r="Z220" s="194">
        <f t="shared" si="50"/>
        <v>7.7973821923700254E-2</v>
      </c>
      <c r="AA220" s="194">
        <f t="shared" si="50"/>
        <v>0.12812792777081339</v>
      </c>
      <c r="AB220" s="210">
        <f t="shared" si="50"/>
        <v>9.4220964914299252E-2</v>
      </c>
      <c r="AC220" s="194">
        <f t="shared" si="50"/>
        <v>9.5991217673878526E-2</v>
      </c>
      <c r="AD220" s="194">
        <f t="shared" si="50"/>
        <v>9.4272249841315922E-2</v>
      </c>
      <c r="AE220" s="194">
        <f t="shared" si="50"/>
        <v>8.8689209774412123E-2</v>
      </c>
      <c r="AF220" s="194">
        <f t="shared" si="50"/>
        <v>0.13654204172080692</v>
      </c>
      <c r="AG220" s="210">
        <f t="shared" si="50"/>
        <v>0.10438035593036132</v>
      </c>
      <c r="AH220" s="194">
        <f t="shared" si="50"/>
        <v>9.0829579525776596E-2</v>
      </c>
      <c r="AI220" s="194">
        <f t="shared" si="50"/>
        <v>8.798735108280055E-2</v>
      </c>
      <c r="AJ220" s="194">
        <f t="shared" si="50"/>
        <v>8.2820990089968544E-2</v>
      </c>
      <c r="AK220" s="194">
        <f t="shared" si="50"/>
        <v>0.1307110312333942</v>
      </c>
      <c r="AL220" s="210">
        <f t="shared" si="50"/>
        <v>9.8577134878206116E-2</v>
      </c>
      <c r="AM220" s="194">
        <f t="shared" si="50"/>
        <v>8.7022464118345813E-2</v>
      </c>
      <c r="AN220" s="194">
        <f t="shared" si="50"/>
        <v>8.3089058982517089E-2</v>
      </c>
      <c r="AO220" s="194">
        <f t="shared" si="50"/>
        <v>7.8332036455330933E-2</v>
      </c>
      <c r="AP220" s="194">
        <f t="shared" si="50"/>
        <v>0.12611722874232098</v>
      </c>
      <c r="AQ220" s="210">
        <f t="shared" si="50"/>
        <v>9.410866627522442E-2</v>
      </c>
    </row>
    <row r="221" spans="1:43" s="111" customFormat="1" outlineLevel="1" x14ac:dyDescent="0.3">
      <c r="B221" s="720" t="s">
        <v>535</v>
      </c>
      <c r="C221" s="721"/>
      <c r="D221" s="194">
        <f t="shared" ref="D221:AQ221" si="51">+D27/D13</f>
        <v>9.3167196025734991E-2</v>
      </c>
      <c r="E221" s="194">
        <f t="shared" si="51"/>
        <v>9.1303300409539864E-2</v>
      </c>
      <c r="F221" s="194">
        <f t="shared" si="51"/>
        <v>6.8278805120910391E-2</v>
      </c>
      <c r="G221" s="194">
        <f t="shared" si="51"/>
        <v>-5.2392326065182218E-3</v>
      </c>
      <c r="H221" s="236">
        <f t="shared" si="51"/>
        <v>6.1094013699990075E-2</v>
      </c>
      <c r="I221" s="194">
        <f t="shared" si="51"/>
        <v>8.3168519402577912E-2</v>
      </c>
      <c r="J221" s="194">
        <f t="shared" si="51"/>
        <v>7.4509409952447925E-2</v>
      </c>
      <c r="K221" s="194">
        <f t="shared" si="51"/>
        <v>6.601320264052811E-2</v>
      </c>
      <c r="L221" s="194">
        <f t="shared" si="51"/>
        <v>0.10376398779247202</v>
      </c>
      <c r="M221" s="236">
        <f t="shared" si="51"/>
        <v>8.2130008786617817E-2</v>
      </c>
      <c r="N221" s="194">
        <f t="shared" si="51"/>
        <v>7.125580179120089E-2</v>
      </c>
      <c r="O221" s="194">
        <f t="shared" si="51"/>
        <v>7.5829093361123034E-2</v>
      </c>
      <c r="P221" s="194">
        <f t="shared" si="51"/>
        <v>5.8332324821493406E-2</v>
      </c>
      <c r="Q221" s="194">
        <f t="shared" si="51"/>
        <v>0.10599009206019853</v>
      </c>
      <c r="R221" s="236">
        <f t="shared" si="51"/>
        <v>7.8336377882052999E-2</v>
      </c>
      <c r="S221" s="194">
        <f t="shared" si="51"/>
        <v>6.9903823598404885E-2</v>
      </c>
      <c r="T221" s="194">
        <f t="shared" si="51"/>
        <v>7.9985420648134076E-2</v>
      </c>
      <c r="U221" s="194">
        <f t="shared" si="51"/>
        <v>7.679468304580063E-2</v>
      </c>
      <c r="V221" s="194">
        <f t="shared" si="51"/>
        <v>0.11597057942752362</v>
      </c>
      <c r="W221" s="423">
        <f t="shared" si="51"/>
        <v>8.6198596137723016E-2</v>
      </c>
      <c r="X221" s="194">
        <f t="shared" si="51"/>
        <v>8.8369426391857936E-2</v>
      </c>
      <c r="Y221" s="194">
        <f t="shared" si="51"/>
        <v>8.7808624550302902E-2</v>
      </c>
      <c r="Z221" s="194">
        <f t="shared" si="51"/>
        <v>8.1620137933139297E-2</v>
      </c>
      <c r="AA221" s="194">
        <f t="shared" si="51"/>
        <v>0.12654368063304286</v>
      </c>
      <c r="AB221" s="210">
        <f t="shared" si="51"/>
        <v>9.654671614840464E-2</v>
      </c>
      <c r="AC221" s="194">
        <f t="shared" si="51"/>
        <v>9.5991217673878526E-2</v>
      </c>
      <c r="AD221" s="194">
        <f t="shared" si="51"/>
        <v>9.4272249841315922E-2</v>
      </c>
      <c r="AE221" s="194">
        <f t="shared" si="51"/>
        <v>8.8689209774412123E-2</v>
      </c>
      <c r="AF221" s="194">
        <f t="shared" si="51"/>
        <v>0.13390589436408326</v>
      </c>
      <c r="AG221" s="210">
        <f t="shared" si="51"/>
        <v>0.10368831682190818</v>
      </c>
      <c r="AH221" s="194">
        <f t="shared" si="51"/>
        <v>9.0829579525776596E-2</v>
      </c>
      <c r="AI221" s="194">
        <f t="shared" si="51"/>
        <v>8.798735108280055E-2</v>
      </c>
      <c r="AJ221" s="194">
        <f t="shared" si="51"/>
        <v>8.2820990089968544E-2</v>
      </c>
      <c r="AK221" s="194">
        <f t="shared" si="51"/>
        <v>0.12820248510205381</v>
      </c>
      <c r="AL221" s="210">
        <f t="shared" si="51"/>
        <v>9.7919260766882468E-2</v>
      </c>
      <c r="AM221" s="194">
        <f t="shared" si="51"/>
        <v>8.7022464118345813E-2</v>
      </c>
      <c r="AN221" s="194">
        <f t="shared" si="51"/>
        <v>8.3089058982517089E-2</v>
      </c>
      <c r="AO221" s="194">
        <f t="shared" si="51"/>
        <v>7.8332036455330933E-2</v>
      </c>
      <c r="AP221" s="194">
        <f t="shared" si="51"/>
        <v>0.12371792182208247</v>
      </c>
      <c r="AQ221" s="210">
        <f t="shared" si="51"/>
        <v>9.3480333910499966E-2</v>
      </c>
    </row>
    <row r="222" spans="1:43" s="111" customFormat="1" outlineLevel="1" x14ac:dyDescent="0.3">
      <c r="B222" s="534" t="s">
        <v>537</v>
      </c>
      <c r="C222" s="535"/>
      <c r="D222" s="194"/>
      <c r="E222" s="194"/>
      <c r="F222" s="194"/>
      <c r="G222" s="194"/>
      <c r="H222" s="236"/>
      <c r="I222" s="194"/>
      <c r="J222" s="194"/>
      <c r="K222" s="194"/>
      <c r="L222" s="194"/>
      <c r="M222" s="236">
        <f>+M45/H45-1</f>
        <v>0.85705339645100276</v>
      </c>
      <c r="N222" s="194"/>
      <c r="O222" s="194"/>
      <c r="P222" s="194"/>
      <c r="Q222" s="194"/>
      <c r="R222" s="236">
        <f>+R45/M45-1</f>
        <v>0.26678573434812791</v>
      </c>
      <c r="S222" s="194"/>
      <c r="T222" s="194"/>
      <c r="U222" s="194"/>
      <c r="V222" s="194"/>
      <c r="W222" s="236">
        <f>+W45/R45-1</f>
        <v>0.13393369555119561</v>
      </c>
      <c r="X222" s="194"/>
      <c r="Y222" s="194"/>
      <c r="Z222" s="194"/>
      <c r="AA222" s="194"/>
      <c r="AB222" s="236">
        <f>+AB45/W45-1</f>
        <v>0.15976578653359663</v>
      </c>
      <c r="AC222" s="194"/>
      <c r="AD222" s="194"/>
      <c r="AE222" s="194"/>
      <c r="AF222" s="194"/>
      <c r="AG222" s="236">
        <f>+AG45/AB45-1</f>
        <v>0.12438325920295012</v>
      </c>
      <c r="AH222" s="194"/>
      <c r="AI222" s="194"/>
      <c r="AJ222" s="194"/>
      <c r="AK222" s="194"/>
      <c r="AL222" s="236">
        <f>+AL45/AG45-1</f>
        <v>-1.9733335084246129E-2</v>
      </c>
      <c r="AM222" s="194"/>
      <c r="AN222" s="194"/>
      <c r="AO222" s="194"/>
      <c r="AP222" s="194"/>
      <c r="AQ222" s="236">
        <f>+AQ45/AL45-1</f>
        <v>-1.9937128016347505E-2</v>
      </c>
    </row>
    <row r="223" spans="1:43" outlineLevel="1" x14ac:dyDescent="0.3">
      <c r="B223" s="237" t="s">
        <v>302</v>
      </c>
      <c r="C223" s="96"/>
      <c r="D223" s="235">
        <f t="shared" ref="D223:AQ223" si="52">+D15/D13</f>
        <v>0.36851535141298153</v>
      </c>
      <c r="E223" s="235">
        <f t="shared" si="52"/>
        <v>0.36697984421424557</v>
      </c>
      <c r="F223" s="235">
        <f t="shared" si="52"/>
        <v>0.37237237237237236</v>
      </c>
      <c r="G223" s="235">
        <f t="shared" si="52"/>
        <v>0.3678249479929116</v>
      </c>
      <c r="H223" s="210">
        <f t="shared" si="52"/>
        <v>0.36892683411098975</v>
      </c>
      <c r="I223" s="235">
        <f t="shared" si="52"/>
        <v>0.36220418741048899</v>
      </c>
      <c r="J223" s="235">
        <f t="shared" si="52"/>
        <v>0.35851583952849775</v>
      </c>
      <c r="K223" s="235">
        <f t="shared" si="52"/>
        <v>0.35973861438954458</v>
      </c>
      <c r="L223" s="235">
        <f t="shared" si="52"/>
        <v>0.34861393692777215</v>
      </c>
      <c r="M223" s="210">
        <f t="shared" si="52"/>
        <v>0.35713456788076725</v>
      </c>
      <c r="N223" s="235">
        <f t="shared" si="52"/>
        <v>0.36072432503105184</v>
      </c>
      <c r="O223" s="235">
        <f t="shared" si="52"/>
        <v>0.35198921105866487</v>
      </c>
      <c r="P223" s="235">
        <f t="shared" si="52"/>
        <v>0.3619145588769212</v>
      </c>
      <c r="Q223" s="235">
        <f t="shared" si="52"/>
        <v>0.34457413985198371</v>
      </c>
      <c r="R223" s="210">
        <f t="shared" si="52"/>
        <v>0.35457533077750103</v>
      </c>
      <c r="S223" s="235">
        <f t="shared" si="52"/>
        <v>0.36711236218625382</v>
      </c>
      <c r="T223" s="235">
        <f t="shared" si="52"/>
        <v>0.34925825203316618</v>
      </c>
      <c r="U223" s="235">
        <f t="shared" si="52"/>
        <v>0.3579015976836008</v>
      </c>
      <c r="V223" s="235">
        <f t="shared" si="52"/>
        <v>0.34145544798768673</v>
      </c>
      <c r="W223" s="210">
        <f t="shared" si="52"/>
        <v>0.35364467290131413</v>
      </c>
      <c r="X223" s="235">
        <f t="shared" si="52"/>
        <v>0.36136374214755695</v>
      </c>
      <c r="Y223" s="235">
        <f t="shared" si="52"/>
        <v>0.3456993714830805</v>
      </c>
      <c r="Z223" s="235">
        <f t="shared" si="52"/>
        <v>0.35410479329032379</v>
      </c>
      <c r="AA223" s="235">
        <f t="shared" si="52"/>
        <v>0.33749067499864871</v>
      </c>
      <c r="AB223" s="210">
        <f t="shared" si="52"/>
        <v>0.34940608097927989</v>
      </c>
      <c r="AC223" s="235">
        <f t="shared" si="52"/>
        <v>0.35559525459495767</v>
      </c>
      <c r="AD223" s="235">
        <f t="shared" si="52"/>
        <v>0.34073714207304234</v>
      </c>
      <c r="AE223" s="235">
        <f t="shared" si="52"/>
        <v>0.34886255717117054</v>
      </c>
      <c r="AF223" s="235">
        <f t="shared" si="52"/>
        <v>0.33214714005180879</v>
      </c>
      <c r="AG223" s="210">
        <f t="shared" si="52"/>
        <v>0.34407722079145342</v>
      </c>
      <c r="AH223" s="235">
        <f t="shared" si="52"/>
        <v>0.35624159227813101</v>
      </c>
      <c r="AI223" s="235">
        <f t="shared" si="52"/>
        <v>0.34184334228689445</v>
      </c>
      <c r="AJ223" s="235">
        <f t="shared" si="52"/>
        <v>0.34982647620041113</v>
      </c>
      <c r="AK223" s="235">
        <f t="shared" si="52"/>
        <v>0.33304756062518481</v>
      </c>
      <c r="AL223" s="210">
        <f t="shared" si="52"/>
        <v>0.34499036991325754</v>
      </c>
      <c r="AM223" s="235">
        <f t="shared" si="52"/>
        <v>0.35694341074451669</v>
      </c>
      <c r="AN223" s="235">
        <f t="shared" si="52"/>
        <v>0.34296170442227808</v>
      </c>
      <c r="AO223" s="235">
        <f t="shared" si="52"/>
        <v>0.35079561343085625</v>
      </c>
      <c r="AP223" s="235">
        <f t="shared" si="52"/>
        <v>0.33398119403910675</v>
      </c>
      <c r="AQ223" s="210">
        <f t="shared" si="52"/>
        <v>0.34593195410298622</v>
      </c>
    </row>
    <row r="224" spans="1:43" outlineLevel="1" x14ac:dyDescent="0.3">
      <c r="B224" s="286" t="s">
        <v>301</v>
      </c>
      <c r="C224" s="285"/>
      <c r="D224" s="235">
        <f t="shared" ref="D224:AQ224" si="53">+D16/D13</f>
        <v>0.19089502402475772</v>
      </c>
      <c r="E224" s="235">
        <f t="shared" si="53"/>
        <v>0.20380631173211275</v>
      </c>
      <c r="F224" s="235">
        <f t="shared" si="53"/>
        <v>0.20728623360202308</v>
      </c>
      <c r="G224" s="235">
        <f t="shared" si="53"/>
        <v>0.18961399183296093</v>
      </c>
      <c r="H224" s="210">
        <f t="shared" si="53"/>
        <v>0.19787550878586319</v>
      </c>
      <c r="I224" s="235">
        <f t="shared" si="53"/>
        <v>0.22096433199208892</v>
      </c>
      <c r="J224" s="235">
        <f t="shared" si="53"/>
        <v>0.22979036903087535</v>
      </c>
      <c r="K224" s="235">
        <f t="shared" si="53"/>
        <v>0.23324664932986597</v>
      </c>
      <c r="L224" s="235">
        <f t="shared" si="53"/>
        <v>0.2200534079348932</v>
      </c>
      <c r="M224" s="210">
        <f t="shared" si="53"/>
        <v>0.22596528457036755</v>
      </c>
      <c r="N224" s="235">
        <f t="shared" si="53"/>
        <v>0.22520755703732759</v>
      </c>
      <c r="O224" s="235">
        <f t="shared" si="53"/>
        <v>0.23539508367559614</v>
      </c>
      <c r="P224" s="235">
        <f t="shared" si="53"/>
        <v>0.23810964540723709</v>
      </c>
      <c r="Q224" s="235">
        <f t="shared" si="53"/>
        <v>0.2241522354618754</v>
      </c>
      <c r="R224" s="210">
        <f t="shared" si="53"/>
        <v>0.23072530142073699</v>
      </c>
      <c r="S224" s="235">
        <f t="shared" si="53"/>
        <v>0.23264133239502699</v>
      </c>
      <c r="T224" s="235">
        <f t="shared" si="53"/>
        <v>0.23356873699187708</v>
      </c>
      <c r="U224" s="235">
        <f t="shared" si="53"/>
        <v>0.23546945107590189</v>
      </c>
      <c r="V224" s="235">
        <f t="shared" si="53"/>
        <v>0.22212346524307949</v>
      </c>
      <c r="W224" s="210">
        <f t="shared" si="53"/>
        <v>0.23082734048811218</v>
      </c>
      <c r="X224" s="235">
        <f t="shared" si="53"/>
        <v>0.22899839698072821</v>
      </c>
      <c r="Y224" s="235">
        <f t="shared" si="53"/>
        <v>0.2311887123815794</v>
      </c>
      <c r="Z224" s="235">
        <f t="shared" si="53"/>
        <v>0.23297146992098711</v>
      </c>
      <c r="AA224" s="235">
        <f t="shared" si="53"/>
        <v>0.2195443026600328</v>
      </c>
      <c r="AB224" s="210">
        <f t="shared" si="53"/>
        <v>0.22805814167379912</v>
      </c>
      <c r="AC224" s="235">
        <f t="shared" si="53"/>
        <v>0.22534287140226791</v>
      </c>
      <c r="AD224" s="235">
        <f t="shared" si="53"/>
        <v>0.22787018905616208</v>
      </c>
      <c r="AE224" s="235">
        <f t="shared" si="53"/>
        <v>0.2295225150423936</v>
      </c>
      <c r="AF224" s="235">
        <f t="shared" si="53"/>
        <v>0.21606822838435635</v>
      </c>
      <c r="AG224" s="210">
        <f t="shared" si="53"/>
        <v>0.22458120013300678</v>
      </c>
      <c r="AH224" s="235">
        <f t="shared" si="53"/>
        <v>0.22575245951555048</v>
      </c>
      <c r="AI224" s="235">
        <f t="shared" si="53"/>
        <v>0.22860996767357625</v>
      </c>
      <c r="AJ224" s="235">
        <f t="shared" si="53"/>
        <v>0.23015669350419959</v>
      </c>
      <c r="AK224" s="235">
        <f t="shared" si="53"/>
        <v>0.2166539696256021</v>
      </c>
      <c r="AL224" s="210">
        <f t="shared" si="53"/>
        <v>0.22517750002938822</v>
      </c>
      <c r="AM224" s="235">
        <f t="shared" si="53"/>
        <v>0.22619720613793898</v>
      </c>
      <c r="AN224" s="235">
        <f t="shared" si="53"/>
        <v>0.22935787965544197</v>
      </c>
      <c r="AO224" s="235">
        <f t="shared" si="53"/>
        <v>0.2307943051079116</v>
      </c>
      <c r="AP224" s="235">
        <f t="shared" si="53"/>
        <v>0.21726131647096436</v>
      </c>
      <c r="AQ224" s="210">
        <f t="shared" si="53"/>
        <v>0.22579136574432135</v>
      </c>
    </row>
    <row r="225" spans="2:43" outlineLevel="1" x14ac:dyDescent="0.3">
      <c r="B225" s="237" t="s">
        <v>300</v>
      </c>
      <c r="C225" s="96"/>
      <c r="D225" s="235">
        <f t="shared" ref="D225:AQ225" si="54">+D19/D13</f>
        <v>5.7985177946086812E-2</v>
      </c>
      <c r="E225" s="235">
        <f t="shared" si="54"/>
        <v>4.9385690195133704E-2</v>
      </c>
      <c r="F225" s="235">
        <f t="shared" si="54"/>
        <v>4.2437174016121383E-2</v>
      </c>
      <c r="G225" s="235">
        <f t="shared" si="54"/>
        <v>4.1220433007165422E-2</v>
      </c>
      <c r="H225" s="210">
        <f t="shared" si="54"/>
        <v>4.7632284324431652E-2</v>
      </c>
      <c r="I225" s="235">
        <f t="shared" si="54"/>
        <v>4.4329264134215375E-2</v>
      </c>
      <c r="J225" s="235">
        <f t="shared" si="54"/>
        <v>4.4069385841537738E-2</v>
      </c>
      <c r="K225" s="235">
        <f t="shared" si="54"/>
        <v>4.9009801960392077E-2</v>
      </c>
      <c r="L225" s="235">
        <f t="shared" si="54"/>
        <v>4.6414038657171926E-2</v>
      </c>
      <c r="M225" s="210">
        <f t="shared" si="54"/>
        <v>4.5972247550523052E-2</v>
      </c>
      <c r="N225" s="235">
        <f t="shared" si="54"/>
        <v>4.5956723540563509E-2</v>
      </c>
      <c r="O225" s="235">
        <f t="shared" si="54"/>
        <v>5.0144056887145225E-2</v>
      </c>
      <c r="P225" s="235">
        <f t="shared" si="54"/>
        <v>5.5306789301706405E-2</v>
      </c>
      <c r="Q225" s="235">
        <f t="shared" si="54"/>
        <v>5.4233174207343728E-2</v>
      </c>
      <c r="R225" s="210">
        <f t="shared" si="54"/>
        <v>5.1550703065596094E-2</v>
      </c>
      <c r="S225" s="235">
        <f t="shared" si="54"/>
        <v>5.7823129251700682E-2</v>
      </c>
      <c r="T225" s="235">
        <f t="shared" si="54"/>
        <v>5.5776599775378508E-2</v>
      </c>
      <c r="U225" s="235">
        <f t="shared" si="54"/>
        <v>5.1511249386243005E-2</v>
      </c>
      <c r="V225" s="235">
        <f t="shared" si="54"/>
        <v>5.4566286674538729E-2</v>
      </c>
      <c r="W225" s="210">
        <f t="shared" si="54"/>
        <v>5.4879917792652368E-2</v>
      </c>
      <c r="X225" s="235">
        <f t="shared" si="54"/>
        <v>5.2048715767618957E-2</v>
      </c>
      <c r="Y225" s="235">
        <f t="shared" si="54"/>
        <v>5.1648830852858298E-2</v>
      </c>
      <c r="Z225" s="235">
        <f t="shared" si="54"/>
        <v>5.1036402958231565E-2</v>
      </c>
      <c r="AA225" s="235">
        <f t="shared" si="54"/>
        <v>4.8955133771760501E-2</v>
      </c>
      <c r="AB225" s="210">
        <f t="shared" si="54"/>
        <v>5.0885005799095294E-2</v>
      </c>
      <c r="AC225" s="235">
        <f t="shared" si="54"/>
        <v>5.1872863187461683E-2</v>
      </c>
      <c r="AD225" s="235">
        <f t="shared" si="54"/>
        <v>5.1450910167560128E-2</v>
      </c>
      <c r="AE225" s="235">
        <f t="shared" si="54"/>
        <v>5.0882757087789436E-2</v>
      </c>
      <c r="AF225" s="235">
        <f t="shared" si="54"/>
        <v>4.8958875393920465E-2</v>
      </c>
      <c r="AG225" s="210">
        <f t="shared" si="54"/>
        <v>5.075525180934308E-2</v>
      </c>
      <c r="AH225" s="235">
        <f t="shared" si="54"/>
        <v>5.373078598979928E-2</v>
      </c>
      <c r="AI225" s="235">
        <f t="shared" si="54"/>
        <v>5.3262906295139842E-2</v>
      </c>
      <c r="AJ225" s="235">
        <f t="shared" si="54"/>
        <v>5.2702269747257974E-2</v>
      </c>
      <c r="AK225" s="235">
        <f t="shared" si="54"/>
        <v>5.0793884238202268E-2</v>
      </c>
      <c r="AL225" s="210">
        <f t="shared" si="54"/>
        <v>5.258691965998722E-2</v>
      </c>
      <c r="AM225" s="235">
        <f t="shared" si="54"/>
        <v>5.4003471523483872E-2</v>
      </c>
      <c r="AN225" s="235">
        <f t="shared" si="54"/>
        <v>5.3534444846290233E-2</v>
      </c>
      <c r="AO225" s="235">
        <f t="shared" si="54"/>
        <v>5.2981443790434686E-2</v>
      </c>
      <c r="AP225" s="235">
        <f t="shared" si="54"/>
        <v>5.118252616123152E-2</v>
      </c>
      <c r="AQ225" s="210">
        <f t="shared" si="54"/>
        <v>5.2892444237485826E-2</v>
      </c>
    </row>
    <row r="226" spans="2:43" s="111" customFormat="1" outlineLevel="1" x14ac:dyDescent="0.3">
      <c r="B226" s="730" t="s">
        <v>2</v>
      </c>
      <c r="C226" s="731"/>
      <c r="D226" s="366">
        <f t="shared" ref="D226:S226" si="55">+D37/D35</f>
        <v>0.36162361623616235</v>
      </c>
      <c r="E226" s="366">
        <f t="shared" si="55"/>
        <v>0.34502369668246446</v>
      </c>
      <c r="F226" s="366">
        <f t="shared" si="55"/>
        <v>0.35166240409207161</v>
      </c>
      <c r="G226" s="366">
        <f t="shared" si="55"/>
        <v>0.61325966850828728</v>
      </c>
      <c r="H226" s="367">
        <f t="shared" si="55"/>
        <v>0.33576642335766421</v>
      </c>
      <c r="I226" s="366">
        <f t="shared" si="55"/>
        <v>0.37390542907180385</v>
      </c>
      <c r="J226" s="366">
        <f t="shared" si="55"/>
        <v>0.35064935064935066</v>
      </c>
      <c r="K226" s="366">
        <f t="shared" si="55"/>
        <v>0.37486095661846497</v>
      </c>
      <c r="L226" s="366">
        <f t="shared" si="55"/>
        <v>0.30136986301369861</v>
      </c>
      <c r="M226" s="367">
        <f t="shared" si="55"/>
        <v>0.34549028172089974</v>
      </c>
      <c r="N226" s="366">
        <f t="shared" si="55"/>
        <v>0.39307535641547864</v>
      </c>
      <c r="O226" s="366">
        <f t="shared" si="55"/>
        <v>0.31957857769973663</v>
      </c>
      <c r="P226" s="366">
        <f t="shared" si="55"/>
        <v>-1.3729977116704806</v>
      </c>
      <c r="Q226" s="366">
        <f t="shared" si="55"/>
        <v>0.17008733828723618</v>
      </c>
      <c r="R226" s="367">
        <f t="shared" si="55"/>
        <v>-5.0308677204853956E-2</v>
      </c>
      <c r="S226" s="366">
        <f t="shared" si="55"/>
        <v>0.24159854677565848</v>
      </c>
      <c r="T226" s="365">
        <v>0.25</v>
      </c>
      <c r="U226" s="365">
        <v>0.25</v>
      </c>
      <c r="V226" s="365">
        <v>0.25</v>
      </c>
      <c r="W226" s="367">
        <f>+W37/W35</f>
        <v>0.24845273634256348</v>
      </c>
      <c r="X226" s="310">
        <v>0.25</v>
      </c>
      <c r="Y226" s="310">
        <f>X226</f>
        <v>0.25</v>
      </c>
      <c r="Z226" s="310">
        <f>Y226</f>
        <v>0.25</v>
      </c>
      <c r="AA226" s="310">
        <f>Z226</f>
        <v>0.25</v>
      </c>
      <c r="AB226" s="367">
        <f>+AB37/AB35</f>
        <v>0.25</v>
      </c>
      <c r="AC226" s="310">
        <f>AA226</f>
        <v>0.25</v>
      </c>
      <c r="AD226" s="310">
        <f>AC226</f>
        <v>0.25</v>
      </c>
      <c r="AE226" s="310">
        <f>AD226</f>
        <v>0.25</v>
      </c>
      <c r="AF226" s="310">
        <f>AE226</f>
        <v>0.25</v>
      </c>
      <c r="AG226" s="367">
        <f>+AG37/AG35</f>
        <v>0.24999999999999978</v>
      </c>
      <c r="AH226" s="310">
        <f>AF226</f>
        <v>0.25</v>
      </c>
      <c r="AI226" s="310">
        <f>AH226</f>
        <v>0.25</v>
      </c>
      <c r="AJ226" s="310">
        <f>AI226</f>
        <v>0.25</v>
      </c>
      <c r="AK226" s="310">
        <f>AJ226</f>
        <v>0.25</v>
      </c>
      <c r="AL226" s="367">
        <f>+AL37/AL35</f>
        <v>0.25000000000000033</v>
      </c>
      <c r="AM226" s="310">
        <f>AK226</f>
        <v>0.25</v>
      </c>
      <c r="AN226" s="310">
        <f>AM226</f>
        <v>0.25</v>
      </c>
      <c r="AO226" s="310">
        <f>AN226</f>
        <v>0.25</v>
      </c>
      <c r="AP226" s="310">
        <f>AO226</f>
        <v>0.25</v>
      </c>
      <c r="AQ226" s="367">
        <f>+AQ37/AQ35</f>
        <v>0.24999999999999967</v>
      </c>
    </row>
    <row r="227" spans="2:43" outlineLevel="1" x14ac:dyDescent="0.3">
      <c r="B227" s="724" t="s">
        <v>407</v>
      </c>
      <c r="C227" s="725"/>
      <c r="D227" s="368"/>
      <c r="E227" s="369"/>
      <c r="F227" s="369"/>
      <c r="G227" s="369"/>
      <c r="H227" s="370"/>
      <c r="I227" s="369"/>
      <c r="J227" s="369"/>
      <c r="K227" s="369"/>
      <c r="L227" s="369"/>
      <c r="M227" s="370">
        <f>+M30/((M249+H249)/2)</f>
        <v>8.7964814074370252E-3</v>
      </c>
      <c r="N227" s="369"/>
      <c r="O227" s="369"/>
      <c r="P227" s="369"/>
      <c r="Q227" s="369"/>
      <c r="R227" s="370">
        <f>+R30/((R249+M249)/2)</f>
        <v>1.3270435549487699E-2</v>
      </c>
      <c r="S227" s="246">
        <f t="shared" ref="S227:V228" si="56">+R227</f>
        <v>1.3270435549487699E-2</v>
      </c>
      <c r="T227" s="246">
        <v>1.2999999999999999E-2</v>
      </c>
      <c r="U227" s="246">
        <f t="shared" si="56"/>
        <v>1.2999999999999999E-2</v>
      </c>
      <c r="V227" s="246">
        <f t="shared" si="56"/>
        <v>1.2999999999999999E-2</v>
      </c>
      <c r="W227" s="370">
        <f>+W30/((W249+R249)/2)</f>
        <v>2.6743394559533732E-2</v>
      </c>
      <c r="X227" s="246">
        <f t="shared" ref="X227:AA228" si="57">+W227</f>
        <v>2.6743394559533732E-2</v>
      </c>
      <c r="Y227" s="246">
        <f t="shared" si="57"/>
        <v>2.6743394559533732E-2</v>
      </c>
      <c r="Z227" s="246">
        <f t="shared" si="57"/>
        <v>2.6743394559533732E-2</v>
      </c>
      <c r="AA227" s="246">
        <f t="shared" si="57"/>
        <v>2.6743394559533732E-2</v>
      </c>
      <c r="AB227" s="370">
        <f>+AB30/((AB249+W249)/2)</f>
        <v>2.2169584081938077E-2</v>
      </c>
      <c r="AC227" s="246">
        <f t="shared" ref="AC227:AF228" si="58">+AB227</f>
        <v>2.2169584081938077E-2</v>
      </c>
      <c r="AD227" s="246">
        <f t="shared" si="58"/>
        <v>2.2169584081938077E-2</v>
      </c>
      <c r="AE227" s="246">
        <f t="shared" si="58"/>
        <v>2.2169584081938077E-2</v>
      </c>
      <c r="AF227" s="246">
        <f t="shared" si="58"/>
        <v>2.2169584081938077E-2</v>
      </c>
      <c r="AG227" s="370">
        <f>+AG30/((AG249+AB249)/2)</f>
        <v>1.9596664526845581E-2</v>
      </c>
      <c r="AH227" s="246">
        <f t="shared" ref="AH227:AK228" si="59">+AG227</f>
        <v>1.9596664526845581E-2</v>
      </c>
      <c r="AI227" s="246">
        <f t="shared" si="59"/>
        <v>1.9596664526845581E-2</v>
      </c>
      <c r="AJ227" s="246">
        <f t="shared" si="59"/>
        <v>1.9596664526845581E-2</v>
      </c>
      <c r="AK227" s="246">
        <f t="shared" si="59"/>
        <v>1.9596664526845581E-2</v>
      </c>
      <c r="AL227" s="370">
        <f>+AL30/((AL249+AG249)/2)</f>
        <v>1.8001033096915715E-2</v>
      </c>
      <c r="AM227" s="246">
        <f t="shared" ref="AM227:AP228" si="60">+AL227</f>
        <v>1.8001033096915715E-2</v>
      </c>
      <c r="AN227" s="246">
        <f t="shared" si="60"/>
        <v>1.8001033096915715E-2</v>
      </c>
      <c r="AO227" s="246">
        <f t="shared" si="60"/>
        <v>1.8001033096915715E-2</v>
      </c>
      <c r="AP227" s="246">
        <f t="shared" si="60"/>
        <v>1.8001033096915715E-2</v>
      </c>
      <c r="AQ227" s="370">
        <f>+AQ30/((AQ249+AL249)/2)</f>
        <v>1.6817031004896042E-2</v>
      </c>
    </row>
    <row r="228" spans="2:43" outlineLevel="1" x14ac:dyDescent="0.3">
      <c r="B228" s="178" t="s">
        <v>406</v>
      </c>
      <c r="C228" s="128"/>
      <c r="D228" s="368"/>
      <c r="E228" s="369"/>
      <c r="F228" s="369"/>
      <c r="G228" s="369"/>
      <c r="H228" s="371"/>
      <c r="I228" s="369"/>
      <c r="J228" s="369"/>
      <c r="K228" s="369"/>
      <c r="L228" s="369"/>
      <c r="M228" s="370">
        <f>+M29/((M263+M268+H263+H268)/2)</f>
        <v>-3.5688146934792456E-2</v>
      </c>
      <c r="N228" s="369"/>
      <c r="O228" s="369"/>
      <c r="P228" s="369"/>
      <c r="Q228" s="369"/>
      <c r="R228" s="370">
        <f>+R29/((R263+R268+M263+M268)/2)</f>
        <v>-3.5410585099631936E-2</v>
      </c>
      <c r="S228" s="246">
        <f t="shared" si="56"/>
        <v>-3.5410585099631936E-2</v>
      </c>
      <c r="T228" s="246">
        <v>-3.5000000000000003E-2</v>
      </c>
      <c r="U228" s="246">
        <f t="shared" si="56"/>
        <v>-3.5000000000000003E-2</v>
      </c>
      <c r="V228" s="246">
        <f t="shared" si="56"/>
        <v>-3.5000000000000003E-2</v>
      </c>
      <c r="W228" s="370">
        <f>+W29/((W263+W268+R263+R268)/2)</f>
        <v>-3.7223187354209847E-2</v>
      </c>
      <c r="X228" s="246">
        <f t="shared" si="57"/>
        <v>-3.7223187354209847E-2</v>
      </c>
      <c r="Y228" s="246">
        <f t="shared" si="57"/>
        <v>-3.7223187354209847E-2</v>
      </c>
      <c r="Z228" s="246">
        <f t="shared" si="57"/>
        <v>-3.7223187354209847E-2</v>
      </c>
      <c r="AA228" s="246">
        <f t="shared" si="57"/>
        <v>-3.7223187354209847E-2</v>
      </c>
      <c r="AB228" s="370">
        <f>+AB29/((AB263+AB268+W263+W268)/2)</f>
        <v>-3.6662289209040202E-2</v>
      </c>
      <c r="AC228" s="246">
        <f t="shared" si="58"/>
        <v>-3.6662289209040202E-2</v>
      </c>
      <c r="AD228" s="246">
        <f t="shared" si="58"/>
        <v>-3.6662289209040202E-2</v>
      </c>
      <c r="AE228" s="246">
        <f t="shared" si="58"/>
        <v>-3.6662289209040202E-2</v>
      </c>
      <c r="AF228" s="246">
        <f t="shared" si="58"/>
        <v>-3.6662289209040202E-2</v>
      </c>
      <c r="AG228" s="370">
        <f>+AG29/((AG263+AG268+AB263+AB268)/2)</f>
        <v>-3.6197858397952559E-2</v>
      </c>
      <c r="AH228" s="246">
        <f t="shared" si="59"/>
        <v>-3.6197858397952559E-2</v>
      </c>
      <c r="AI228" s="246">
        <f t="shared" si="59"/>
        <v>-3.6197858397952559E-2</v>
      </c>
      <c r="AJ228" s="246">
        <f t="shared" si="59"/>
        <v>-3.6197858397952559E-2</v>
      </c>
      <c r="AK228" s="246">
        <f t="shared" si="59"/>
        <v>-3.6197858397952559E-2</v>
      </c>
      <c r="AL228" s="370">
        <f>+AL29/((AL263+AL268+AG263+AG268)/2)</f>
        <v>-3.5960833411101394E-2</v>
      </c>
      <c r="AM228" s="246">
        <f t="shared" si="60"/>
        <v>-3.5960833411101394E-2</v>
      </c>
      <c r="AN228" s="246">
        <f t="shared" si="60"/>
        <v>-3.5960833411101394E-2</v>
      </c>
      <c r="AO228" s="246">
        <f t="shared" si="60"/>
        <v>-3.5960833411101394E-2</v>
      </c>
      <c r="AP228" s="246">
        <f t="shared" si="60"/>
        <v>-3.5960833411101394E-2</v>
      </c>
      <c r="AQ228" s="370">
        <f>+AQ29/((AQ263+AQ268+AL263+AL268)/2)</f>
        <v>-3.5816628757924095E-2</v>
      </c>
    </row>
    <row r="229" spans="2:43" ht="15.6" x14ac:dyDescent="0.3">
      <c r="B229" s="705" t="s">
        <v>88</v>
      </c>
      <c r="C229" s="713"/>
      <c r="D229" s="90" t="s">
        <v>71</v>
      </c>
      <c r="E229" s="90" t="s">
        <v>74</v>
      </c>
      <c r="F229" s="90" t="s">
        <v>75</v>
      </c>
      <c r="G229" s="90" t="s">
        <v>78</v>
      </c>
      <c r="H229" s="403" t="s">
        <v>79</v>
      </c>
      <c r="I229" s="90" t="s">
        <v>80</v>
      </c>
      <c r="J229" s="90" t="s">
        <v>91</v>
      </c>
      <c r="K229" s="90" t="s">
        <v>109</v>
      </c>
      <c r="L229" s="90" t="s">
        <v>113</v>
      </c>
      <c r="M229" s="403" t="s">
        <v>114</v>
      </c>
      <c r="N229" s="90" t="s">
        <v>115</v>
      </c>
      <c r="O229" s="90" t="s">
        <v>116</v>
      </c>
      <c r="P229" s="90" t="s">
        <v>117</v>
      </c>
      <c r="Q229" s="90" t="s">
        <v>118</v>
      </c>
      <c r="R229" s="403" t="s">
        <v>119</v>
      </c>
      <c r="S229" s="90" t="s">
        <v>511</v>
      </c>
      <c r="T229" s="92" t="s">
        <v>377</v>
      </c>
      <c r="U229" s="92" t="s">
        <v>378</v>
      </c>
      <c r="V229" s="92" t="s">
        <v>379</v>
      </c>
      <c r="W229" s="407" t="s">
        <v>380</v>
      </c>
      <c r="X229" s="92" t="s">
        <v>381</v>
      </c>
      <c r="Y229" s="92" t="s">
        <v>382</v>
      </c>
      <c r="Z229" s="92" t="s">
        <v>383</v>
      </c>
      <c r="AA229" s="92" t="s">
        <v>384</v>
      </c>
      <c r="AB229" s="407" t="s">
        <v>385</v>
      </c>
      <c r="AC229" s="92" t="s">
        <v>386</v>
      </c>
      <c r="AD229" s="92" t="s">
        <v>387</v>
      </c>
      <c r="AE229" s="92" t="s">
        <v>388</v>
      </c>
      <c r="AF229" s="92" t="s">
        <v>389</v>
      </c>
      <c r="AG229" s="407" t="s">
        <v>390</v>
      </c>
      <c r="AH229" s="92" t="s">
        <v>391</v>
      </c>
      <c r="AI229" s="92" t="s">
        <v>392</v>
      </c>
      <c r="AJ229" s="92" t="s">
        <v>393</v>
      </c>
      <c r="AK229" s="92" t="s">
        <v>394</v>
      </c>
      <c r="AL229" s="407" t="s">
        <v>395</v>
      </c>
      <c r="AM229" s="92" t="s">
        <v>396</v>
      </c>
      <c r="AN229" s="92" t="s">
        <v>397</v>
      </c>
      <c r="AO229" s="92" t="s">
        <v>398</v>
      </c>
      <c r="AP229" s="92" t="s">
        <v>399</v>
      </c>
      <c r="AQ229" s="407" t="s">
        <v>400</v>
      </c>
    </row>
    <row r="230" spans="2:43" outlineLevel="1" x14ac:dyDescent="0.3">
      <c r="B230" s="720" t="s">
        <v>68</v>
      </c>
      <c r="C230" s="721"/>
      <c r="D230" s="194">
        <f>(D41+D234)/283-1</f>
        <v>3.697920946665878E-4</v>
      </c>
      <c r="E230" s="194">
        <f>(E41+E234)/D41-1</f>
        <v>1.3352786723233923E-2</v>
      </c>
      <c r="F230" s="194">
        <f>(F41+F234)/E41-1</f>
        <v>-1.6534967987091864E-3</v>
      </c>
      <c r="G230" s="194">
        <f>(G41+G234)/F41-1</f>
        <v>2.9134173621392367E-3</v>
      </c>
      <c r="H230" s="209"/>
      <c r="I230" s="194">
        <f>(I41+I234)/G41-1</f>
        <v>-8.230703284084262E-3</v>
      </c>
      <c r="J230" s="194">
        <f>(J41+J234)/I41-1</f>
        <v>4.7106921884758624E-3</v>
      </c>
      <c r="K230" s="194">
        <f>(K41+K234)/J41-1</f>
        <v>4.8161398478585582E-4</v>
      </c>
      <c r="L230" s="194">
        <f>(L41+L234)/K41-1</f>
        <v>8.4050081076847416E-3</v>
      </c>
      <c r="M230" s="209"/>
      <c r="N230" s="194">
        <f>(N41+N234)/L41-1</f>
        <v>3.7397157816005944E-3</v>
      </c>
      <c r="O230" s="194">
        <f>(O41+O234)/N41-1</f>
        <v>2.9850746268658135E-3</v>
      </c>
      <c r="P230" s="194">
        <f>(P41+P234)/O41-1</f>
        <v>4.4776119402984982E-3</v>
      </c>
      <c r="Q230" s="194">
        <f>(Q41+Q234)/P41-1</f>
        <v>1.1194029850745135E-3</v>
      </c>
      <c r="R230" s="61"/>
      <c r="S230" s="194">
        <f>(S41+S234)/Q41-1</f>
        <v>4.5570570570570013E-3</v>
      </c>
      <c r="T230" s="246">
        <f>AVERAGE(S230,Q230,P230,O230)+0.21%</f>
        <v>5.384786652323956E-3</v>
      </c>
      <c r="U230" s="246">
        <f>AVERAGE(T230,S230,Q230,P230)+0.1%</f>
        <v>4.8847146586884927E-3</v>
      </c>
      <c r="V230" s="246">
        <f>AVERAGE(U230,T230,S230,Q230)+0.1%</f>
        <v>4.9864903382859909E-3</v>
      </c>
      <c r="W230" s="61"/>
      <c r="X230" s="246">
        <f>AVERAGE(V230,U230,T230,S230)</f>
        <v>4.9532621765888598E-3</v>
      </c>
      <c r="Y230" s="246">
        <f>AVERAGE(X230,V230,U230,T230)</f>
        <v>5.0523134564718249E-3</v>
      </c>
      <c r="Z230" s="246">
        <f>AVERAGE(Y230,X230,V230,U230)</f>
        <v>4.9691951575087916E-3</v>
      </c>
      <c r="AA230" s="246">
        <f>AVERAGE(Z230,Y230,X230,V230)</f>
        <v>4.9903152822138672E-3</v>
      </c>
      <c r="AB230" s="61"/>
      <c r="AC230" s="246">
        <f>AVERAGE(AA230,Z230,Y230,X230)</f>
        <v>4.9912715181958354E-3</v>
      </c>
      <c r="AD230" s="246">
        <f>AVERAGE(AC230,AA230,Z230,Y230)</f>
        <v>5.0007738535975798E-3</v>
      </c>
      <c r="AE230" s="246">
        <f>AVERAGE(AD230,AC230,AA230,Z230)</f>
        <v>4.9878889528790181E-3</v>
      </c>
      <c r="AF230" s="246">
        <f>AVERAGE(AE230,AD230,AC230,AA230)</f>
        <v>4.9925624017215751E-3</v>
      </c>
      <c r="AG230" s="61"/>
      <c r="AH230" s="246">
        <f>AVERAGE(AF230,AE230,AD230,AC230)</f>
        <v>4.9931241815985017E-3</v>
      </c>
      <c r="AI230" s="246">
        <f>AVERAGE(AH230,AF230,AE230,AD230)</f>
        <v>4.9935873474491691E-3</v>
      </c>
      <c r="AJ230" s="246">
        <f>AVERAGE(AI230,AH230,AF230,AE230)</f>
        <v>4.9917907209120656E-3</v>
      </c>
      <c r="AK230" s="246">
        <f>AVERAGE(AJ230,AI230,AH230,AF230)</f>
        <v>4.9927661629203274E-3</v>
      </c>
      <c r="AL230" s="61"/>
      <c r="AM230" s="246">
        <f>AVERAGE(AK230,AJ230,AI230,AH230)</f>
        <v>4.992817103220016E-3</v>
      </c>
      <c r="AN230" s="246">
        <f>AVERAGE(AM230,AK230,AJ230,AI230)</f>
        <v>4.9927403336253945E-3</v>
      </c>
      <c r="AO230" s="246">
        <f>AVERAGE(AN230,AM230,AK230,AJ230)</f>
        <v>4.9925285801694502E-3</v>
      </c>
      <c r="AP230" s="246">
        <f>AVERAGE(AO230,AN230,AM230,AK230)</f>
        <v>4.9927130449837973E-3</v>
      </c>
      <c r="AQ230" s="61"/>
    </row>
    <row r="231" spans="2:43" outlineLevel="1" x14ac:dyDescent="0.3">
      <c r="B231" s="720" t="s">
        <v>69</v>
      </c>
      <c r="C231" s="721"/>
      <c r="D231" s="194">
        <f>(D42+D234)/283-1</f>
        <v>1.4504067713041247E-2</v>
      </c>
      <c r="E231" s="194">
        <f>(E42+E234)/D42-1</f>
        <v>1.0499647953522429E-2</v>
      </c>
      <c r="F231" s="194">
        <f>(F42+F234)/E42-1</f>
        <v>-2.4734982332155209E-3</v>
      </c>
      <c r="G231" s="194">
        <f>(G42+G234)/F42-1</f>
        <v>-8.0274562818112294E-3</v>
      </c>
      <c r="H231" s="209"/>
      <c r="I231" s="194">
        <f>(I42+I234)/G42-1</f>
        <v>6.6391851917522171E-3</v>
      </c>
      <c r="J231" s="194">
        <f>(J42+J234)/I42-1</f>
        <v>4.6407487261377334E-3</v>
      </c>
      <c r="K231" s="194">
        <f>(K42+K234)/J42-1</f>
        <v>4.1781826664926136E-3</v>
      </c>
      <c r="L231" s="194">
        <f>(L42+L234)/K42-1</f>
        <v>5.6669083271001508E-3</v>
      </c>
      <c r="M231" s="209"/>
      <c r="N231" s="194">
        <f>(N42+N234)/L42-1</f>
        <v>2.5763709974235827E-3</v>
      </c>
      <c r="O231" s="194">
        <f>(O42+O234)/N42-1</f>
        <v>6.225305502846501E-3</v>
      </c>
      <c r="P231" s="194">
        <f>(P42+P234)/O42-1</f>
        <v>4.7883806021065123E-3</v>
      </c>
      <c r="Q231" s="194">
        <f>(Q42+Q234)/P42-1</f>
        <v>1.098901098900873E-3</v>
      </c>
      <c r="R231" s="61"/>
      <c r="S231" s="194">
        <f>(S42+S234)/Q42-1</f>
        <v>1.5254237288135908E-3</v>
      </c>
      <c r="T231" s="246">
        <f>AVERAGE(S231,Q231,P231,O231)+0.21%</f>
        <v>5.5095027331668687E-3</v>
      </c>
      <c r="U231" s="246">
        <f>AVERAGE(T231,S231,Q231,P231)+0.1%</f>
        <v>4.2305520407469616E-3</v>
      </c>
      <c r="V231" s="246">
        <f>AVERAGE(U231,T231,S231,Q231)+0.1%</f>
        <v>4.0910949004070735E-3</v>
      </c>
      <c r="W231" s="61"/>
      <c r="X231" s="246">
        <f>AVERAGE(V231,U231,T231,S231)</f>
        <v>3.8391433507836237E-3</v>
      </c>
      <c r="Y231" s="246">
        <f>AVERAGE(X231,V231,U231,T231)</f>
        <v>4.4175732562761316E-3</v>
      </c>
      <c r="Z231" s="246">
        <f>AVERAGE(Y231,X231,V231,U231)</f>
        <v>4.1445908870534481E-3</v>
      </c>
      <c r="AA231" s="246">
        <f>AVERAGE(Z231,Y231,X231,V231)</f>
        <v>4.1231005986300693E-3</v>
      </c>
      <c r="AB231" s="61"/>
      <c r="AC231" s="246">
        <f>AVERAGE(AA231,Z231,Y231,X231)</f>
        <v>4.1311020231858181E-3</v>
      </c>
      <c r="AD231" s="246">
        <f>AVERAGE(AC231,AA231,Z231,Y231)</f>
        <v>4.2040916912863668E-3</v>
      </c>
      <c r="AE231" s="246">
        <f>AVERAGE(AD231,AC231,AA231,Z231)</f>
        <v>4.1507213000389256E-3</v>
      </c>
      <c r="AF231" s="246">
        <f>AVERAGE(AE231,AD231,AC231,AA231)</f>
        <v>4.1522539032852954E-3</v>
      </c>
      <c r="AG231" s="61"/>
      <c r="AH231" s="246">
        <f>AVERAGE(AF231,AE231,AD231,AC231)</f>
        <v>4.1595422294491017E-3</v>
      </c>
      <c r="AI231" s="246">
        <f>AVERAGE(AH231,AF231,AE231,AD231)</f>
        <v>4.1666522810149221E-3</v>
      </c>
      <c r="AJ231" s="246">
        <f>AVERAGE(AI231,AH231,AF231,AE231)</f>
        <v>4.1572924284470607E-3</v>
      </c>
      <c r="AK231" s="246">
        <f>AVERAGE(AJ231,AI231,AH231,AF231)</f>
        <v>4.1589352105490945E-3</v>
      </c>
      <c r="AL231" s="61"/>
      <c r="AM231" s="246">
        <f>AVERAGE(AK231,AJ231,AI231,AH231)</f>
        <v>4.1606055373650443E-3</v>
      </c>
      <c r="AN231" s="246">
        <f>AVERAGE(AM231,AK231,AJ231,AI231)</f>
        <v>4.1608713643440307E-3</v>
      </c>
      <c r="AO231" s="246">
        <f>AVERAGE(AN231,AM231,AK231,AJ231)</f>
        <v>4.1594261351763076E-3</v>
      </c>
      <c r="AP231" s="246">
        <f>AVERAGE(AO231,AN231,AM231,AK231)</f>
        <v>4.1599595618586199E-3</v>
      </c>
      <c r="AQ231" s="61"/>
    </row>
    <row r="232" spans="2:43" outlineLevel="1" x14ac:dyDescent="0.3">
      <c r="B232" s="720" t="s">
        <v>29</v>
      </c>
      <c r="C232" s="721"/>
      <c r="D232" s="258">
        <v>172</v>
      </c>
      <c r="E232" s="258">
        <v>151.76</v>
      </c>
      <c r="F232" s="258">
        <v>140.41999999999999</v>
      </c>
      <c r="G232" s="258">
        <f>+G233/G234</f>
        <v>156.12706154342965</v>
      </c>
      <c r="H232" s="271">
        <v>149.35</v>
      </c>
      <c r="I232" s="258">
        <v>160.18</v>
      </c>
      <c r="J232" s="258">
        <v>172.25</v>
      </c>
      <c r="K232" s="258">
        <v>187.34</v>
      </c>
      <c r="L232" s="258">
        <f>+L233/L234</f>
        <v>189.52244297504288</v>
      </c>
      <c r="M232" s="271">
        <v>172.13</v>
      </c>
      <c r="N232" s="258">
        <v>207.92</v>
      </c>
      <c r="O232" s="258">
        <v>220.67</v>
      </c>
      <c r="P232" s="258">
        <v>248.73</v>
      </c>
      <c r="Q232" s="258">
        <f>+Q233/Q234</f>
        <v>243.60789473684207</v>
      </c>
      <c r="R232" s="271">
        <v>237.45</v>
      </c>
      <c r="S232" s="258">
        <v>238.95</v>
      </c>
      <c r="T232" s="260">
        <f>+S232</f>
        <v>238.95</v>
      </c>
      <c r="U232" s="260">
        <f>+T232</f>
        <v>238.95</v>
      </c>
      <c r="V232" s="260">
        <f>+U232</f>
        <v>238.95</v>
      </c>
      <c r="W232" s="259"/>
      <c r="X232" s="260">
        <f>+V232</f>
        <v>238.95</v>
      </c>
      <c r="Y232" s="260">
        <f>+X232</f>
        <v>238.95</v>
      </c>
      <c r="Z232" s="260">
        <f>+Y232</f>
        <v>238.95</v>
      </c>
      <c r="AA232" s="260">
        <f>+Z232</f>
        <v>238.95</v>
      </c>
      <c r="AB232" s="259"/>
      <c r="AC232" s="260">
        <f>+AA232</f>
        <v>238.95</v>
      </c>
      <c r="AD232" s="260">
        <f>+AC232</f>
        <v>238.95</v>
      </c>
      <c r="AE232" s="260">
        <f>+AD232</f>
        <v>238.95</v>
      </c>
      <c r="AF232" s="260">
        <f>+AE232</f>
        <v>238.95</v>
      </c>
      <c r="AG232" s="259"/>
      <c r="AH232" s="260">
        <f>+AF232</f>
        <v>238.95</v>
      </c>
      <c r="AI232" s="260">
        <f>+AH232</f>
        <v>238.95</v>
      </c>
      <c r="AJ232" s="260">
        <f>+AI232</f>
        <v>238.95</v>
      </c>
      <c r="AK232" s="260">
        <f>+AJ232</f>
        <v>238.95</v>
      </c>
      <c r="AL232" s="259"/>
      <c r="AM232" s="260">
        <f>+AK232</f>
        <v>238.95</v>
      </c>
      <c r="AN232" s="260">
        <f>+AM232</f>
        <v>238.95</v>
      </c>
      <c r="AO232" s="260">
        <f>+AN232</f>
        <v>238.95</v>
      </c>
      <c r="AP232" s="260">
        <f>+AO232</f>
        <v>238.95</v>
      </c>
      <c r="AQ232" s="42"/>
    </row>
    <row r="233" spans="2:43" outlineLevel="1" x14ac:dyDescent="0.3">
      <c r="B233" s="720" t="s">
        <v>30</v>
      </c>
      <c r="C233" s="721"/>
      <c r="D233" s="100">
        <v>190</v>
      </c>
      <c r="E233" s="100">
        <v>911</v>
      </c>
      <c r="F233" s="100">
        <v>1025.0659999999998</v>
      </c>
      <c r="G233" s="100">
        <f>+H233-F233-E233-D233</f>
        <v>592.10399999999981</v>
      </c>
      <c r="H233" s="112">
        <f>+H232*H234</f>
        <v>2718.1699999999996</v>
      </c>
      <c r="I233" s="100">
        <v>222</v>
      </c>
      <c r="J233" s="100">
        <v>112</v>
      </c>
      <c r="K233" s="100">
        <v>24</v>
      </c>
      <c r="L233" s="100">
        <f>+M233-K233-J233-I233</f>
        <v>158.38999999999999</v>
      </c>
      <c r="M233" s="112">
        <f>+M232*M234</f>
        <v>516.39</v>
      </c>
      <c r="N233" s="100">
        <f>+N232*N234</f>
        <v>83.168000000000006</v>
      </c>
      <c r="O233" s="100">
        <f>+O232*O234</f>
        <v>176.536</v>
      </c>
      <c r="P233" s="100">
        <f>+P232*P234</f>
        <v>298.476</v>
      </c>
      <c r="Q233" s="100">
        <f>+R233-P233-O233-N233</f>
        <v>462.8549999999999</v>
      </c>
      <c r="R233" s="112">
        <f>+R232*R234</f>
        <v>1021.0349999999999</v>
      </c>
      <c r="S233" s="100">
        <f>+S232*S234</f>
        <v>624.61529999999993</v>
      </c>
      <c r="T233" s="244">
        <v>200</v>
      </c>
      <c r="U233" s="244">
        <v>200</v>
      </c>
      <c r="V233" s="244">
        <v>100</v>
      </c>
      <c r="W233" s="110">
        <f>+SUM(S233:V233)</f>
        <v>1124.6152999999999</v>
      </c>
      <c r="X233" s="244">
        <f>AVERAGE(V233,U233,T233,S233)</f>
        <v>281.15382499999998</v>
      </c>
      <c r="Y233" s="244">
        <f>AVERAGE(X233,V233,U233,T233)</f>
        <v>195.28845625</v>
      </c>
      <c r="Z233" s="244">
        <f>AVERAGE(Y233,X233,V233,U233)</f>
        <v>194.11057031249999</v>
      </c>
      <c r="AA233" s="244">
        <f>AVERAGE(Z233,Y233,X233,V233)</f>
        <v>192.638212890625</v>
      </c>
      <c r="AB233" s="110">
        <f>+SUM(X233:AA233)</f>
        <v>863.19106445312491</v>
      </c>
      <c r="AC233" s="244">
        <f>AVERAGE(AA233,Z233,Y233,X233)</f>
        <v>215.79776611328123</v>
      </c>
      <c r="AD233" s="244">
        <f>AVERAGE(AC233,AA233,Z233,Y233)</f>
        <v>199.45875139160157</v>
      </c>
      <c r="AE233" s="244">
        <f>AVERAGE(AD233,AC233,AA233,Z233)</f>
        <v>200.50132517700195</v>
      </c>
      <c r="AF233" s="244">
        <f>AVERAGE(AE233,AD233,AC233,AA233)</f>
        <v>202.09901389312745</v>
      </c>
      <c r="AG233" s="110">
        <f>+SUM(AC233:AF233)</f>
        <v>817.85685657501222</v>
      </c>
      <c r="AH233" s="244">
        <f>AVERAGE(AF233,AE233,AD233,AC233)-75</f>
        <v>129.46421414375305</v>
      </c>
      <c r="AI233" s="244">
        <f>AVERAGE(AH233,AF233,AE233,AD233)-75</f>
        <v>107.880826151371</v>
      </c>
      <c r="AJ233" s="244">
        <f>AVERAGE(AI233,AH233,AF233,AE233)-75</f>
        <v>84.986344841313354</v>
      </c>
      <c r="AK233" s="244">
        <f>AVERAGE(AJ233,AI233,AH233,AF233)-75</f>
        <v>56.107599757391199</v>
      </c>
      <c r="AL233" s="110">
        <f>+SUM(AH233:AK233)</f>
        <v>378.4389848938286</v>
      </c>
      <c r="AM233" s="244">
        <f>AVERAGE(AK233,AJ233,AI233,AH233)-75</f>
        <v>19.609746223457151</v>
      </c>
      <c r="AN233" s="244">
        <f>AVERAGE(AM233,AK233,AJ233,AI233)-75</f>
        <v>-7.8538707566168284</v>
      </c>
      <c r="AO233" s="244">
        <f>AVERAGE(AN233,AM233,AK233,AJ233)-75</f>
        <v>-36.787544983613785</v>
      </c>
      <c r="AP233" s="244">
        <f>AVERAGE(AO233,AN233,AM233,AK233)-75</f>
        <v>-67.231017439845573</v>
      </c>
      <c r="AQ233" s="110">
        <f>+SUM(AM233:AP233)</f>
        <v>-92.262686956619035</v>
      </c>
    </row>
    <row r="234" spans="2:43" outlineLevel="1" x14ac:dyDescent="0.3">
      <c r="B234" s="755" t="s">
        <v>77</v>
      </c>
      <c r="C234" s="756"/>
      <c r="D234" s="272">
        <f>IF((D233)&gt;0,(D233/D232),0)</f>
        <v>1.1046511627906976</v>
      </c>
      <c r="E234" s="272">
        <f>IF((E233)&gt;0,(E233/E232),0)</f>
        <v>6.0028993147074328</v>
      </c>
      <c r="F234" s="272">
        <f>IF((F233)&gt;0,(F233/F232),0)</f>
        <v>7.2999999999999989</v>
      </c>
      <c r="G234" s="272">
        <f>+H234-F234-E234-D234</f>
        <v>3.7924495225018697</v>
      </c>
      <c r="H234" s="273">
        <v>18.2</v>
      </c>
      <c r="I234" s="272">
        <f>IF((I233)&gt;0,(I233/I232),0)</f>
        <v>1.3859408165813458</v>
      </c>
      <c r="J234" s="272">
        <f>IF((J233)&gt;0,(J233/J232),0)</f>
        <v>0.65021770682148039</v>
      </c>
      <c r="K234" s="272">
        <f>IF((K233)&gt;0,(K233/K232),0)</f>
        <v>0.12810931995302657</v>
      </c>
      <c r="L234" s="272">
        <f>+M234-K234-J234-I234</f>
        <v>0.83573215664414713</v>
      </c>
      <c r="M234" s="273">
        <v>3</v>
      </c>
      <c r="N234" s="272">
        <v>0.4</v>
      </c>
      <c r="O234" s="272">
        <v>0.8</v>
      </c>
      <c r="P234" s="272">
        <v>1.2</v>
      </c>
      <c r="Q234" s="272">
        <f>+R234-P234-O234-N234</f>
        <v>1.9</v>
      </c>
      <c r="R234" s="273">
        <v>4.3</v>
      </c>
      <c r="S234" s="272">
        <v>2.6139999999999999</v>
      </c>
      <c r="T234" s="272">
        <f>IF((T233)&gt;0,(T233/T232),0)</f>
        <v>0.83699518727767319</v>
      </c>
      <c r="U234" s="272">
        <f>IF((U233)&gt;0,(U233/U232),0)</f>
        <v>0.83699518727767319</v>
      </c>
      <c r="V234" s="272">
        <f>IF((V233)&gt;0,(V233/V232),0)</f>
        <v>0.4184975936388366</v>
      </c>
      <c r="W234" s="494">
        <f>+SUM(S234:V234)</f>
        <v>4.7064879681941827</v>
      </c>
      <c r="X234" s="272">
        <f>IF((X233)&gt;0,(X233/X232),0)</f>
        <v>1.1766219920485457</v>
      </c>
      <c r="Y234" s="272">
        <f>IF((Y233)&gt;0,(Y233/Y232),0)</f>
        <v>0.81727749006068218</v>
      </c>
      <c r="Z234" s="272">
        <f>IF((Z233)&gt;0,(Z233/Z232),0)</f>
        <v>0.81234806575643437</v>
      </c>
      <c r="AA234" s="272">
        <f>IF((AA233)&gt;0,(AA233/AA232),0)</f>
        <v>0.8061862853761248</v>
      </c>
      <c r="AB234" s="494">
        <f>+SUM(X234:AA234)</f>
        <v>3.6124338332417869</v>
      </c>
      <c r="AC234" s="272">
        <f>IF((AC233)&gt;0,(AC233/AC232),0)</f>
        <v>0.90310845831044673</v>
      </c>
      <c r="AD234" s="272">
        <f>IF((AD233)&gt;0,(AD233/AD232),0)</f>
        <v>0.8347300748759221</v>
      </c>
      <c r="AE234" s="272">
        <f>IF((AE233)&gt;0,(AE233/AE232),0)</f>
        <v>0.83909322107973194</v>
      </c>
      <c r="AF234" s="272">
        <f>IF((AF233)&gt;0,(AF233/AF232),0)</f>
        <v>0.84577950991055639</v>
      </c>
      <c r="AG234" s="494">
        <f>+SUM(AC234:AF234)</f>
        <v>3.4227112641766571</v>
      </c>
      <c r="AH234" s="272">
        <f>IF((AH233)&gt;0,(AH233/AH232),0)</f>
        <v>0.54180462081503689</v>
      </c>
      <c r="AI234" s="272">
        <f>IF((AI233)&gt;0,(AI233/AI232),0)</f>
        <v>0.45147866144118437</v>
      </c>
      <c r="AJ234" s="272">
        <f>IF((AJ233)&gt;0,(AJ233/AJ232),0)</f>
        <v>0.35566580808249992</v>
      </c>
      <c r="AK234" s="272">
        <f>IF((AK233)&gt;0,(AK233/AK232),0)</f>
        <v>0.23480895483319189</v>
      </c>
      <c r="AL234" s="494">
        <f>+SUM(AH234:AK234)</f>
        <v>1.5837580451719131</v>
      </c>
      <c r="AM234" s="272">
        <f>IF((AM233)&gt;0,(AM233/AM232),0)</f>
        <v>8.2066316063850814E-2</v>
      </c>
      <c r="AN234" s="272">
        <f>IF((AN233)&gt;0,(AN233/AN232),0)</f>
        <v>0</v>
      </c>
      <c r="AO234" s="272">
        <f>IF((AO233)&gt;0,(AO233/AO232),0)</f>
        <v>0</v>
      </c>
      <c r="AP234" s="272">
        <f>IF((AP233)&gt;0,(AP233/AP232),0)</f>
        <v>0</v>
      </c>
      <c r="AQ234" s="494">
        <f>+SUM(AM234:AP234)</f>
        <v>8.2066316063850814E-2</v>
      </c>
    </row>
    <row r="235" spans="2:43" ht="15.6" x14ac:dyDescent="0.3">
      <c r="B235" s="705" t="s">
        <v>347</v>
      </c>
      <c r="C235" s="713"/>
      <c r="D235" s="90" t="s">
        <v>71</v>
      </c>
      <c r="E235" s="90" t="s">
        <v>74</v>
      </c>
      <c r="F235" s="90" t="s">
        <v>75</v>
      </c>
      <c r="G235" s="90" t="s">
        <v>78</v>
      </c>
      <c r="H235" s="403" t="s">
        <v>79</v>
      </c>
      <c r="I235" s="90" t="s">
        <v>80</v>
      </c>
      <c r="J235" s="90" t="s">
        <v>91</v>
      </c>
      <c r="K235" s="90" t="s">
        <v>109</v>
      </c>
      <c r="L235" s="90" t="s">
        <v>113</v>
      </c>
      <c r="M235" s="403" t="s">
        <v>114</v>
      </c>
      <c r="N235" s="90" t="s">
        <v>115</v>
      </c>
      <c r="O235" s="90" t="s">
        <v>116</v>
      </c>
      <c r="P235" s="90" t="s">
        <v>117</v>
      </c>
      <c r="Q235" s="90" t="s">
        <v>118</v>
      </c>
      <c r="R235" s="403" t="s">
        <v>119</v>
      </c>
      <c r="S235" s="90" t="s">
        <v>511</v>
      </c>
      <c r="T235" s="92" t="s">
        <v>377</v>
      </c>
      <c r="U235" s="92" t="s">
        <v>378</v>
      </c>
      <c r="V235" s="92" t="s">
        <v>379</v>
      </c>
      <c r="W235" s="407" t="s">
        <v>380</v>
      </c>
      <c r="X235" s="92" t="s">
        <v>381</v>
      </c>
      <c r="Y235" s="92" t="s">
        <v>382</v>
      </c>
      <c r="Z235" s="92" t="s">
        <v>383</v>
      </c>
      <c r="AA235" s="92" t="s">
        <v>384</v>
      </c>
      <c r="AB235" s="407" t="s">
        <v>385</v>
      </c>
      <c r="AC235" s="92" t="s">
        <v>386</v>
      </c>
      <c r="AD235" s="92" t="s">
        <v>387</v>
      </c>
      <c r="AE235" s="92" t="s">
        <v>388</v>
      </c>
      <c r="AF235" s="92" t="s">
        <v>389</v>
      </c>
      <c r="AG235" s="407" t="s">
        <v>390</v>
      </c>
      <c r="AH235" s="92" t="s">
        <v>391</v>
      </c>
      <c r="AI235" s="92" t="s">
        <v>392</v>
      </c>
      <c r="AJ235" s="92" t="s">
        <v>393</v>
      </c>
      <c r="AK235" s="92" t="s">
        <v>394</v>
      </c>
      <c r="AL235" s="407" t="s">
        <v>395</v>
      </c>
      <c r="AM235" s="92" t="s">
        <v>396</v>
      </c>
      <c r="AN235" s="92" t="s">
        <v>397</v>
      </c>
      <c r="AO235" s="92" t="s">
        <v>398</v>
      </c>
      <c r="AP235" s="92" t="s">
        <v>399</v>
      </c>
      <c r="AQ235" s="407" t="s">
        <v>400</v>
      </c>
    </row>
    <row r="236" spans="2:43" outlineLevel="1" x14ac:dyDescent="0.3">
      <c r="B236" s="720" t="s">
        <v>348</v>
      </c>
      <c r="C236" s="721"/>
      <c r="D236" s="100"/>
      <c r="E236" s="100"/>
      <c r="F236" s="100"/>
      <c r="G236" s="100"/>
      <c r="H236" s="112"/>
      <c r="I236" s="100"/>
      <c r="J236" s="100"/>
      <c r="K236" s="100"/>
      <c r="L236" s="100">
        <v>0</v>
      </c>
      <c r="M236" s="112">
        <v>0</v>
      </c>
      <c r="N236" s="100">
        <v>0</v>
      </c>
      <c r="O236" s="100">
        <v>0</v>
      </c>
      <c r="P236" s="100">
        <v>0</v>
      </c>
      <c r="Q236" s="100">
        <v>380</v>
      </c>
      <c r="R236" s="112">
        <v>380</v>
      </c>
      <c r="S236" s="100">
        <v>0</v>
      </c>
      <c r="T236" s="244">
        <v>0</v>
      </c>
      <c r="U236" s="244">
        <v>0</v>
      </c>
      <c r="V236" s="244">
        <v>0</v>
      </c>
      <c r="W236" s="112">
        <f t="shared" ref="W236:W244" si="61">SUM(S236:V236)</f>
        <v>0</v>
      </c>
      <c r="X236" s="244">
        <v>0</v>
      </c>
      <c r="Y236" s="244">
        <v>0</v>
      </c>
      <c r="Z236" s="244">
        <v>0</v>
      </c>
      <c r="AA236" s="244">
        <v>0</v>
      </c>
      <c r="AB236" s="112">
        <f t="shared" ref="AB236:AB244" si="62">SUM(X236:AA236)</f>
        <v>0</v>
      </c>
      <c r="AC236" s="244">
        <v>0</v>
      </c>
      <c r="AD236" s="244">
        <v>0</v>
      </c>
      <c r="AE236" s="244">
        <v>0</v>
      </c>
      <c r="AF236" s="244">
        <v>0</v>
      </c>
      <c r="AG236" s="112">
        <f t="shared" ref="AG236:AG244" si="63">SUM(AC236:AF236)</f>
        <v>0</v>
      </c>
      <c r="AH236" s="244">
        <v>0</v>
      </c>
      <c r="AI236" s="244">
        <v>0</v>
      </c>
      <c r="AJ236" s="244">
        <v>0</v>
      </c>
      <c r="AK236" s="244">
        <v>0</v>
      </c>
      <c r="AL236" s="112">
        <f t="shared" ref="AL236:AL244" si="64">SUM(AH236:AK236)</f>
        <v>0</v>
      </c>
      <c r="AM236" s="244">
        <v>0</v>
      </c>
      <c r="AN236" s="244">
        <v>0</v>
      </c>
      <c r="AO236" s="244">
        <v>0</v>
      </c>
      <c r="AP236" s="244">
        <v>0</v>
      </c>
      <c r="AQ236" s="112">
        <f t="shared" ref="AQ236:AQ244" si="65">SUM(AM236:AP236)</f>
        <v>0</v>
      </c>
    </row>
    <row r="237" spans="2:43" outlineLevel="1" x14ac:dyDescent="0.3">
      <c r="B237" s="720" t="s">
        <v>349</v>
      </c>
      <c r="C237" s="721"/>
      <c r="D237" s="100"/>
      <c r="E237" s="100"/>
      <c r="F237" s="100"/>
      <c r="G237" s="100"/>
      <c r="H237" s="112"/>
      <c r="I237" s="100"/>
      <c r="J237" s="100"/>
      <c r="K237" s="100"/>
      <c r="L237" s="100">
        <v>0</v>
      </c>
      <c r="M237" s="112">
        <v>0</v>
      </c>
      <c r="N237" s="100">
        <v>0</v>
      </c>
      <c r="O237" s="100">
        <v>0</v>
      </c>
      <c r="P237" s="100">
        <v>0</v>
      </c>
      <c r="Q237" s="100">
        <v>1</v>
      </c>
      <c r="R237" s="112">
        <v>1</v>
      </c>
      <c r="S237" s="100">
        <v>0</v>
      </c>
      <c r="T237" s="100">
        <f>+T236*T226</f>
        <v>0</v>
      </c>
      <c r="U237" s="100">
        <f>+U236*U226</f>
        <v>0</v>
      </c>
      <c r="V237" s="100">
        <f>+V236*V226</f>
        <v>0</v>
      </c>
      <c r="W237" s="112">
        <f t="shared" si="61"/>
        <v>0</v>
      </c>
      <c r="X237" s="100">
        <f>+X236*X226</f>
        <v>0</v>
      </c>
      <c r="Y237" s="100">
        <f>+Y236*Y226</f>
        <v>0</v>
      </c>
      <c r="Z237" s="100">
        <f>+Z236*Z226</f>
        <v>0</v>
      </c>
      <c r="AA237" s="100">
        <f>+AA236*AA226</f>
        <v>0</v>
      </c>
      <c r="AB237" s="112">
        <f t="shared" si="62"/>
        <v>0</v>
      </c>
      <c r="AC237" s="100">
        <f>+AC236*AC226</f>
        <v>0</v>
      </c>
      <c r="AD237" s="100">
        <f>+AD236*AD226</f>
        <v>0</v>
      </c>
      <c r="AE237" s="100">
        <f>+AE236*AE226</f>
        <v>0</v>
      </c>
      <c r="AF237" s="100">
        <f>+AF236*AF226</f>
        <v>0</v>
      </c>
      <c r="AG237" s="112">
        <f t="shared" si="63"/>
        <v>0</v>
      </c>
      <c r="AH237" s="100">
        <f>+AH236*AH226</f>
        <v>0</v>
      </c>
      <c r="AI237" s="100">
        <f>+AI236*AI226</f>
        <v>0</v>
      </c>
      <c r="AJ237" s="100">
        <f>+AJ236*AJ226</f>
        <v>0</v>
      </c>
      <c r="AK237" s="100">
        <f>+AK236*AK226</f>
        <v>0</v>
      </c>
      <c r="AL237" s="112">
        <f t="shared" si="64"/>
        <v>0</v>
      </c>
      <c r="AM237" s="100">
        <f>+AM236*AM226</f>
        <v>0</v>
      </c>
      <c r="AN237" s="100">
        <f>+AN236*AN226</f>
        <v>0</v>
      </c>
      <c r="AO237" s="100">
        <f>+AO236*AO226</f>
        <v>0</v>
      </c>
      <c r="AP237" s="100">
        <f>+AP236*AP226</f>
        <v>0</v>
      </c>
      <c r="AQ237" s="112">
        <f t="shared" si="65"/>
        <v>0</v>
      </c>
    </row>
    <row r="238" spans="2:43" outlineLevel="1" x14ac:dyDescent="0.3">
      <c r="B238" s="291" t="s">
        <v>350</v>
      </c>
      <c r="C238" s="292"/>
      <c r="D238" s="100"/>
      <c r="E238" s="100"/>
      <c r="F238" s="100"/>
      <c r="G238" s="100"/>
      <c r="H238" s="112"/>
      <c r="I238" s="100">
        <v>67.5</v>
      </c>
      <c r="J238" s="100">
        <v>57.5</v>
      </c>
      <c r="K238" s="100">
        <v>78</v>
      </c>
      <c r="L238" s="100">
        <v>124</v>
      </c>
      <c r="M238" s="112">
        <v>327</v>
      </c>
      <c r="N238" s="100">
        <v>112</v>
      </c>
      <c r="O238" s="100">
        <v>122</v>
      </c>
      <c r="P238" s="100">
        <v>106</v>
      </c>
      <c r="Q238" s="100">
        <v>136</v>
      </c>
      <c r="R238" s="112">
        <v>477</v>
      </c>
      <c r="S238" s="100">
        <v>121</v>
      </c>
      <c r="T238" s="244">
        <f>(450-121)/3</f>
        <v>109.66666666666667</v>
      </c>
      <c r="U238" s="244">
        <f>(450-121)/3</f>
        <v>109.66666666666667</v>
      </c>
      <c r="V238" s="244">
        <f>(450-121)/3</f>
        <v>109.66666666666667</v>
      </c>
      <c r="W238" s="426">
        <f t="shared" si="61"/>
        <v>450.00000000000006</v>
      </c>
      <c r="X238" s="244">
        <v>68.75</v>
      </c>
      <c r="Y238" s="244">
        <v>68.75</v>
      </c>
      <c r="Z238" s="244">
        <v>68.75</v>
      </c>
      <c r="AA238" s="244">
        <v>68.75</v>
      </c>
      <c r="AB238" s="112">
        <f t="shared" si="62"/>
        <v>275</v>
      </c>
      <c r="AC238" s="244">
        <v>0</v>
      </c>
      <c r="AD238" s="244">
        <v>0</v>
      </c>
      <c r="AE238" s="244">
        <v>0</v>
      </c>
      <c r="AF238" s="244">
        <v>0</v>
      </c>
      <c r="AG238" s="112">
        <f t="shared" si="63"/>
        <v>0</v>
      </c>
      <c r="AH238" s="244">
        <v>0</v>
      </c>
      <c r="AI238" s="244">
        <v>0</v>
      </c>
      <c r="AJ238" s="244">
        <v>0</v>
      </c>
      <c r="AK238" s="244">
        <v>0</v>
      </c>
      <c r="AL238" s="112">
        <f t="shared" si="64"/>
        <v>0</v>
      </c>
      <c r="AM238" s="244">
        <v>0</v>
      </c>
      <c r="AN238" s="244">
        <v>0</v>
      </c>
      <c r="AO238" s="244">
        <v>0</v>
      </c>
      <c r="AP238" s="244">
        <v>0</v>
      </c>
      <c r="AQ238" s="112">
        <f t="shared" si="65"/>
        <v>0</v>
      </c>
    </row>
    <row r="239" spans="2:43" outlineLevel="1" x14ac:dyDescent="0.3">
      <c r="B239" s="291" t="s">
        <v>351</v>
      </c>
      <c r="C239" s="292"/>
      <c r="D239" s="100"/>
      <c r="E239" s="100"/>
      <c r="F239" s="100"/>
      <c r="G239" s="100"/>
      <c r="H239" s="112"/>
      <c r="I239" s="100">
        <v>22.5</v>
      </c>
      <c r="J239" s="100">
        <v>7.5</v>
      </c>
      <c r="K239" s="100">
        <v>15</v>
      </c>
      <c r="L239" s="100">
        <v>37</v>
      </c>
      <c r="M239" s="112">
        <v>82</v>
      </c>
      <c r="N239" s="100">
        <v>30</v>
      </c>
      <c r="O239" s="100">
        <v>31</v>
      </c>
      <c r="P239" s="100">
        <v>14</v>
      </c>
      <c r="Q239" s="100">
        <v>30</v>
      </c>
      <c r="R239" s="112">
        <v>105</v>
      </c>
      <c r="S239" s="100">
        <v>23.4</v>
      </c>
      <c r="T239" s="100">
        <f>(85-23)/3</f>
        <v>20.666666666666668</v>
      </c>
      <c r="U239" s="100">
        <f>(85-23)/3</f>
        <v>20.666666666666668</v>
      </c>
      <c r="V239" s="100">
        <f>(85-23)/3</f>
        <v>20.666666666666668</v>
      </c>
      <c r="W239" s="426">
        <f t="shared" si="61"/>
        <v>85.4</v>
      </c>
      <c r="X239" s="100">
        <f>+X238*X226</f>
        <v>17.1875</v>
      </c>
      <c r="Y239" s="100">
        <f>+Y238*Y226</f>
        <v>17.1875</v>
      </c>
      <c r="Z239" s="100">
        <f>+Z238*Z226</f>
        <v>17.1875</v>
      </c>
      <c r="AA239" s="100">
        <f>+AA238*AA226</f>
        <v>17.1875</v>
      </c>
      <c r="AB239" s="112">
        <f t="shared" si="62"/>
        <v>68.75</v>
      </c>
      <c r="AC239" s="100">
        <f>+AC238*AC226</f>
        <v>0</v>
      </c>
      <c r="AD239" s="100">
        <f>+AD238*AD226</f>
        <v>0</v>
      </c>
      <c r="AE239" s="100">
        <f>+AE238*AE226</f>
        <v>0</v>
      </c>
      <c r="AF239" s="100">
        <f>+AF238*AF226</f>
        <v>0</v>
      </c>
      <c r="AG239" s="112">
        <f t="shared" si="63"/>
        <v>0</v>
      </c>
      <c r="AH239" s="100">
        <f>+AH238*AH226</f>
        <v>0</v>
      </c>
      <c r="AI239" s="100">
        <f>+AI238*AI226</f>
        <v>0</v>
      </c>
      <c r="AJ239" s="100">
        <f>+AJ238*AJ226</f>
        <v>0</v>
      </c>
      <c r="AK239" s="100">
        <f>+AK238*AK226</f>
        <v>0</v>
      </c>
      <c r="AL239" s="112">
        <f t="shared" si="64"/>
        <v>0</v>
      </c>
      <c r="AM239" s="100">
        <f>+AM238*AM226</f>
        <v>0</v>
      </c>
      <c r="AN239" s="100">
        <f>+AN238*AN226</f>
        <v>0</v>
      </c>
      <c r="AO239" s="100">
        <f>+AO238*AO226</f>
        <v>0</v>
      </c>
      <c r="AP239" s="100">
        <f>+AP238*AP226</f>
        <v>0</v>
      </c>
      <c r="AQ239" s="112">
        <f t="shared" si="65"/>
        <v>0</v>
      </c>
    </row>
    <row r="240" spans="2:43" outlineLevel="1" x14ac:dyDescent="0.3">
      <c r="B240" s="291" t="s">
        <v>355</v>
      </c>
      <c r="C240" s="292"/>
      <c r="D240" s="100"/>
      <c r="E240" s="100"/>
      <c r="F240" s="100"/>
      <c r="G240" s="100"/>
      <c r="H240" s="112"/>
      <c r="I240" s="100"/>
      <c r="J240" s="100"/>
      <c r="K240" s="100"/>
      <c r="L240" s="100">
        <f>39+22</f>
        <v>61</v>
      </c>
      <c r="M240" s="112">
        <f>39+22</f>
        <v>61</v>
      </c>
      <c r="N240" s="100">
        <v>7</v>
      </c>
      <c r="O240" s="100">
        <v>0</v>
      </c>
      <c r="P240" s="100">
        <v>0</v>
      </c>
      <c r="Q240" s="100">
        <v>1</v>
      </c>
      <c r="R240" s="112">
        <v>8</v>
      </c>
      <c r="S240" s="100">
        <v>0</v>
      </c>
      <c r="T240" s="244">
        <v>2</v>
      </c>
      <c r="U240" s="244">
        <v>2</v>
      </c>
      <c r="V240" s="244">
        <v>2</v>
      </c>
      <c r="W240" s="112">
        <f t="shared" si="61"/>
        <v>6</v>
      </c>
      <c r="X240" s="244">
        <v>0</v>
      </c>
      <c r="Y240" s="244">
        <v>0</v>
      </c>
      <c r="Z240" s="244">
        <v>0</v>
      </c>
      <c r="AA240" s="244">
        <v>0</v>
      </c>
      <c r="AB240" s="112">
        <f t="shared" si="62"/>
        <v>0</v>
      </c>
      <c r="AC240" s="244">
        <v>0</v>
      </c>
      <c r="AD240" s="244">
        <v>0</v>
      </c>
      <c r="AE240" s="244">
        <v>0</v>
      </c>
      <c r="AF240" s="244">
        <v>0</v>
      </c>
      <c r="AG240" s="112">
        <f t="shared" si="63"/>
        <v>0</v>
      </c>
      <c r="AH240" s="244">
        <v>0</v>
      </c>
      <c r="AI240" s="244">
        <v>0</v>
      </c>
      <c r="AJ240" s="244">
        <v>0</v>
      </c>
      <c r="AK240" s="244">
        <v>0</v>
      </c>
      <c r="AL240" s="112">
        <f t="shared" si="64"/>
        <v>0</v>
      </c>
      <c r="AM240" s="244">
        <v>0</v>
      </c>
      <c r="AN240" s="244">
        <v>0</v>
      </c>
      <c r="AO240" s="244">
        <v>0</v>
      </c>
      <c r="AP240" s="244">
        <v>0</v>
      </c>
      <c r="AQ240" s="112">
        <f t="shared" si="65"/>
        <v>0</v>
      </c>
    </row>
    <row r="241" spans="1:43" outlineLevel="1" x14ac:dyDescent="0.3">
      <c r="B241" s="291" t="s">
        <v>356</v>
      </c>
      <c r="C241" s="292"/>
      <c r="D241" s="100"/>
      <c r="E241" s="100"/>
      <c r="F241" s="100"/>
      <c r="G241" s="100"/>
      <c r="H241" s="112"/>
      <c r="I241" s="100"/>
      <c r="J241" s="100"/>
      <c r="K241" s="100"/>
      <c r="L241" s="100">
        <f>15+9</f>
        <v>24</v>
      </c>
      <c r="M241" s="112">
        <f>15+9</f>
        <v>24</v>
      </c>
      <c r="N241" s="100">
        <v>2</v>
      </c>
      <c r="O241" s="100">
        <v>0</v>
      </c>
      <c r="P241" s="100">
        <v>0</v>
      </c>
      <c r="Q241" s="100">
        <v>-0.5</v>
      </c>
      <c r="R241" s="112">
        <v>2</v>
      </c>
      <c r="S241" s="100">
        <v>0</v>
      </c>
      <c r="T241" s="100">
        <f>+T240*T226</f>
        <v>0.5</v>
      </c>
      <c r="U241" s="100">
        <f>+U240*U226</f>
        <v>0.5</v>
      </c>
      <c r="V241" s="100">
        <f>+V240*V226</f>
        <v>0.5</v>
      </c>
      <c r="W241" s="112">
        <f t="shared" si="61"/>
        <v>1.5</v>
      </c>
      <c r="X241" s="100">
        <f>+X240*X226</f>
        <v>0</v>
      </c>
      <c r="Y241" s="100">
        <f>+Y240*Y226</f>
        <v>0</v>
      </c>
      <c r="Z241" s="100">
        <f>+Z240*Z226</f>
        <v>0</v>
      </c>
      <c r="AA241" s="100">
        <f>+AA240*AA226</f>
        <v>0</v>
      </c>
      <c r="AB241" s="112">
        <f t="shared" si="62"/>
        <v>0</v>
      </c>
      <c r="AC241" s="100">
        <f>+AC240*AC226</f>
        <v>0</v>
      </c>
      <c r="AD241" s="100">
        <f>+AD240*AD226</f>
        <v>0</v>
      </c>
      <c r="AE241" s="100">
        <f>+AE240*AE226</f>
        <v>0</v>
      </c>
      <c r="AF241" s="100">
        <f>+AF240*AF226</f>
        <v>0</v>
      </c>
      <c r="AG241" s="112">
        <f t="shared" si="63"/>
        <v>0</v>
      </c>
      <c r="AH241" s="100">
        <f>+AH240*AH226</f>
        <v>0</v>
      </c>
      <c r="AI241" s="100">
        <f>+AI240*AI226</f>
        <v>0</v>
      </c>
      <c r="AJ241" s="100">
        <f>+AJ240*AJ226</f>
        <v>0</v>
      </c>
      <c r="AK241" s="100">
        <f>+AK240*AK226</f>
        <v>0</v>
      </c>
      <c r="AL241" s="112">
        <f t="shared" si="64"/>
        <v>0</v>
      </c>
      <c r="AM241" s="100">
        <f>+AM240*AM226</f>
        <v>0</v>
      </c>
      <c r="AN241" s="100">
        <f>+AN240*AN226</f>
        <v>0</v>
      </c>
      <c r="AO241" s="100">
        <f>+AO240*AO226</f>
        <v>0</v>
      </c>
      <c r="AP241" s="100">
        <f>+AP240*AP226</f>
        <v>0</v>
      </c>
      <c r="AQ241" s="112">
        <f t="shared" si="65"/>
        <v>0</v>
      </c>
    </row>
    <row r="242" spans="1:43" outlineLevel="1" x14ac:dyDescent="0.3">
      <c r="B242" s="291" t="s">
        <v>352</v>
      </c>
      <c r="C242" s="292"/>
      <c r="D242" s="100"/>
      <c r="E242" s="100"/>
      <c r="F242" s="100"/>
      <c r="G242" s="100"/>
      <c r="H242" s="112"/>
      <c r="I242" s="100"/>
      <c r="J242" s="100"/>
      <c r="K242" s="100"/>
      <c r="L242" s="100">
        <v>0</v>
      </c>
      <c r="M242" s="112">
        <f>SUM(I242:L242)</f>
        <v>0</v>
      </c>
      <c r="N242" s="100">
        <v>0</v>
      </c>
      <c r="O242" s="100">
        <v>0</v>
      </c>
      <c r="P242" s="100">
        <v>0</v>
      </c>
      <c r="Q242" s="100">
        <v>-10</v>
      </c>
      <c r="R242" s="112">
        <v>-10</v>
      </c>
      <c r="S242" s="100">
        <v>0</v>
      </c>
      <c r="T242" s="244">
        <v>0</v>
      </c>
      <c r="U242" s="244">
        <v>0</v>
      </c>
      <c r="V242" s="244">
        <f>+V208</f>
        <v>-227.23050661764719</v>
      </c>
      <c r="W242" s="112">
        <f t="shared" si="61"/>
        <v>-227.23050661764719</v>
      </c>
      <c r="X242" s="244">
        <v>0</v>
      </c>
      <c r="Y242" s="244">
        <v>0</v>
      </c>
      <c r="Z242" s="244">
        <v>0</v>
      </c>
      <c r="AA242" s="244">
        <f>+AA208</f>
        <v>-99.999999999999943</v>
      </c>
      <c r="AB242" s="112">
        <f t="shared" si="62"/>
        <v>-99.999999999999943</v>
      </c>
      <c r="AC242" s="244">
        <v>0</v>
      </c>
      <c r="AD242" s="244">
        <v>0</v>
      </c>
      <c r="AE242" s="244">
        <v>0</v>
      </c>
      <c r="AF242" s="244">
        <f>+AF208</f>
        <v>-55.00000000000005</v>
      </c>
      <c r="AG242" s="112">
        <f t="shared" si="63"/>
        <v>-55.00000000000005</v>
      </c>
      <c r="AH242" s="244">
        <v>0</v>
      </c>
      <c r="AI242" s="244">
        <v>0</v>
      </c>
      <c r="AJ242" s="244">
        <v>0</v>
      </c>
      <c r="AK242" s="244">
        <f>+AK208</f>
        <v>-55.00000000000005</v>
      </c>
      <c r="AL242" s="112">
        <f t="shared" si="64"/>
        <v>-55.00000000000005</v>
      </c>
      <c r="AM242" s="244">
        <v>0</v>
      </c>
      <c r="AN242" s="244">
        <v>0</v>
      </c>
      <c r="AO242" s="244">
        <v>0</v>
      </c>
      <c r="AP242" s="244">
        <f>+AP208</f>
        <v>-55.00000000000005</v>
      </c>
      <c r="AQ242" s="112">
        <f t="shared" si="65"/>
        <v>-55.00000000000005</v>
      </c>
    </row>
    <row r="243" spans="1:43" outlineLevel="1" x14ac:dyDescent="0.3">
      <c r="B243" s="291" t="s">
        <v>353</v>
      </c>
      <c r="C243" s="292"/>
      <c r="D243" s="100"/>
      <c r="E243" s="100"/>
      <c r="F243" s="100"/>
      <c r="G243" s="100"/>
      <c r="H243" s="112"/>
      <c r="I243" s="100"/>
      <c r="J243" s="100"/>
      <c r="K243" s="100"/>
      <c r="L243" s="100">
        <v>6</v>
      </c>
      <c r="M243" s="112">
        <f>SUM(I243:L243)</f>
        <v>6</v>
      </c>
      <c r="N243" s="100">
        <v>0</v>
      </c>
      <c r="O243" s="100">
        <v>0</v>
      </c>
      <c r="P243" s="100">
        <v>0</v>
      </c>
      <c r="Q243" s="100">
        <v>-0.5</v>
      </c>
      <c r="R243" s="112">
        <v>-1</v>
      </c>
      <c r="S243" s="100">
        <v>0</v>
      </c>
      <c r="T243" s="100">
        <f>+T242*T226</f>
        <v>0</v>
      </c>
      <c r="U243" s="100">
        <f>+U242*U226</f>
        <v>0</v>
      </c>
      <c r="V243" s="100">
        <f>+V242*V226</f>
        <v>-56.807626654411798</v>
      </c>
      <c r="W243" s="112">
        <f t="shared" si="61"/>
        <v>-56.807626654411798</v>
      </c>
      <c r="X243" s="100">
        <f>+X242*X226</f>
        <v>0</v>
      </c>
      <c r="Y243" s="100">
        <f>+Y242*Y226</f>
        <v>0</v>
      </c>
      <c r="Z243" s="100">
        <f>+Z242*Z226</f>
        <v>0</v>
      </c>
      <c r="AA243" s="100">
        <f>+AA242*AA226</f>
        <v>-24.999999999999986</v>
      </c>
      <c r="AB243" s="112">
        <f t="shared" si="62"/>
        <v>-24.999999999999986</v>
      </c>
      <c r="AC243" s="100">
        <f>+AC242*AC226</f>
        <v>0</v>
      </c>
      <c r="AD243" s="100">
        <f>+AD242*AD226</f>
        <v>0</v>
      </c>
      <c r="AE243" s="100">
        <f>+AE242*AE226</f>
        <v>0</v>
      </c>
      <c r="AF243" s="100">
        <f>+AF242*AF226</f>
        <v>-13.750000000000012</v>
      </c>
      <c r="AG243" s="112">
        <f t="shared" si="63"/>
        <v>-13.750000000000012</v>
      </c>
      <c r="AH243" s="100">
        <f>+AH242*AH226</f>
        <v>0</v>
      </c>
      <c r="AI243" s="100">
        <f>+AI242*AI226</f>
        <v>0</v>
      </c>
      <c r="AJ243" s="100">
        <f>+AJ242*AJ226</f>
        <v>0</v>
      </c>
      <c r="AK243" s="100">
        <f>+AK242*AK226</f>
        <v>-13.750000000000012</v>
      </c>
      <c r="AL243" s="112">
        <f t="shared" si="64"/>
        <v>-13.750000000000012</v>
      </c>
      <c r="AM243" s="100">
        <f>+AM242*AM226</f>
        <v>0</v>
      </c>
      <c r="AN243" s="100">
        <f>+AN242*AN226</f>
        <v>0</v>
      </c>
      <c r="AO243" s="100">
        <f>+AO242*AO226</f>
        <v>0</v>
      </c>
      <c r="AP243" s="100">
        <f>+AP242*AP226</f>
        <v>-13.750000000000012</v>
      </c>
      <c r="AQ243" s="112">
        <f t="shared" si="65"/>
        <v>-13.750000000000012</v>
      </c>
    </row>
    <row r="244" spans="1:43" outlineLevel="1" x14ac:dyDescent="0.3">
      <c r="B244" s="755" t="s">
        <v>354</v>
      </c>
      <c r="C244" s="756"/>
      <c r="D244" s="283"/>
      <c r="E244" s="283"/>
      <c r="F244" s="283"/>
      <c r="G244" s="283"/>
      <c r="H244" s="284"/>
      <c r="I244" s="283"/>
      <c r="J244" s="283"/>
      <c r="K244" s="283"/>
      <c r="L244" s="283">
        <v>0</v>
      </c>
      <c r="M244" s="284">
        <v>0</v>
      </c>
      <c r="N244" s="283">
        <v>0</v>
      </c>
      <c r="O244" s="283">
        <v>0</v>
      </c>
      <c r="P244" s="283">
        <v>1150</v>
      </c>
      <c r="Q244" s="283"/>
      <c r="R244" s="284">
        <v>1150</v>
      </c>
      <c r="S244" s="283">
        <v>0</v>
      </c>
      <c r="T244" s="312">
        <v>0</v>
      </c>
      <c r="U244" s="312">
        <v>0</v>
      </c>
      <c r="V244" s="312">
        <v>0</v>
      </c>
      <c r="W244" s="284">
        <f t="shared" si="61"/>
        <v>0</v>
      </c>
      <c r="X244" s="312">
        <v>0</v>
      </c>
      <c r="Y244" s="312">
        <v>0</v>
      </c>
      <c r="Z244" s="312">
        <v>0</v>
      </c>
      <c r="AA244" s="312">
        <v>0</v>
      </c>
      <c r="AB244" s="284">
        <f t="shared" si="62"/>
        <v>0</v>
      </c>
      <c r="AC244" s="312">
        <v>0</v>
      </c>
      <c r="AD244" s="312">
        <v>0</v>
      </c>
      <c r="AE244" s="312">
        <v>0</v>
      </c>
      <c r="AF244" s="312">
        <v>0</v>
      </c>
      <c r="AG244" s="284">
        <f t="shared" si="63"/>
        <v>0</v>
      </c>
      <c r="AH244" s="312">
        <v>0</v>
      </c>
      <c r="AI244" s="312">
        <v>0</v>
      </c>
      <c r="AJ244" s="312">
        <v>0</v>
      </c>
      <c r="AK244" s="312">
        <v>0</v>
      </c>
      <c r="AL244" s="284">
        <f t="shared" si="64"/>
        <v>0</v>
      </c>
      <c r="AM244" s="312">
        <v>0</v>
      </c>
      <c r="AN244" s="312">
        <v>0</v>
      </c>
      <c r="AO244" s="312">
        <v>0</v>
      </c>
      <c r="AP244" s="312">
        <v>0</v>
      </c>
      <c r="AQ244" s="284">
        <f t="shared" si="65"/>
        <v>0</v>
      </c>
    </row>
    <row r="245" spans="1:43" x14ac:dyDescent="0.3">
      <c r="B245" s="52"/>
      <c r="C245" s="52"/>
      <c r="F245" s="3"/>
      <c r="G245" s="3"/>
      <c r="H245" s="3"/>
      <c r="J245" s="64"/>
      <c r="K245" s="64"/>
      <c r="L245" s="64"/>
      <c r="M245" s="493"/>
      <c r="P245" s="3"/>
      <c r="Q245" s="3"/>
      <c r="R245" s="493"/>
      <c r="U245" s="3"/>
      <c r="V245" s="3"/>
      <c r="W245" s="493"/>
      <c r="Z245" s="3"/>
      <c r="AA245" s="3"/>
      <c r="AB245" s="493"/>
      <c r="AE245" s="3"/>
      <c r="AF245" s="3"/>
      <c r="AG245" s="493"/>
      <c r="AJ245" s="3"/>
      <c r="AK245" s="3"/>
      <c r="AL245" s="493"/>
      <c r="AO245" s="3"/>
      <c r="AP245" s="3"/>
      <c r="AQ245" s="493"/>
    </row>
    <row r="246" spans="1:43" ht="15.6" x14ac:dyDescent="0.3">
      <c r="B246" s="705" t="s">
        <v>111</v>
      </c>
      <c r="C246" s="713"/>
      <c r="D246" s="90" t="s">
        <v>120</v>
      </c>
      <c r="E246" s="90" t="s">
        <v>121</v>
      </c>
      <c r="F246" s="90" t="s">
        <v>122</v>
      </c>
      <c r="G246" s="90" t="s">
        <v>123</v>
      </c>
      <c r="H246" s="403" t="s">
        <v>123</v>
      </c>
      <c r="I246" s="90" t="s">
        <v>124</v>
      </c>
      <c r="J246" s="90" t="s">
        <v>125</v>
      </c>
      <c r="K246" s="90" t="s">
        <v>126</v>
      </c>
      <c r="L246" s="90" t="s">
        <v>127</v>
      </c>
      <c r="M246" s="403" t="s">
        <v>127</v>
      </c>
      <c r="N246" s="90" t="s">
        <v>128</v>
      </c>
      <c r="O246" s="90" t="s">
        <v>129</v>
      </c>
      <c r="P246" s="90" t="s">
        <v>130</v>
      </c>
      <c r="Q246" s="90" t="s">
        <v>131</v>
      </c>
      <c r="R246" s="403" t="s">
        <v>131</v>
      </c>
      <c r="S246" s="90" t="s">
        <v>132</v>
      </c>
      <c r="T246" s="92" t="s">
        <v>133</v>
      </c>
      <c r="U246" s="92" t="s">
        <v>134</v>
      </c>
      <c r="V246" s="92" t="s">
        <v>135</v>
      </c>
      <c r="W246" s="407" t="s">
        <v>135</v>
      </c>
      <c r="X246" s="92" t="s">
        <v>136</v>
      </c>
      <c r="Y246" s="92" t="s">
        <v>137</v>
      </c>
      <c r="Z246" s="92" t="s">
        <v>138</v>
      </c>
      <c r="AA246" s="92" t="s">
        <v>139</v>
      </c>
      <c r="AB246" s="407" t="s">
        <v>139</v>
      </c>
      <c r="AC246" s="92" t="s">
        <v>140</v>
      </c>
      <c r="AD246" s="92" t="s">
        <v>141</v>
      </c>
      <c r="AE246" s="92" t="s">
        <v>142</v>
      </c>
      <c r="AF246" s="92" t="s">
        <v>143</v>
      </c>
      <c r="AG246" s="407" t="s">
        <v>143</v>
      </c>
      <c r="AH246" s="92" t="s">
        <v>144</v>
      </c>
      <c r="AI246" s="92" t="s">
        <v>145</v>
      </c>
      <c r="AJ246" s="92" t="s">
        <v>146</v>
      </c>
      <c r="AK246" s="92" t="s">
        <v>147</v>
      </c>
      <c r="AL246" s="407" t="s">
        <v>147</v>
      </c>
      <c r="AM246" s="92" t="s">
        <v>148</v>
      </c>
      <c r="AN246" s="92" t="s">
        <v>149</v>
      </c>
      <c r="AO246" s="92" t="s">
        <v>150</v>
      </c>
      <c r="AP246" s="92" t="s">
        <v>151</v>
      </c>
      <c r="AQ246" s="407" t="s">
        <v>151</v>
      </c>
    </row>
    <row r="247" spans="1:43" ht="16.2" x14ac:dyDescent="0.45">
      <c r="B247" s="293" t="s">
        <v>3</v>
      </c>
      <c r="C247" s="409"/>
      <c r="D247" s="91" t="s">
        <v>71</v>
      </c>
      <c r="E247" s="91" t="s">
        <v>74</v>
      </c>
      <c r="F247" s="91" t="s">
        <v>75</v>
      </c>
      <c r="G247" s="91" t="s">
        <v>78</v>
      </c>
      <c r="H247" s="404" t="s">
        <v>79</v>
      </c>
      <c r="I247" s="91" t="s">
        <v>80</v>
      </c>
      <c r="J247" s="91" t="s">
        <v>91</v>
      </c>
      <c r="K247" s="91" t="s">
        <v>109</v>
      </c>
      <c r="L247" s="91" t="s">
        <v>113</v>
      </c>
      <c r="M247" s="404" t="s">
        <v>114</v>
      </c>
      <c r="N247" s="91" t="s">
        <v>115</v>
      </c>
      <c r="O247" s="91" t="s">
        <v>116</v>
      </c>
      <c r="P247" s="91" t="s">
        <v>117</v>
      </c>
      <c r="Q247" s="91" t="s">
        <v>118</v>
      </c>
      <c r="R247" s="404" t="s">
        <v>119</v>
      </c>
      <c r="S247" s="91" t="s">
        <v>511</v>
      </c>
      <c r="T247" s="89" t="s">
        <v>377</v>
      </c>
      <c r="U247" s="89" t="s">
        <v>378</v>
      </c>
      <c r="V247" s="89" t="s">
        <v>379</v>
      </c>
      <c r="W247" s="408" t="s">
        <v>380</v>
      </c>
      <c r="X247" s="89" t="s">
        <v>381</v>
      </c>
      <c r="Y247" s="89" t="s">
        <v>382</v>
      </c>
      <c r="Z247" s="89" t="s">
        <v>383</v>
      </c>
      <c r="AA247" s="89" t="s">
        <v>384</v>
      </c>
      <c r="AB247" s="408" t="s">
        <v>385</v>
      </c>
      <c r="AC247" s="89" t="s">
        <v>386</v>
      </c>
      <c r="AD247" s="89" t="s">
        <v>387</v>
      </c>
      <c r="AE247" s="89" t="s">
        <v>388</v>
      </c>
      <c r="AF247" s="89" t="s">
        <v>389</v>
      </c>
      <c r="AG247" s="408" t="s">
        <v>390</v>
      </c>
      <c r="AH247" s="89" t="s">
        <v>391</v>
      </c>
      <c r="AI247" s="89" t="s">
        <v>392</v>
      </c>
      <c r="AJ247" s="89" t="s">
        <v>393</v>
      </c>
      <c r="AK247" s="89" t="s">
        <v>394</v>
      </c>
      <c r="AL247" s="408" t="s">
        <v>395</v>
      </c>
      <c r="AM247" s="89" t="s">
        <v>396</v>
      </c>
      <c r="AN247" s="89" t="s">
        <v>397</v>
      </c>
      <c r="AO247" s="89" t="s">
        <v>398</v>
      </c>
      <c r="AP247" s="89" t="s">
        <v>399</v>
      </c>
      <c r="AQ247" s="408" t="s">
        <v>400</v>
      </c>
    </row>
    <row r="248" spans="1:43" ht="14.4" customHeight="1" x14ac:dyDescent="0.3">
      <c r="B248" s="705" t="s">
        <v>6</v>
      </c>
      <c r="C248" s="713"/>
      <c r="D248" s="90"/>
      <c r="E248" s="90"/>
      <c r="F248" s="90"/>
      <c r="G248" s="90"/>
      <c r="H248" s="403"/>
      <c r="I248" s="90"/>
      <c r="J248" s="90"/>
      <c r="K248" s="90"/>
      <c r="L248" s="90"/>
      <c r="M248" s="403"/>
      <c r="N248" s="90"/>
      <c r="O248" s="90"/>
      <c r="P248" s="90"/>
      <c r="Q248" s="90"/>
      <c r="R248" s="403"/>
      <c r="S248" s="90"/>
      <c r="T248" s="92"/>
      <c r="U248" s="92"/>
      <c r="V248" s="92"/>
      <c r="W248" s="407"/>
      <c r="X248" s="92"/>
      <c r="Y248" s="92"/>
      <c r="Z248" s="92"/>
      <c r="AA248" s="92"/>
      <c r="AB248" s="407"/>
      <c r="AC248" s="92"/>
      <c r="AD248" s="92"/>
      <c r="AE248" s="92"/>
      <c r="AF248" s="92"/>
      <c r="AG248" s="407"/>
      <c r="AH248" s="92"/>
      <c r="AI248" s="92"/>
      <c r="AJ248" s="92"/>
      <c r="AK248" s="92"/>
      <c r="AL248" s="407"/>
      <c r="AM248" s="92"/>
      <c r="AN248" s="92"/>
      <c r="AO248" s="92"/>
      <c r="AP248" s="92"/>
      <c r="AQ248" s="407"/>
    </row>
    <row r="249" spans="1:43" ht="14.4" customHeight="1" outlineLevel="1" x14ac:dyDescent="0.3">
      <c r="B249" s="720" t="s">
        <v>43</v>
      </c>
      <c r="C249" s="721"/>
      <c r="D249" s="100">
        <f>D344</f>
        <v>3543</v>
      </c>
      <c r="E249" s="100">
        <f>E344</f>
        <v>3647</v>
      </c>
      <c r="F249" s="100">
        <f>F344</f>
        <v>2841</v>
      </c>
      <c r="G249" s="93">
        <f>G344</f>
        <v>3534</v>
      </c>
      <c r="H249" s="94">
        <f>G249</f>
        <v>3534</v>
      </c>
      <c r="I249" s="93">
        <f>I344</f>
        <v>2989</v>
      </c>
      <c r="J249" s="100">
        <f>J344</f>
        <v>3059</v>
      </c>
      <c r="K249" s="100">
        <f>K344</f>
        <v>3173</v>
      </c>
      <c r="L249" s="93">
        <f>L344</f>
        <v>3969</v>
      </c>
      <c r="M249" s="94">
        <f>L249</f>
        <v>3969</v>
      </c>
      <c r="N249" s="100">
        <f>N344</f>
        <v>3503</v>
      </c>
      <c r="O249" s="100">
        <f>O344</f>
        <v>2768</v>
      </c>
      <c r="P249" s="100">
        <f>P344</f>
        <v>2789</v>
      </c>
      <c r="Q249" s="93">
        <f>Q344</f>
        <v>3265.1257859999969</v>
      </c>
      <c r="R249" s="94">
        <f>Q249</f>
        <v>3265.1257859999969</v>
      </c>
      <c r="S249" s="100">
        <f>S344</f>
        <v>2369.1257859999969</v>
      </c>
      <c r="T249" s="93">
        <f>T344</f>
        <v>2864.789508197206</v>
      </c>
      <c r="U249" s="93">
        <f>U344</f>
        <v>2880.8194882034686</v>
      </c>
      <c r="V249" s="93">
        <f>V344</f>
        <v>5512.5847459608758</v>
      </c>
      <c r="W249" s="94">
        <f>V249</f>
        <v>5512.5847459608758</v>
      </c>
      <c r="X249" s="93">
        <f>X344</f>
        <v>6123.2540547137687</v>
      </c>
      <c r="Y249" s="93">
        <f>Y344</f>
        <v>6834.3655414252325</v>
      </c>
      <c r="Z249" s="93">
        <f>Z344</f>
        <v>7390.5968836984293</v>
      </c>
      <c r="AA249" s="93">
        <f>AA344</f>
        <v>10085.488908714951</v>
      </c>
      <c r="AB249" s="94">
        <f>AA249</f>
        <v>10085.488908714951</v>
      </c>
      <c r="AC249" s="93">
        <f>AC344</f>
        <v>10989.711012741633</v>
      </c>
      <c r="AD249" s="93">
        <f>AD344</f>
        <v>12090.8593744149</v>
      </c>
      <c r="AE249" s="93">
        <f>AE344</f>
        <v>12758.056566279063</v>
      </c>
      <c r="AF249" s="93">
        <f>AF344</f>
        <v>15891.343694606048</v>
      </c>
      <c r="AG249" s="94">
        <f>AF249</f>
        <v>15891.343694606048</v>
      </c>
      <c r="AH249" s="93">
        <f>AH344</f>
        <v>16734.855842331715</v>
      </c>
      <c r="AI249" s="93">
        <f>AI344</f>
        <v>17701.820034476357</v>
      </c>
      <c r="AJ249" s="93">
        <f>AJ344</f>
        <v>18254.884702327174</v>
      </c>
      <c r="AK249" s="93">
        <f>AK344</f>
        <v>21439.740585205414</v>
      </c>
      <c r="AL249" s="94">
        <f>AK249</f>
        <v>21439.740585205414</v>
      </c>
      <c r="AM249" s="93">
        <f>AM344</f>
        <v>22368.687455035015</v>
      </c>
      <c r="AN249" s="93">
        <f>AN344</f>
        <v>23431.784727158469</v>
      </c>
      <c r="AO249" s="93">
        <f>AO344</f>
        <v>24003.954348788797</v>
      </c>
      <c r="AP249" s="93">
        <f>AP344</f>
        <v>27394.363118379828</v>
      </c>
      <c r="AQ249" s="94">
        <f>AP249</f>
        <v>27394.363118379828</v>
      </c>
    </row>
    <row r="250" spans="1:43" s="111" customFormat="1" ht="14.4" customHeight="1" outlineLevel="1" x14ac:dyDescent="0.3">
      <c r="A250" s="230"/>
      <c r="B250" s="720" t="s">
        <v>209</v>
      </c>
      <c r="C250" s="721"/>
      <c r="D250" s="100">
        <v>5617</v>
      </c>
      <c r="E250" s="93">
        <v>5865</v>
      </c>
      <c r="F250" s="93">
        <v>5634</v>
      </c>
      <c r="G250" s="93">
        <v>7252</v>
      </c>
      <c r="H250" s="94">
        <f>G250</f>
        <v>7252</v>
      </c>
      <c r="I250" s="93">
        <v>7233</v>
      </c>
      <c r="J250" s="100">
        <v>7575</v>
      </c>
      <c r="K250" s="100">
        <v>7418</v>
      </c>
      <c r="L250" s="93">
        <v>7599</v>
      </c>
      <c r="M250" s="94">
        <f>L250</f>
        <v>7599</v>
      </c>
      <c r="N250" s="100">
        <v>8006</v>
      </c>
      <c r="O250" s="93">
        <v>8655</v>
      </c>
      <c r="P250" s="93">
        <v>8671</v>
      </c>
      <c r="Q250" s="93">
        <v>8522</v>
      </c>
      <c r="R250" s="94">
        <f>Q250</f>
        <v>8522</v>
      </c>
      <c r="S250" s="100">
        <v>8716</v>
      </c>
      <c r="T250" s="93">
        <f>(T13/T294*2)-S250</f>
        <v>9435.6350456690998</v>
      </c>
      <c r="U250" s="93">
        <f>(U13/U294*2)-T250</f>
        <v>9319.136151232753</v>
      </c>
      <c r="V250" s="93">
        <f>(V13/V294*2)-U250</f>
        <v>9242.3966614641176</v>
      </c>
      <c r="W250" s="94">
        <f>V250</f>
        <v>9242.3966614641176</v>
      </c>
      <c r="X250" s="93">
        <f>(X13/X294*2)-V250</f>
        <v>8979.1054391692414</v>
      </c>
      <c r="Y250" s="93">
        <f>(Y13/Y294*2)-X250</f>
        <v>10058.035675316518</v>
      </c>
      <c r="Z250" s="93">
        <f>(Z13/Z294*2)-Y250</f>
        <v>9709.3374446162197</v>
      </c>
      <c r="AA250" s="93">
        <f>(AA13/AA294*2)-Z250</f>
        <v>9878.1253869812754</v>
      </c>
      <c r="AB250" s="94">
        <f>AA250</f>
        <v>9878.1253869812754</v>
      </c>
      <c r="AC250" s="93">
        <f>(AC13/AC294*2)-AA250</f>
        <v>9358.0978459543185</v>
      </c>
      <c r="AD250" s="93">
        <f>(AD13/AD294*2)-AC250</f>
        <v>10713.472332199311</v>
      </c>
      <c r="AE250" s="93">
        <f>(AE13/AE294*2)-AD250</f>
        <v>10181.835934208641</v>
      </c>
      <c r="AF250" s="93">
        <f>(AF13/AF294*2)-AE250</f>
        <v>10535.986251442817</v>
      </c>
      <c r="AG250" s="94">
        <f>AF250</f>
        <v>10535.986251442817</v>
      </c>
      <c r="AH250" s="93">
        <f>(AH13/AH294*2)-AF250</f>
        <v>9722.2305029742784</v>
      </c>
      <c r="AI250" s="93">
        <f>(AI13/AI294*2)-AH250</f>
        <v>11385.870339105928</v>
      </c>
      <c r="AJ250" s="93">
        <f>(AJ13/AJ294*2)-AI250</f>
        <v>10600.021301316912</v>
      </c>
      <c r="AK250" s="93">
        <f>(AK13/AK294*2)-AJ250</f>
        <v>11171.64616353187</v>
      </c>
      <c r="AL250" s="94">
        <f>AK250</f>
        <v>11171.64616353187</v>
      </c>
      <c r="AM250" s="93">
        <f>(AM13/AM294*2)-AK250</f>
        <v>10075.783145434274</v>
      </c>
      <c r="AN250" s="93">
        <f>(AN13/AN294*2)-AM250</f>
        <v>12023.248077465934</v>
      </c>
      <c r="AO250" s="93">
        <f>(AO13/AO294*2)-AN250</f>
        <v>10993.923863155276</v>
      </c>
      <c r="AP250" s="93">
        <f>(AP13/AP294*2)-AO250</f>
        <v>11768.996433155309</v>
      </c>
      <c r="AQ250" s="94">
        <f>AP250</f>
        <v>11768.996433155309</v>
      </c>
    </row>
    <row r="251" spans="1:43" ht="14.4" customHeight="1" outlineLevel="1" x14ac:dyDescent="0.3">
      <c r="B251" s="291" t="s">
        <v>210</v>
      </c>
      <c r="C251" s="292"/>
      <c r="D251" s="100">
        <v>488</v>
      </c>
      <c r="E251" s="93">
        <v>493</v>
      </c>
      <c r="F251" s="93">
        <v>476</v>
      </c>
      <c r="G251" s="93">
        <v>496</v>
      </c>
      <c r="H251" s="94">
        <f>G251</f>
        <v>496</v>
      </c>
      <c r="I251" s="93">
        <v>512</v>
      </c>
      <c r="J251" s="100">
        <v>517</v>
      </c>
      <c r="K251" s="100">
        <v>527</v>
      </c>
      <c r="L251" s="93">
        <v>514</v>
      </c>
      <c r="M251" s="94">
        <f>L251</f>
        <v>514</v>
      </c>
      <c r="N251" s="100">
        <v>516</v>
      </c>
      <c r="O251" s="93">
        <v>533</v>
      </c>
      <c r="P251" s="93">
        <v>523</v>
      </c>
      <c r="Q251" s="139">
        <v>525</v>
      </c>
      <c r="R251" s="170">
        <f>Q251</f>
        <v>525</v>
      </c>
      <c r="S251" s="139">
        <v>523</v>
      </c>
      <c r="T251" s="139">
        <f>+T255*T296</f>
        <v>555.11328511211821</v>
      </c>
      <c r="U251" s="139">
        <f>+U255*U296</f>
        <v>563.09395143962638</v>
      </c>
      <c r="V251" s="139">
        <f>+V255*V296</f>
        <v>576.01634997911549</v>
      </c>
      <c r="W251" s="94">
        <f>V251</f>
        <v>576.01634997911549</v>
      </c>
      <c r="X251" s="139">
        <f>+X255*X296</f>
        <v>588.73876636841328</v>
      </c>
      <c r="Y251" s="139">
        <f>+Y255*Y296</f>
        <v>605.92919815044058</v>
      </c>
      <c r="Z251" s="139">
        <f>+Z255*Z296</f>
        <v>618.87727191346937</v>
      </c>
      <c r="AA251" s="139">
        <f>+AA255*AA296</f>
        <v>633.68775930283073</v>
      </c>
      <c r="AB251" s="94">
        <f>AA251</f>
        <v>633.68775930283073</v>
      </c>
      <c r="AC251" s="139">
        <f>+AC255*AC296</f>
        <v>648.28506896585225</v>
      </c>
      <c r="AD251" s="139">
        <f>+AD255*AD296</f>
        <v>663.66559798039236</v>
      </c>
      <c r="AE251" s="139">
        <f>+AE255*AE296</f>
        <v>678.5329048415839</v>
      </c>
      <c r="AF251" s="139">
        <f>+AF255*AF296</f>
        <v>694.42069480063117</v>
      </c>
      <c r="AG251" s="94">
        <f>AF251</f>
        <v>694.42069480063117</v>
      </c>
      <c r="AH251" s="139">
        <f>+AH255*AH296</f>
        <v>709.7403941797794</v>
      </c>
      <c r="AI251" s="139">
        <f>+AI255*AI296</f>
        <v>725.52407274114717</v>
      </c>
      <c r="AJ251" s="139">
        <f>+AJ255*AJ296</f>
        <v>741.43567231747068</v>
      </c>
      <c r="AK251" s="139">
        <f>+AK255*AK296</f>
        <v>758.14470807727355</v>
      </c>
      <c r="AL251" s="94">
        <f>AK251</f>
        <v>758.14470807727355</v>
      </c>
      <c r="AM251" s="139">
        <f>+AM255*AM296</f>
        <v>774.16661938710024</v>
      </c>
      <c r="AN251" s="139">
        <f>+AN255*AN296</f>
        <v>790.64809467784107</v>
      </c>
      <c r="AO251" s="139">
        <f>+AO255*AO296</f>
        <v>807.3595655472019</v>
      </c>
      <c r="AP251" s="139">
        <f>+AP255*AP296</f>
        <v>824.82311492049735</v>
      </c>
      <c r="AQ251" s="94">
        <f>AP251</f>
        <v>824.82311492049735</v>
      </c>
    </row>
    <row r="252" spans="1:43" ht="14.4" customHeight="1" outlineLevel="1" x14ac:dyDescent="0.3">
      <c r="B252" s="720" t="s">
        <v>211</v>
      </c>
      <c r="C252" s="721"/>
      <c r="D252" s="100">
        <v>606</v>
      </c>
      <c r="E252" s="100">
        <v>687</v>
      </c>
      <c r="F252" s="100">
        <v>608</v>
      </c>
      <c r="G252" s="100">
        <v>0</v>
      </c>
      <c r="H252" s="94">
        <f>G252</f>
        <v>0</v>
      </c>
      <c r="I252" s="100">
        <v>0</v>
      </c>
      <c r="J252" s="100">
        <f>I252</f>
        <v>0</v>
      </c>
      <c r="K252" s="100">
        <f>J252</f>
        <v>0</v>
      </c>
      <c r="L252" s="100">
        <f>K252</f>
        <v>0</v>
      </c>
      <c r="M252" s="94">
        <f>L252</f>
        <v>0</v>
      </c>
      <c r="N252" s="100">
        <f>M252</f>
        <v>0</v>
      </c>
      <c r="O252" s="100">
        <v>0</v>
      </c>
      <c r="P252" s="100">
        <v>0</v>
      </c>
      <c r="Q252" s="100">
        <v>0</v>
      </c>
      <c r="R252" s="94">
        <f>Q252</f>
        <v>0</v>
      </c>
      <c r="S252" s="100">
        <v>0</v>
      </c>
      <c r="T252" s="100">
        <v>0</v>
      </c>
      <c r="U252" s="100">
        <v>0</v>
      </c>
      <c r="V252" s="100">
        <v>0</v>
      </c>
      <c r="W252" s="94">
        <f>V252</f>
        <v>0</v>
      </c>
      <c r="X252" s="100">
        <v>0</v>
      </c>
      <c r="Y252" s="100">
        <v>0</v>
      </c>
      <c r="Z252" s="100">
        <v>0</v>
      </c>
      <c r="AA252" s="100">
        <v>0</v>
      </c>
      <c r="AB252" s="94">
        <f>AA252</f>
        <v>0</v>
      </c>
      <c r="AC252" s="100">
        <v>0</v>
      </c>
      <c r="AD252" s="100">
        <v>0</v>
      </c>
      <c r="AE252" s="100">
        <v>0</v>
      </c>
      <c r="AF252" s="100">
        <v>0</v>
      </c>
      <c r="AG252" s="94">
        <f>AF252</f>
        <v>0</v>
      </c>
      <c r="AH252" s="100">
        <v>0</v>
      </c>
      <c r="AI252" s="100">
        <v>0</v>
      </c>
      <c r="AJ252" s="100">
        <v>0</v>
      </c>
      <c r="AK252" s="100">
        <v>0</v>
      </c>
      <c r="AL252" s="94">
        <f>AK252</f>
        <v>0</v>
      </c>
      <c r="AM252" s="100">
        <v>0</v>
      </c>
      <c r="AN252" s="100">
        <v>0</v>
      </c>
      <c r="AO252" s="100">
        <v>0</v>
      </c>
      <c r="AP252" s="100">
        <v>0</v>
      </c>
      <c r="AQ252" s="94">
        <f>AP252</f>
        <v>0</v>
      </c>
    </row>
    <row r="253" spans="1:43" ht="16.2" customHeight="1" outlineLevel="1" x14ac:dyDescent="0.45">
      <c r="B253" s="720" t="s">
        <v>307</v>
      </c>
      <c r="C253" s="721"/>
      <c r="D253" s="101">
        <v>449</v>
      </c>
      <c r="E253" s="101">
        <v>460</v>
      </c>
      <c r="F253" s="101">
        <v>678</v>
      </c>
      <c r="G253" s="101">
        <v>707</v>
      </c>
      <c r="H253" s="99">
        <f>G253</f>
        <v>707</v>
      </c>
      <c r="I253" s="101">
        <v>667</v>
      </c>
      <c r="J253" s="101">
        <v>901</v>
      </c>
      <c r="K253" s="101">
        <v>820</v>
      </c>
      <c r="L253" s="101">
        <v>546</v>
      </c>
      <c r="M253" s="99">
        <f>L253</f>
        <v>546</v>
      </c>
      <c r="N253" s="101">
        <v>697</v>
      </c>
      <c r="O253" s="101">
        <v>925</v>
      </c>
      <c r="P253" s="101">
        <v>1592</v>
      </c>
      <c r="Q253" s="101">
        <v>1040</v>
      </c>
      <c r="R253" s="99">
        <f>Q253</f>
        <v>1040</v>
      </c>
      <c r="S253" s="101">
        <v>1033</v>
      </c>
      <c r="T253" s="242">
        <f>AVERAGE(O253,P253,Q253,S253)</f>
        <v>1147.5</v>
      </c>
      <c r="U253" s="242">
        <f>AVERAGE(P253,Q253,S253,T253)</f>
        <v>1203.125</v>
      </c>
      <c r="V253" s="242">
        <f>AVERAGE(Q253,S253,T253,U253)</f>
        <v>1105.90625</v>
      </c>
      <c r="W253" s="99">
        <f>V253</f>
        <v>1105.90625</v>
      </c>
      <c r="X253" s="242">
        <f>AVERAGE(S253,T253,U253,V253)</f>
        <v>1122.3828125</v>
      </c>
      <c r="Y253" s="242">
        <f>AVERAGE(T253,U253,V253,X253)</f>
        <v>1144.728515625</v>
      </c>
      <c r="Z253" s="242">
        <f>AVERAGE(U253,V253,X253,Y253)</f>
        <v>1144.03564453125</v>
      </c>
      <c r="AA253" s="242">
        <f>AVERAGE(V253,X253,Y253,Z253)</f>
        <v>1129.2633056640625</v>
      </c>
      <c r="AB253" s="99">
        <f>AA253</f>
        <v>1129.2633056640625</v>
      </c>
      <c r="AC253" s="242">
        <f>AVERAGE(X253,Y253,Z253,AA253)</f>
        <v>1135.1025695800781</v>
      </c>
      <c r="AD253" s="242">
        <f>AVERAGE(Y253,Z253,AA253,AC253)</f>
        <v>1138.2825088500977</v>
      </c>
      <c r="AE253" s="242">
        <f>AVERAGE(Z253,AA253,AC253,AD253)</f>
        <v>1136.6710071563721</v>
      </c>
      <c r="AF253" s="242">
        <f>AVERAGE(AA253,AC253,AD253,AE253)</f>
        <v>1134.8298478126526</v>
      </c>
      <c r="AG253" s="99">
        <f>AF253</f>
        <v>1134.8298478126526</v>
      </c>
      <c r="AH253" s="242">
        <f>AVERAGE(AC253,AD253,AE253,AF253)</f>
        <v>1136.2214833498001</v>
      </c>
      <c r="AI253" s="242">
        <f>AVERAGE(AD253,AE253,AF253,AH253)</f>
        <v>1136.5012117922306</v>
      </c>
      <c r="AJ253" s="242">
        <f>AVERAGE(AE253,AF253,AH253,AI253)</f>
        <v>1136.0558875277638</v>
      </c>
      <c r="AK253" s="242">
        <f>AVERAGE(AF253,AH253,AI253,AJ253)</f>
        <v>1135.9021076206118</v>
      </c>
      <c r="AL253" s="99">
        <f>AK253</f>
        <v>1135.9021076206118</v>
      </c>
      <c r="AM253" s="242">
        <f>AVERAGE(AH253,AI253,AJ253,AK253)</f>
        <v>1136.1701725726016</v>
      </c>
      <c r="AN253" s="242">
        <f>AVERAGE(AI253,AJ253,AK253,AM253)</f>
        <v>1136.157344878302</v>
      </c>
      <c r="AO253" s="242">
        <f>AVERAGE(AJ253,AK253,AM253,AN253)</f>
        <v>1136.0713781498198</v>
      </c>
      <c r="AP253" s="242">
        <f>AVERAGE(AK253,AM253,AN253,AO253)</f>
        <v>1136.0752508053338</v>
      </c>
      <c r="AQ253" s="99">
        <f>AP253</f>
        <v>1136.0752508053338</v>
      </c>
    </row>
    <row r="254" spans="1:43" ht="14.4" customHeight="1" outlineLevel="1" x14ac:dyDescent="0.3">
      <c r="B254" s="289" t="s">
        <v>4</v>
      </c>
      <c r="C254" s="290"/>
      <c r="D254" s="109">
        <f t="shared" ref="D254:AQ254" si="66">SUM(D249:D253)</f>
        <v>10703</v>
      </c>
      <c r="E254" s="107">
        <f t="shared" si="66"/>
        <v>11152</v>
      </c>
      <c r="F254" s="109">
        <f t="shared" si="66"/>
        <v>10237</v>
      </c>
      <c r="G254" s="109">
        <f t="shared" si="66"/>
        <v>11989</v>
      </c>
      <c r="H254" s="108">
        <f t="shared" si="66"/>
        <v>11989</v>
      </c>
      <c r="I254" s="107">
        <f t="shared" si="66"/>
        <v>11401</v>
      </c>
      <c r="J254" s="109">
        <f t="shared" si="66"/>
        <v>12052</v>
      </c>
      <c r="K254" s="109">
        <f t="shared" si="66"/>
        <v>11938</v>
      </c>
      <c r="L254" s="109">
        <f t="shared" si="66"/>
        <v>12628</v>
      </c>
      <c r="M254" s="108">
        <f t="shared" si="66"/>
        <v>12628</v>
      </c>
      <c r="N254" s="109">
        <f t="shared" si="66"/>
        <v>12722</v>
      </c>
      <c r="O254" s="107">
        <f t="shared" si="66"/>
        <v>12881</v>
      </c>
      <c r="P254" s="107">
        <f t="shared" si="66"/>
        <v>13575</v>
      </c>
      <c r="Q254" s="109">
        <f t="shared" si="66"/>
        <v>13352.125785999997</v>
      </c>
      <c r="R254" s="108">
        <f t="shared" si="66"/>
        <v>13352.125785999997</v>
      </c>
      <c r="S254" s="109">
        <f t="shared" si="66"/>
        <v>12641.125785999997</v>
      </c>
      <c r="T254" s="107">
        <f t="shared" si="66"/>
        <v>14003.037838978424</v>
      </c>
      <c r="U254" s="107">
        <f t="shared" si="66"/>
        <v>13966.174590875849</v>
      </c>
      <c r="V254" s="107">
        <f t="shared" si="66"/>
        <v>16436.904007404111</v>
      </c>
      <c r="W254" s="108">
        <f t="shared" si="66"/>
        <v>16436.904007404111</v>
      </c>
      <c r="X254" s="107">
        <f t="shared" si="66"/>
        <v>16813.481072751423</v>
      </c>
      <c r="Y254" s="107">
        <f t="shared" si="66"/>
        <v>18643.058930517189</v>
      </c>
      <c r="Z254" s="107">
        <f t="shared" si="66"/>
        <v>18862.847244759367</v>
      </c>
      <c r="AA254" s="107">
        <f t="shared" si="66"/>
        <v>21726.56536066312</v>
      </c>
      <c r="AB254" s="108">
        <f t="shared" si="66"/>
        <v>21726.56536066312</v>
      </c>
      <c r="AC254" s="107">
        <f t="shared" si="66"/>
        <v>22131.196497241879</v>
      </c>
      <c r="AD254" s="107">
        <f t="shared" si="66"/>
        <v>24606.2798134447</v>
      </c>
      <c r="AE254" s="107">
        <f t="shared" si="66"/>
        <v>24755.096412485658</v>
      </c>
      <c r="AF254" s="107">
        <f t="shared" si="66"/>
        <v>28256.580488662148</v>
      </c>
      <c r="AG254" s="108">
        <f t="shared" si="66"/>
        <v>28256.580488662148</v>
      </c>
      <c r="AH254" s="107">
        <f t="shared" si="66"/>
        <v>28303.048222835572</v>
      </c>
      <c r="AI254" s="107">
        <f t="shared" si="66"/>
        <v>30949.715658115663</v>
      </c>
      <c r="AJ254" s="107">
        <f t="shared" si="66"/>
        <v>30732.397563489321</v>
      </c>
      <c r="AK254" s="107">
        <f t="shared" si="66"/>
        <v>34505.433564435167</v>
      </c>
      <c r="AL254" s="108">
        <f t="shared" si="66"/>
        <v>34505.433564435167</v>
      </c>
      <c r="AM254" s="107">
        <f t="shared" si="66"/>
        <v>34354.807392428993</v>
      </c>
      <c r="AN254" s="107">
        <f t="shared" si="66"/>
        <v>37381.838244180544</v>
      </c>
      <c r="AO254" s="107">
        <f t="shared" si="66"/>
        <v>36941.309155641095</v>
      </c>
      <c r="AP254" s="107">
        <f t="shared" si="66"/>
        <v>41124.257917260962</v>
      </c>
      <c r="AQ254" s="108">
        <f t="shared" si="66"/>
        <v>41124.257917260962</v>
      </c>
    </row>
    <row r="255" spans="1:43" outlineLevel="1" x14ac:dyDescent="0.3">
      <c r="B255" s="295" t="s">
        <v>303</v>
      </c>
      <c r="C255" s="290"/>
      <c r="D255" s="100">
        <v>43989</v>
      </c>
      <c r="E255" s="100">
        <v>45242</v>
      </c>
      <c r="F255" s="100">
        <v>46032</v>
      </c>
      <c r="G255" s="100">
        <v>47018</v>
      </c>
      <c r="H255" s="94">
        <f>G255</f>
        <v>47018</v>
      </c>
      <c r="I255" s="100">
        <v>48121</v>
      </c>
      <c r="J255" s="100">
        <v>48918</v>
      </c>
      <c r="K255" s="100">
        <v>49752</v>
      </c>
      <c r="L255" s="100">
        <v>50626</v>
      </c>
      <c r="M255" s="94">
        <f>L255</f>
        <v>50626</v>
      </c>
      <c r="N255" s="100">
        <v>51540</v>
      </c>
      <c r="O255" s="100">
        <v>53240</v>
      </c>
      <c r="P255" s="100">
        <v>54377</v>
      </c>
      <c r="Q255" s="100">
        <v>55121</v>
      </c>
      <c r="R255" s="94">
        <f>Q255</f>
        <v>55121</v>
      </c>
      <c r="S255" s="100">
        <v>56326</v>
      </c>
      <c r="T255" s="100">
        <f>S255-T327</f>
        <v>57765.572500000002</v>
      </c>
      <c r="U255" s="100">
        <f>T255-U327</f>
        <v>59214.565300000002</v>
      </c>
      <c r="V255" s="100">
        <f>U255-V327</f>
        <v>60747</v>
      </c>
      <c r="W255" s="94">
        <f>V255</f>
        <v>60747</v>
      </c>
      <c r="X255" s="100">
        <f>V255-X327</f>
        <v>62158.004551726859</v>
      </c>
      <c r="Y255" s="100">
        <f>X255-Y327</f>
        <v>63659.710844904366</v>
      </c>
      <c r="Z255" s="100">
        <f>Y255-Z327</f>
        <v>65176.702885775216</v>
      </c>
      <c r="AA255" s="100">
        <f>Z255-AA327</f>
        <v>66761.081192890168</v>
      </c>
      <c r="AB255" s="94">
        <f>AA255</f>
        <v>66761.081192890168</v>
      </c>
      <c r="AC255" s="100">
        <f>AA255-AC327</f>
        <v>68281.591898037979</v>
      </c>
      <c r="AD255" s="100">
        <f>AC255-AD327</f>
        <v>69859.92380191783</v>
      </c>
      <c r="AE255" s="100">
        <f>AD255-AE327</f>
        <v>71459.33522132966</v>
      </c>
      <c r="AF255" s="100">
        <f>AE255-AF327</f>
        <v>73132.558085816097</v>
      </c>
      <c r="AG255" s="94">
        <f>AF255</f>
        <v>73132.558085816097</v>
      </c>
      <c r="AH255" s="100">
        <f>AF255-AH327</f>
        <v>74739.064744324118</v>
      </c>
      <c r="AI255" s="100">
        <f>AH255-AI327</f>
        <v>76397.226887392128</v>
      </c>
      <c r="AJ255" s="100">
        <f>AI255-AJ327</f>
        <v>78079.314946241648</v>
      </c>
      <c r="AK255" s="100">
        <f>AJ255-AK327</f>
        <v>79837.740948207444</v>
      </c>
      <c r="AL255" s="94">
        <f>AK255</f>
        <v>79837.740948207444</v>
      </c>
      <c r="AM255" s="100">
        <f>AK255-AM327</f>
        <v>81523.455433948417</v>
      </c>
      <c r="AN255" s="100">
        <f>AM255-AN327</f>
        <v>83259.033884031727</v>
      </c>
      <c r="AO255" s="100">
        <f>AN255-AO327</f>
        <v>85019.926743958393</v>
      </c>
      <c r="AP255" s="100">
        <f>AO255-AP327</f>
        <v>86858.506594718798</v>
      </c>
      <c r="AQ255" s="94">
        <f>AP255</f>
        <v>86858.506594718798</v>
      </c>
    </row>
    <row r="256" spans="1:43" ht="16.2" outlineLevel="1" x14ac:dyDescent="0.45">
      <c r="B256" s="123" t="s">
        <v>212</v>
      </c>
      <c r="C256" s="290"/>
      <c r="D256" s="101">
        <v>22506</v>
      </c>
      <c r="E256" s="101">
        <v>22964</v>
      </c>
      <c r="F256" s="101">
        <v>23480</v>
      </c>
      <c r="G256" s="101">
        <v>22734</v>
      </c>
      <c r="H256" s="99">
        <f>G256</f>
        <v>22734</v>
      </c>
      <c r="I256" s="101">
        <v>23317</v>
      </c>
      <c r="J256" s="101">
        <v>23611</v>
      </c>
      <c r="K256" s="101">
        <v>24139</v>
      </c>
      <c r="L256" s="101">
        <v>24645</v>
      </c>
      <c r="M256" s="99">
        <f>L256</f>
        <v>24645</v>
      </c>
      <c r="N256" s="101">
        <v>25305</v>
      </c>
      <c r="O256" s="101">
        <v>25950</v>
      </c>
      <c r="P256" s="101">
        <v>26680</v>
      </c>
      <c r="Q256" s="101">
        <v>26967</v>
      </c>
      <c r="R256" s="99">
        <f>Q256</f>
        <v>26967</v>
      </c>
      <c r="S256" s="101">
        <v>27547</v>
      </c>
      <c r="T256" s="101">
        <f>+S256+T312</f>
        <v>28290.577941909807</v>
      </c>
      <c r="U256" s="101">
        <f>+T256+U312</f>
        <v>29043.599518090374</v>
      </c>
      <c r="V256" s="101">
        <f>+U256+V312</f>
        <v>29815.990789584037</v>
      </c>
      <c r="W256" s="99">
        <f>V256</f>
        <v>29815.990789584037</v>
      </c>
      <c r="X256" s="101">
        <f>+V256+X312</f>
        <v>30617.009202534638</v>
      </c>
      <c r="Y256" s="101">
        <f>+X256+Y312</f>
        <v>31437.010854018761</v>
      </c>
      <c r="Z256" s="101">
        <f>+Y256+Z312</f>
        <v>32266.899316552353</v>
      </c>
      <c r="AA256" s="101">
        <f>+Z256+AA312</f>
        <v>33116.900959975319</v>
      </c>
      <c r="AB256" s="99">
        <f>AA256</f>
        <v>33116.900959975319</v>
      </c>
      <c r="AC256" s="101">
        <f>+AA256+AC312</f>
        <v>33997.025150804147</v>
      </c>
      <c r="AD256" s="101">
        <f>+AC256+AD312</f>
        <v>34897.345671291972</v>
      </c>
      <c r="AE256" s="101">
        <f>+AD256+AE312</f>
        <v>35808.090161100699</v>
      </c>
      <c r="AF256" s="101">
        <f>+AE256+AF312</f>
        <v>36740.026263485968</v>
      </c>
      <c r="AG256" s="99">
        <f>AF256</f>
        <v>36740.026263485968</v>
      </c>
      <c r="AH256" s="101">
        <f>+AF256+AH312</f>
        <v>37703.761573303869</v>
      </c>
      <c r="AI256" s="101">
        <f>+AH256+AI312</f>
        <v>38688.773964814136</v>
      </c>
      <c r="AJ256" s="101">
        <f>+AI256+AJ312</f>
        <v>39684.749160583327</v>
      </c>
      <c r="AK256" s="101">
        <f>+AJ256+AK312</f>
        <v>40702.991553881395</v>
      </c>
      <c r="AL256" s="99">
        <f>AK256</f>
        <v>40702.991553881395</v>
      </c>
      <c r="AM256" s="101">
        <f>+AK256+AM312</f>
        <v>41754.643518008255</v>
      </c>
      <c r="AN256" s="101">
        <f>+AM256+AN312</f>
        <v>42828.593342565524</v>
      </c>
      <c r="AO256" s="101">
        <f>+AN256+AO312</f>
        <v>43914.019572084326</v>
      </c>
      <c r="AP256" s="101">
        <f>+AO256+AP312</f>
        <v>45022.73994345047</v>
      </c>
      <c r="AQ256" s="99">
        <f>AP256</f>
        <v>45022.73994345047</v>
      </c>
    </row>
    <row r="257" spans="2:43" s="55" customFormat="1" outlineLevel="1" x14ac:dyDescent="0.3">
      <c r="B257" s="289" t="s">
        <v>304</v>
      </c>
      <c r="C257" s="290"/>
      <c r="D257" s="109">
        <f t="shared" ref="D257:AQ257" si="67">+D255-D256</f>
        <v>21483</v>
      </c>
      <c r="E257" s="109">
        <f t="shared" si="67"/>
        <v>22278</v>
      </c>
      <c r="F257" s="109">
        <f t="shared" si="67"/>
        <v>22552</v>
      </c>
      <c r="G257" s="109">
        <f t="shared" si="67"/>
        <v>24284</v>
      </c>
      <c r="H257" s="108">
        <f t="shared" si="67"/>
        <v>24284</v>
      </c>
      <c r="I257" s="109">
        <f t="shared" si="67"/>
        <v>24804</v>
      </c>
      <c r="J257" s="109">
        <f t="shared" si="67"/>
        <v>25307</v>
      </c>
      <c r="K257" s="109">
        <f t="shared" si="67"/>
        <v>25613</v>
      </c>
      <c r="L257" s="109">
        <f t="shared" si="67"/>
        <v>25981</v>
      </c>
      <c r="M257" s="108">
        <f t="shared" si="67"/>
        <v>25981</v>
      </c>
      <c r="N257" s="109">
        <f t="shared" si="67"/>
        <v>26235</v>
      </c>
      <c r="O257" s="109">
        <f t="shared" si="67"/>
        <v>27290</v>
      </c>
      <c r="P257" s="109">
        <f t="shared" si="67"/>
        <v>27697</v>
      </c>
      <c r="Q257" s="109">
        <f t="shared" si="67"/>
        <v>28154</v>
      </c>
      <c r="R257" s="108">
        <f t="shared" si="67"/>
        <v>28154</v>
      </c>
      <c r="S257" s="109">
        <f t="shared" si="67"/>
        <v>28779</v>
      </c>
      <c r="T257" s="109">
        <f t="shared" si="67"/>
        <v>29474.994558090195</v>
      </c>
      <c r="U257" s="109">
        <f t="shared" si="67"/>
        <v>30170.965781909628</v>
      </c>
      <c r="V257" s="109">
        <f t="shared" si="67"/>
        <v>30931.009210415963</v>
      </c>
      <c r="W257" s="108">
        <f t="shared" si="67"/>
        <v>30931.009210415963</v>
      </c>
      <c r="X257" s="109">
        <f t="shared" si="67"/>
        <v>31540.995349192221</v>
      </c>
      <c r="Y257" s="109">
        <f t="shared" si="67"/>
        <v>32222.699990885605</v>
      </c>
      <c r="Z257" s="109">
        <f t="shared" si="67"/>
        <v>32909.803569222859</v>
      </c>
      <c r="AA257" s="109">
        <f t="shared" si="67"/>
        <v>33644.180232914849</v>
      </c>
      <c r="AB257" s="108">
        <f t="shared" si="67"/>
        <v>33644.180232914849</v>
      </c>
      <c r="AC257" s="109">
        <f t="shared" si="67"/>
        <v>34284.566747233832</v>
      </c>
      <c r="AD257" s="109">
        <f t="shared" si="67"/>
        <v>34962.578130625858</v>
      </c>
      <c r="AE257" s="109">
        <f t="shared" si="67"/>
        <v>35651.245060228961</v>
      </c>
      <c r="AF257" s="109">
        <f t="shared" si="67"/>
        <v>36392.531822330129</v>
      </c>
      <c r="AG257" s="108">
        <f t="shared" si="67"/>
        <v>36392.531822330129</v>
      </c>
      <c r="AH257" s="109">
        <f t="shared" si="67"/>
        <v>37035.303171020249</v>
      </c>
      <c r="AI257" s="109">
        <f t="shared" si="67"/>
        <v>37708.452922577992</v>
      </c>
      <c r="AJ257" s="109">
        <f t="shared" si="67"/>
        <v>38394.56578565832</v>
      </c>
      <c r="AK257" s="109">
        <f t="shared" si="67"/>
        <v>39134.749394326049</v>
      </c>
      <c r="AL257" s="108">
        <f t="shared" si="67"/>
        <v>39134.749394326049</v>
      </c>
      <c r="AM257" s="109">
        <f t="shared" si="67"/>
        <v>39768.811915940161</v>
      </c>
      <c r="AN257" s="109">
        <f t="shared" si="67"/>
        <v>40430.440541466203</v>
      </c>
      <c r="AO257" s="109">
        <f t="shared" si="67"/>
        <v>41105.907171874067</v>
      </c>
      <c r="AP257" s="109">
        <f t="shared" si="67"/>
        <v>41835.766651268328</v>
      </c>
      <c r="AQ257" s="108">
        <f t="shared" si="67"/>
        <v>41835.766651268328</v>
      </c>
    </row>
    <row r="258" spans="2:43" outlineLevel="1" x14ac:dyDescent="0.3">
      <c r="B258" s="720" t="s">
        <v>44</v>
      </c>
      <c r="C258" s="721"/>
      <c r="D258" s="100">
        <v>3792</v>
      </c>
      <c r="E258" s="100">
        <v>3806</v>
      </c>
      <c r="F258" s="100">
        <v>3764</v>
      </c>
      <c r="G258" s="100">
        <v>6747</v>
      </c>
      <c r="H258" s="94">
        <f>G258</f>
        <v>6747</v>
      </c>
      <c r="I258" s="100">
        <v>6783</v>
      </c>
      <c r="J258" s="100">
        <v>6921</v>
      </c>
      <c r="K258" s="100">
        <v>7000</v>
      </c>
      <c r="L258" s="100">
        <v>7154</v>
      </c>
      <c r="M258" s="94">
        <f>L258</f>
        <v>7154</v>
      </c>
      <c r="N258" s="100">
        <v>7382</v>
      </c>
      <c r="O258" s="100">
        <v>7325</v>
      </c>
      <c r="P258" s="100">
        <v>7464</v>
      </c>
      <c r="Q258" s="100">
        <v>6973</v>
      </c>
      <c r="R258" s="94">
        <f>+Q258</f>
        <v>6973</v>
      </c>
      <c r="S258" s="100">
        <v>6869</v>
      </c>
      <c r="T258" s="244">
        <f>S258*(1+(2%/4))</f>
        <v>6903.3449999999993</v>
      </c>
      <c r="U258" s="244">
        <f>T258*(1+(2%/4))</f>
        <v>6937.8617249999988</v>
      </c>
      <c r="V258" s="244">
        <f>U258*(1+(2%/4))</f>
        <v>6972.5510336249981</v>
      </c>
      <c r="W258" s="94">
        <f>V258</f>
        <v>6972.5510336249981</v>
      </c>
      <c r="X258" s="244">
        <f>V258*(1+(2%/4))</f>
        <v>7007.413788793122</v>
      </c>
      <c r="Y258" s="244">
        <f>X258*(1+(2%/4))</f>
        <v>7042.4508577370871</v>
      </c>
      <c r="Z258" s="244">
        <f>Y258*(1+(2%/4))</f>
        <v>7077.6631120257716</v>
      </c>
      <c r="AA258" s="244">
        <f>Z258*(1+(2%/4))</f>
        <v>7113.0514275858995</v>
      </c>
      <c r="AB258" s="94">
        <f>AA258</f>
        <v>7113.0514275858995</v>
      </c>
      <c r="AC258" s="244">
        <f>AA258*(1+(2%/4))</f>
        <v>7148.6166847238283</v>
      </c>
      <c r="AD258" s="244">
        <f>AC258*(1+(2%/4))</f>
        <v>7184.3597681474466</v>
      </c>
      <c r="AE258" s="244">
        <f>AD258*(1+(2%/4))</f>
        <v>7220.2815669881829</v>
      </c>
      <c r="AF258" s="244">
        <f>AE258*(1+(2%/4))</f>
        <v>7256.3829748231228</v>
      </c>
      <c r="AG258" s="94">
        <f>AF258</f>
        <v>7256.3829748231228</v>
      </c>
      <c r="AH258" s="244">
        <f>AF258*(1+(2%/4))</f>
        <v>7292.6648896972374</v>
      </c>
      <c r="AI258" s="244">
        <f>AH258*(1+(2%/4))</f>
        <v>7329.1282141457232</v>
      </c>
      <c r="AJ258" s="244">
        <f>AI258*(1+(2%/4))</f>
        <v>7365.773855216451</v>
      </c>
      <c r="AK258" s="244">
        <f>AJ258*(1+(2%/4))</f>
        <v>7402.6027244925326</v>
      </c>
      <c r="AL258" s="94">
        <f>AK258</f>
        <v>7402.6027244925326</v>
      </c>
      <c r="AM258" s="244">
        <f>AK258*(1+(2%/4))</f>
        <v>7439.6157381149942</v>
      </c>
      <c r="AN258" s="244">
        <f>AM258*(1+(2%/4))</f>
        <v>7476.8138168055684</v>
      </c>
      <c r="AO258" s="244">
        <f>AN258*(1+(2%/4))</f>
        <v>7514.1978858895955</v>
      </c>
      <c r="AP258" s="244">
        <f>AO258*(1+(2%/4))</f>
        <v>7551.7688753190423</v>
      </c>
      <c r="AQ258" s="94">
        <f>AP258</f>
        <v>7551.7688753190423</v>
      </c>
    </row>
    <row r="259" spans="2:43" ht="16.2" outlineLevel="1" x14ac:dyDescent="0.45">
      <c r="B259" s="720" t="s">
        <v>213</v>
      </c>
      <c r="C259" s="721"/>
      <c r="D259" s="101">
        <v>1267</v>
      </c>
      <c r="E259" s="101">
        <v>1135</v>
      </c>
      <c r="F259" s="101">
        <v>1266</v>
      </c>
      <c r="G259" s="101">
        <v>2939</v>
      </c>
      <c r="H259" s="99">
        <f>G259</f>
        <v>2939</v>
      </c>
      <c r="I259" s="101">
        <v>2587</v>
      </c>
      <c r="J259" s="101">
        <v>2068</v>
      </c>
      <c r="K259" s="101">
        <v>2230</v>
      </c>
      <c r="L259" s="101">
        <v>2789</v>
      </c>
      <c r="M259" s="99">
        <f>L259</f>
        <v>2789</v>
      </c>
      <c r="N259" s="101">
        <v>3011</v>
      </c>
      <c r="O259" s="101">
        <v>2785</v>
      </c>
      <c r="P259" s="101">
        <v>3115</v>
      </c>
      <c r="Q259" s="101">
        <v>3821</v>
      </c>
      <c r="R259" s="99">
        <f>Q259</f>
        <v>3821</v>
      </c>
      <c r="S259" s="101">
        <v>3612</v>
      </c>
      <c r="T259" s="242">
        <f>S259*(1+(5%/4))</f>
        <v>3657.1499999999996</v>
      </c>
      <c r="U259" s="242">
        <f>T259*(1+(5%/4))</f>
        <v>3702.8643749999997</v>
      </c>
      <c r="V259" s="242">
        <f>U259*(1+(5%/4))</f>
        <v>3749.1501796874995</v>
      </c>
      <c r="W259" s="99">
        <f>V259</f>
        <v>3749.1501796874995</v>
      </c>
      <c r="X259" s="242">
        <f>V259*(1+(5%/4))</f>
        <v>3796.0145569335932</v>
      </c>
      <c r="Y259" s="242">
        <f>X259*(1+(5%/4))</f>
        <v>3843.4647388952631</v>
      </c>
      <c r="Z259" s="242">
        <f>Y259*(1+(5%/4))</f>
        <v>3891.5080481314535</v>
      </c>
      <c r="AA259" s="242">
        <f>Z259*(1+(5%/4))</f>
        <v>3940.1518987330965</v>
      </c>
      <c r="AB259" s="99">
        <f>AA259</f>
        <v>3940.1518987330965</v>
      </c>
      <c r="AC259" s="242">
        <f>AA259*(1+(5%/4))</f>
        <v>3989.4037974672601</v>
      </c>
      <c r="AD259" s="242">
        <f>AC259*(1+(5%/4))</f>
        <v>4039.2713449356006</v>
      </c>
      <c r="AE259" s="242">
        <f>AD259*(1+(5%/4))</f>
        <v>4089.7622367472954</v>
      </c>
      <c r="AF259" s="242">
        <f>AE259*(1+(5%/4))</f>
        <v>4140.8842647066367</v>
      </c>
      <c r="AG259" s="99">
        <f>AF259</f>
        <v>4140.8842647066367</v>
      </c>
      <c r="AH259" s="242">
        <f>AF259*(1+(5%/4))</f>
        <v>4192.6453180154695</v>
      </c>
      <c r="AI259" s="242">
        <f>AH259*(1+(5%/4))</f>
        <v>4245.0533844906622</v>
      </c>
      <c r="AJ259" s="242">
        <f>AI259*(1+(5%/4))</f>
        <v>4298.1165517967956</v>
      </c>
      <c r="AK259" s="242">
        <f>AJ259*(1+(5%/4))</f>
        <v>4351.8430086942553</v>
      </c>
      <c r="AL259" s="99">
        <f>AK259</f>
        <v>4351.8430086942553</v>
      </c>
      <c r="AM259" s="242">
        <f>AK259*(1+(5%/4))</f>
        <v>4406.2410463029337</v>
      </c>
      <c r="AN259" s="242">
        <f>AM259*(1+(5%/4))</f>
        <v>4461.3190593817199</v>
      </c>
      <c r="AO259" s="242">
        <f>AN259*(1+(5%/4))</f>
        <v>4517.0855476239913</v>
      </c>
      <c r="AP259" s="242">
        <f>AO259*(1+(5%/4))</f>
        <v>4573.5491169692914</v>
      </c>
      <c r="AQ259" s="99">
        <f>AP259</f>
        <v>4573.5491169692914</v>
      </c>
    </row>
    <row r="260" spans="2:43" outlineLevel="1" x14ac:dyDescent="0.3">
      <c r="B260" s="709" t="s">
        <v>5</v>
      </c>
      <c r="C260" s="710"/>
      <c r="D260" s="109">
        <f t="shared" ref="D260:AQ260" si="68">+D254+D257+D258+D259</f>
        <v>37245</v>
      </c>
      <c r="E260" s="107">
        <f t="shared" si="68"/>
        <v>38371</v>
      </c>
      <c r="F260" s="109">
        <f t="shared" si="68"/>
        <v>37819</v>
      </c>
      <c r="G260" s="109">
        <f t="shared" si="68"/>
        <v>45959</v>
      </c>
      <c r="H260" s="108">
        <f t="shared" si="68"/>
        <v>45959</v>
      </c>
      <c r="I260" s="107">
        <f t="shared" si="68"/>
        <v>45575</v>
      </c>
      <c r="J260" s="109">
        <f t="shared" si="68"/>
        <v>46348</v>
      </c>
      <c r="K260" s="109">
        <f t="shared" si="68"/>
        <v>46781</v>
      </c>
      <c r="L260" s="109">
        <f t="shared" si="68"/>
        <v>48552</v>
      </c>
      <c r="M260" s="108">
        <f t="shared" si="68"/>
        <v>48552</v>
      </c>
      <c r="N260" s="109">
        <f t="shared" si="68"/>
        <v>49350</v>
      </c>
      <c r="O260" s="107">
        <f t="shared" si="68"/>
        <v>50281</v>
      </c>
      <c r="P260" s="107">
        <f t="shared" si="68"/>
        <v>51851</v>
      </c>
      <c r="Q260" s="107">
        <f t="shared" si="68"/>
        <v>52300.125785999997</v>
      </c>
      <c r="R260" s="108">
        <f t="shared" si="68"/>
        <v>52300.125785999997</v>
      </c>
      <c r="S260" s="109">
        <f t="shared" si="68"/>
        <v>51901.125785999997</v>
      </c>
      <c r="T260" s="107">
        <f t="shared" si="68"/>
        <v>54038.527397068618</v>
      </c>
      <c r="U260" s="107">
        <f t="shared" si="68"/>
        <v>54777.86647278547</v>
      </c>
      <c r="V260" s="107">
        <f t="shared" si="68"/>
        <v>58089.614431132577</v>
      </c>
      <c r="W260" s="108">
        <f t="shared" si="68"/>
        <v>58089.614431132577</v>
      </c>
      <c r="X260" s="107">
        <f t="shared" si="68"/>
        <v>59157.904767670363</v>
      </c>
      <c r="Y260" s="107">
        <f t="shared" si="68"/>
        <v>61751.67451803515</v>
      </c>
      <c r="Z260" s="107">
        <f t="shared" si="68"/>
        <v>62741.82197413945</v>
      </c>
      <c r="AA260" s="107">
        <f t="shared" si="68"/>
        <v>66423.948919896968</v>
      </c>
      <c r="AB260" s="108">
        <f t="shared" si="68"/>
        <v>66423.948919896968</v>
      </c>
      <c r="AC260" s="107">
        <f t="shared" si="68"/>
        <v>67553.783726666792</v>
      </c>
      <c r="AD260" s="107">
        <f t="shared" si="68"/>
        <v>70792.489057153594</v>
      </c>
      <c r="AE260" s="107">
        <f t="shared" si="68"/>
        <v>71716.385276450092</v>
      </c>
      <c r="AF260" s="107">
        <f t="shared" si="68"/>
        <v>76046.379550522033</v>
      </c>
      <c r="AG260" s="108">
        <f t="shared" si="68"/>
        <v>76046.379550522033</v>
      </c>
      <c r="AH260" s="107">
        <f t="shared" si="68"/>
        <v>76823.661601568514</v>
      </c>
      <c r="AI260" s="107">
        <f t="shared" si="68"/>
        <v>80232.350179330038</v>
      </c>
      <c r="AJ260" s="107">
        <f t="shared" si="68"/>
        <v>80790.853756160883</v>
      </c>
      <c r="AK260" s="107">
        <f t="shared" si="68"/>
        <v>85394.628691948004</v>
      </c>
      <c r="AL260" s="108">
        <f t="shared" si="68"/>
        <v>85394.628691948004</v>
      </c>
      <c r="AM260" s="107">
        <f t="shared" si="68"/>
        <v>85969.476092787081</v>
      </c>
      <c r="AN260" s="107">
        <f t="shared" si="68"/>
        <v>89750.411661834049</v>
      </c>
      <c r="AO260" s="107">
        <f t="shared" si="68"/>
        <v>90078.499761028754</v>
      </c>
      <c r="AP260" s="107">
        <f t="shared" si="68"/>
        <v>95085.342560817633</v>
      </c>
      <c r="AQ260" s="108">
        <f t="shared" si="68"/>
        <v>95085.342560817633</v>
      </c>
    </row>
    <row r="261" spans="2:43" ht="15.6" x14ac:dyDescent="0.3">
      <c r="B261" s="705" t="s">
        <v>7</v>
      </c>
      <c r="C261" s="713"/>
      <c r="D261" s="90" t="s">
        <v>71</v>
      </c>
      <c r="E261" s="90" t="s">
        <v>74</v>
      </c>
      <c r="F261" s="90" t="s">
        <v>75</v>
      </c>
      <c r="G261" s="90" t="s">
        <v>78</v>
      </c>
      <c r="H261" s="403" t="s">
        <v>79</v>
      </c>
      <c r="I261" s="90" t="s">
        <v>80</v>
      </c>
      <c r="J261" s="90" t="s">
        <v>91</v>
      </c>
      <c r="K261" s="90" t="s">
        <v>109</v>
      </c>
      <c r="L261" s="90" t="s">
        <v>113</v>
      </c>
      <c r="M261" s="403" t="s">
        <v>114</v>
      </c>
      <c r="N261" s="90" t="s">
        <v>115</v>
      </c>
      <c r="O261" s="90" t="s">
        <v>116</v>
      </c>
      <c r="P261" s="90" t="s">
        <v>117</v>
      </c>
      <c r="Q261" s="90" t="s">
        <v>118</v>
      </c>
      <c r="R261" s="403" t="s">
        <v>119</v>
      </c>
      <c r="S261" s="90" t="s">
        <v>511</v>
      </c>
      <c r="T261" s="92" t="s">
        <v>377</v>
      </c>
      <c r="U261" s="92" t="s">
        <v>378</v>
      </c>
      <c r="V261" s="92" t="s">
        <v>379</v>
      </c>
      <c r="W261" s="407" t="s">
        <v>380</v>
      </c>
      <c r="X261" s="92" t="s">
        <v>381</v>
      </c>
      <c r="Y261" s="92" t="s">
        <v>382</v>
      </c>
      <c r="Z261" s="92" t="s">
        <v>383</v>
      </c>
      <c r="AA261" s="92" t="s">
        <v>384</v>
      </c>
      <c r="AB261" s="407" t="s">
        <v>385</v>
      </c>
      <c r="AC261" s="92" t="s">
        <v>386</v>
      </c>
      <c r="AD261" s="92" t="s">
        <v>387</v>
      </c>
      <c r="AE261" s="92" t="s">
        <v>388</v>
      </c>
      <c r="AF261" s="92" t="s">
        <v>389</v>
      </c>
      <c r="AG261" s="407" t="s">
        <v>390</v>
      </c>
      <c r="AH261" s="92" t="s">
        <v>391</v>
      </c>
      <c r="AI261" s="92" t="s">
        <v>392</v>
      </c>
      <c r="AJ261" s="92" t="s">
        <v>393</v>
      </c>
      <c r="AK261" s="92" t="s">
        <v>394</v>
      </c>
      <c r="AL261" s="407" t="s">
        <v>395</v>
      </c>
      <c r="AM261" s="92" t="s">
        <v>396</v>
      </c>
      <c r="AN261" s="92" t="s">
        <v>397</v>
      </c>
      <c r="AO261" s="92" t="s">
        <v>398</v>
      </c>
      <c r="AP261" s="92" t="s">
        <v>399</v>
      </c>
      <c r="AQ261" s="407" t="s">
        <v>400</v>
      </c>
    </row>
    <row r="262" spans="2:43" outlineLevel="1" x14ac:dyDescent="0.3">
      <c r="B262" s="178" t="s">
        <v>214</v>
      </c>
      <c r="C262" s="294"/>
      <c r="D262" s="377"/>
      <c r="E262" s="377"/>
      <c r="F262" s="377"/>
      <c r="G262" s="377"/>
      <c r="H262" s="378"/>
      <c r="I262" s="377"/>
      <c r="J262" s="377"/>
      <c r="K262" s="377"/>
      <c r="L262" s="377"/>
      <c r="M262" s="378"/>
      <c r="N262" s="377">
        <v>0</v>
      </c>
      <c r="O262" s="377">
        <v>250</v>
      </c>
      <c r="P262" s="377">
        <v>799</v>
      </c>
      <c r="Q262" s="377">
        <v>0</v>
      </c>
      <c r="R262" s="378">
        <f>Q262</f>
        <v>0</v>
      </c>
      <c r="S262" s="377">
        <v>299</v>
      </c>
      <c r="T262" s="377">
        <f>+T288*T303*T304</f>
        <v>308.99126734807248</v>
      </c>
      <c r="U262" s="377">
        <f>+U288*U303*U304</f>
        <v>318.36967708030642</v>
      </c>
      <c r="V262" s="377">
        <f>+V288*V303*V304</f>
        <v>341.34726910528912</v>
      </c>
      <c r="W262" s="378">
        <f>V262</f>
        <v>341.34726910528912</v>
      </c>
      <c r="X262" s="377">
        <f>+X288*X303*X304</f>
        <v>351.96147545207862</v>
      </c>
      <c r="Y262" s="377">
        <f>+Y288*Y303*Y304</f>
        <v>364.37923791036297</v>
      </c>
      <c r="Z262" s="377">
        <f>+Z288*Z303*Z304</f>
        <v>375.66569725607951</v>
      </c>
      <c r="AA262" s="377">
        <f>+AA288*AA303*AA304</f>
        <v>399.36492188320358</v>
      </c>
      <c r="AB262" s="378">
        <f>AA262</f>
        <v>399.36492188320358</v>
      </c>
      <c r="AC262" s="377">
        <f>+AC288*AC303*AC304</f>
        <v>413.57729431719343</v>
      </c>
      <c r="AD262" s="377">
        <f>+AD288*AD303*AD304</f>
        <v>428.33336334799162</v>
      </c>
      <c r="AE262" s="377">
        <f>+AE288*AE303*AE304</f>
        <v>442.06869940384945</v>
      </c>
      <c r="AF262" s="377">
        <f>+AF288*AF303*AF304</f>
        <v>468.41939522164557</v>
      </c>
      <c r="AG262" s="378">
        <f>AF262</f>
        <v>468.41939522164557</v>
      </c>
      <c r="AH262" s="377">
        <f>+AH288*AH303*AH304</f>
        <v>480.18888926938683</v>
      </c>
      <c r="AI262" s="377">
        <f>+AI288*AI303*AI304</f>
        <v>492.09415856862404</v>
      </c>
      <c r="AJ262" s="377">
        <f>+AJ288*AJ303*AJ304</f>
        <v>503.22377090140446</v>
      </c>
      <c r="AK262" s="377">
        <f>+AK288*AK303*AK304</f>
        <v>527.52490963309458</v>
      </c>
      <c r="AL262" s="378">
        <f>AK262</f>
        <v>527.52490963309458</v>
      </c>
      <c r="AM262" s="377">
        <f>+AM288*AM303*AM304</f>
        <v>539.41291286782052</v>
      </c>
      <c r="AN262" s="377">
        <f>+AN288*AN303*AN304</f>
        <v>551.16366127210097</v>
      </c>
      <c r="AO262" s="377">
        <f>+AO288*AO303*AO304</f>
        <v>562.26688115275806</v>
      </c>
      <c r="AP262" s="377">
        <f>+AP288*AP303*AP304</f>
        <v>586.71077354509055</v>
      </c>
      <c r="AQ262" s="378">
        <f>AP262</f>
        <v>586.71077354509055</v>
      </c>
    </row>
    <row r="263" spans="2:43" outlineLevel="1" x14ac:dyDescent="0.3">
      <c r="B263" s="724" t="s">
        <v>215</v>
      </c>
      <c r="C263" s="725"/>
      <c r="D263" s="377">
        <v>14</v>
      </c>
      <c r="E263" s="377">
        <v>14</v>
      </c>
      <c r="F263" s="377">
        <v>11</v>
      </c>
      <c r="G263" s="377">
        <v>29</v>
      </c>
      <c r="H263" s="378">
        <f>G263</f>
        <v>29</v>
      </c>
      <c r="I263" s="377">
        <v>47</v>
      </c>
      <c r="J263" s="377">
        <v>43</v>
      </c>
      <c r="K263" s="377">
        <v>45</v>
      </c>
      <c r="L263" s="377">
        <v>22</v>
      </c>
      <c r="M263" s="378">
        <f>L263</f>
        <v>22</v>
      </c>
      <c r="N263" s="377">
        <v>19</v>
      </c>
      <c r="O263" s="377">
        <v>11</v>
      </c>
      <c r="P263" s="377">
        <v>764</v>
      </c>
      <c r="Q263" s="377">
        <v>1342</v>
      </c>
      <c r="R263" s="378">
        <f>Q263</f>
        <v>1342</v>
      </c>
      <c r="S263" s="377">
        <v>1404</v>
      </c>
      <c r="T263" s="377">
        <f>+T288*T303*T305</f>
        <v>1450.915516243123</v>
      </c>
      <c r="U263" s="377">
        <f>+U288*U303*U305</f>
        <v>1494.9532662901345</v>
      </c>
      <c r="V263" s="377">
        <f>+V288*V303*V305</f>
        <v>1602.8480462335315</v>
      </c>
      <c r="W263" s="378">
        <f>V263</f>
        <v>1602.8480462335315</v>
      </c>
      <c r="X263" s="377">
        <f>+X288*X303*X305</f>
        <v>1652.6886673401953</v>
      </c>
      <c r="Y263" s="377">
        <f>+Y288*Y303*Y305</f>
        <v>1710.998160622574</v>
      </c>
      <c r="Z263" s="377">
        <f>+Z288*Z303*Z305</f>
        <v>1763.9954479850689</v>
      </c>
      <c r="AA263" s="377">
        <f>+AA288*AA303*AA305</f>
        <v>1875.2787636254777</v>
      </c>
      <c r="AB263" s="378">
        <f>AA263</f>
        <v>1875.2787636254777</v>
      </c>
      <c r="AC263" s="377">
        <f>+AC288*AC303*AC305</f>
        <v>1942.0151211416039</v>
      </c>
      <c r="AD263" s="377">
        <f>+AD288*AD303*AD305</f>
        <v>2011.3044887644824</v>
      </c>
      <c r="AE263" s="377">
        <f>+AE288*AE303*AE305</f>
        <v>2075.8008493745974</v>
      </c>
      <c r="AF263" s="377">
        <f>+AF288*AF303*AF305</f>
        <v>2199.5345514755531</v>
      </c>
      <c r="AG263" s="378">
        <f>AF263</f>
        <v>2199.5345514755531</v>
      </c>
      <c r="AH263" s="377">
        <f>+AH288*AH303*AH305</f>
        <v>2254.8000017866857</v>
      </c>
      <c r="AI263" s="377">
        <f>+AI288*AI303*AI305</f>
        <v>2310.7030054526695</v>
      </c>
      <c r="AJ263" s="377">
        <f>+AJ288*AJ303*AJ305</f>
        <v>2362.9637937978991</v>
      </c>
      <c r="AK263" s="377">
        <f>+AK288*AK303*AK305</f>
        <v>2477.073488711922</v>
      </c>
      <c r="AL263" s="378">
        <f>AK263</f>
        <v>2477.073488711922</v>
      </c>
      <c r="AM263" s="377">
        <f>+AM288*AM303*AM305</f>
        <v>2532.8954169445487</v>
      </c>
      <c r="AN263" s="377">
        <f>+AN288*AN303*AN305</f>
        <v>2588.0728442342129</v>
      </c>
      <c r="AO263" s="377">
        <f>+AO288*AO303*AO305</f>
        <v>2640.2097028042554</v>
      </c>
      <c r="AP263" s="377">
        <f>+AP288*AP303*AP305</f>
        <v>2754.989719255208</v>
      </c>
      <c r="AQ263" s="378">
        <f>AP263</f>
        <v>2754.989719255208</v>
      </c>
    </row>
    <row r="264" spans="2:43" outlineLevel="1" x14ac:dyDescent="0.3">
      <c r="B264" s="178" t="s">
        <v>216</v>
      </c>
      <c r="C264" s="128"/>
      <c r="D264" s="377">
        <v>1355</v>
      </c>
      <c r="E264" s="377">
        <v>1510</v>
      </c>
      <c r="F264" s="377">
        <v>1451</v>
      </c>
      <c r="G264" s="377">
        <v>1972</v>
      </c>
      <c r="H264" s="378">
        <f>G264</f>
        <v>1972</v>
      </c>
      <c r="I264" s="377">
        <v>1603</v>
      </c>
      <c r="J264" s="377">
        <v>1765</v>
      </c>
      <c r="K264" s="377">
        <v>1690</v>
      </c>
      <c r="L264" s="377">
        <v>1914</v>
      </c>
      <c r="M264" s="378">
        <f>L264</f>
        <v>1914</v>
      </c>
      <c r="N264" s="377">
        <v>1656</v>
      </c>
      <c r="O264" s="377">
        <v>1912</v>
      </c>
      <c r="P264" s="377">
        <v>1945</v>
      </c>
      <c r="Q264" s="377">
        <v>2177</v>
      </c>
      <c r="R264" s="378">
        <f>Q264</f>
        <v>2177</v>
      </c>
      <c r="S264" s="168">
        <v>1686</v>
      </c>
      <c r="T264" s="140">
        <f>(T15*(T297)+R264)/2</f>
        <v>2052.7660253499525</v>
      </c>
      <c r="U264" s="140">
        <f>(U15*(U297)+S264)/2</f>
        <v>1875.1924802782867</v>
      </c>
      <c r="V264" s="140">
        <f>(V15*(V297)+T264)/2</f>
        <v>2128.8396996290585</v>
      </c>
      <c r="W264" s="378">
        <f>V264</f>
        <v>2128.8396996290585</v>
      </c>
      <c r="X264" s="140">
        <f>(X15*(X297)+V264)/2</f>
        <v>2069.2845301496404</v>
      </c>
      <c r="Y264" s="140">
        <f>(Y15*(Y297)+W264)/2</f>
        <v>2065.421416337605</v>
      </c>
      <c r="Z264" s="140">
        <f>(Z15*(Z297)+X264)/2</f>
        <v>2111.0233290996725</v>
      </c>
      <c r="AA264" s="140">
        <f>(AA15*(AA297)+Y264)/2</f>
        <v>2182.5936071428805</v>
      </c>
      <c r="AB264" s="378">
        <f>AA264</f>
        <v>2182.5936071428805</v>
      </c>
      <c r="AC264" s="140">
        <f>(AC15*(AC297)+AA264)/2</f>
        <v>2135.1864646147478</v>
      </c>
      <c r="AD264" s="140">
        <f>(AD15*(AD297)+AB264)/2</f>
        <v>2131.5409069786356</v>
      </c>
      <c r="AE264" s="140">
        <f>(AE15*(AE297)+AC264)/2</f>
        <v>2188.548871105168</v>
      </c>
      <c r="AF264" s="140">
        <f>(AF15*(AF297)+AD264)/2</f>
        <v>2262.7542484632786</v>
      </c>
      <c r="AG264" s="378">
        <f>AF264</f>
        <v>2262.7542484632786</v>
      </c>
      <c r="AH264" s="140">
        <f>(AH15*(AH297)+AF264)/2</f>
        <v>2232.7253793461141</v>
      </c>
      <c r="AI264" s="140">
        <f>(AI15*(AI297)+AG264)/2</f>
        <v>2228.8927807887621</v>
      </c>
      <c r="AJ264" s="140">
        <f>(AJ15*(AJ297)+AH264)/2</f>
        <v>2299.0829653801397</v>
      </c>
      <c r="AK264" s="140">
        <f>(AK15*(AK297)+AI264)/2</f>
        <v>2375.726658890298</v>
      </c>
      <c r="AL264" s="378">
        <f>AK264</f>
        <v>2375.726658890298</v>
      </c>
      <c r="AM264" s="140">
        <f>(AM15*(AM297)+AK264)/2</f>
        <v>2345.2663019316378</v>
      </c>
      <c r="AN264" s="140">
        <f>(AN15*(AN297)+AL264)/2</f>
        <v>2340.6615630502938</v>
      </c>
      <c r="AO264" s="140">
        <f>(AO15*(AO297)+AM264)/2</f>
        <v>2414.2608698016493</v>
      </c>
      <c r="AP264" s="140">
        <f>(AP15*(AP297)+AN264)/2</f>
        <v>2492.7332249084302</v>
      </c>
      <c r="AQ264" s="378">
        <f>AP264</f>
        <v>2492.7332249084302</v>
      </c>
    </row>
    <row r="265" spans="2:43" s="111" customFormat="1" outlineLevel="1" x14ac:dyDescent="0.3">
      <c r="B265" s="724" t="s">
        <v>45</v>
      </c>
      <c r="C265" s="725"/>
      <c r="D265" s="377">
        <v>2049</v>
      </c>
      <c r="E265" s="377">
        <v>2129</v>
      </c>
      <c r="F265" s="377">
        <v>2024</v>
      </c>
      <c r="G265" s="377">
        <v>2944</v>
      </c>
      <c r="H265" s="378">
        <f>G265</f>
        <v>2944</v>
      </c>
      <c r="I265" s="377">
        <v>2851</v>
      </c>
      <c r="J265" s="377">
        <v>2954</v>
      </c>
      <c r="K265" s="377">
        <v>2707</v>
      </c>
      <c r="L265" s="377">
        <v>2752</v>
      </c>
      <c r="M265" s="378">
        <f>L265</f>
        <v>2752</v>
      </c>
      <c r="N265" s="377">
        <v>2938</v>
      </c>
      <c r="O265" s="377">
        <v>3147</v>
      </c>
      <c r="P265" s="377">
        <v>3102</v>
      </c>
      <c r="Q265" s="377">
        <v>2996</v>
      </c>
      <c r="R265" s="378">
        <f>Q265</f>
        <v>2996</v>
      </c>
      <c r="S265" s="377">
        <v>3066</v>
      </c>
      <c r="T265" s="377">
        <f>(T23/T298*2)-S265</f>
        <v>3511.980677415313</v>
      </c>
      <c r="U265" s="377">
        <f>(U23/U298*2)-T265</f>
        <v>3177.3330993635436</v>
      </c>
      <c r="V265" s="377">
        <f>(V23/V298*2)-U265</f>
        <v>3346.4717303754096</v>
      </c>
      <c r="W265" s="378">
        <f>V265</f>
        <v>3346.4717303754096</v>
      </c>
      <c r="X265" s="377">
        <f>(X23/X298*2)-V265</f>
        <v>2961.0506016892477</v>
      </c>
      <c r="Y265" s="377">
        <f>(Y23/Y298*2)-X265</f>
        <v>3867.5307125404779</v>
      </c>
      <c r="Z265" s="377">
        <f>(Z23/Z298*2)-Y265</f>
        <v>3108.1553326669909</v>
      </c>
      <c r="AA265" s="377">
        <f>(AA23/AA298*2)-Z265</f>
        <v>3696.2948545663176</v>
      </c>
      <c r="AB265" s="378">
        <f>AA265</f>
        <v>3696.2948545663176</v>
      </c>
      <c r="AC265" s="377">
        <f>(AC23/AC298*2)-AA265</f>
        <v>2856.1867661890838</v>
      </c>
      <c r="AD265" s="377">
        <f>(AD23/AD298*2)-AC265</f>
        <v>4240.0972800360087</v>
      </c>
      <c r="AE265" s="377">
        <f>(AE23/AE298*2)-AD265</f>
        <v>3024.4625196501884</v>
      </c>
      <c r="AF265" s="377">
        <f>(AF23/AF298*2)-AE265</f>
        <v>4058.7079623985364</v>
      </c>
      <c r="AG265" s="378">
        <f>AF265</f>
        <v>4058.7079623985364</v>
      </c>
      <c r="AH265" s="377">
        <f>(AH23/AH298*2)-AF265</f>
        <v>2854.4404947632001</v>
      </c>
      <c r="AI265" s="377">
        <f>(AI23/AI298*2)-AH265</f>
        <v>4632.5357049566355</v>
      </c>
      <c r="AJ265" s="377">
        <f>(AJ23/AJ298*2)-AI265</f>
        <v>3032.3012179301249</v>
      </c>
      <c r="AK265" s="377">
        <f>(AK23/AK298*2)-AJ265</f>
        <v>4431.3446600787056</v>
      </c>
      <c r="AL265" s="378">
        <f>AK265</f>
        <v>4431.3446600787056</v>
      </c>
      <c r="AM265" s="377">
        <f>(AM23/AM298*2)-AK265</f>
        <v>2833.6585179830035</v>
      </c>
      <c r="AN265" s="377">
        <f>(AN23/AN298*2)-AM265</f>
        <v>5030.4415397381899</v>
      </c>
      <c r="AO265" s="377">
        <f>(AO23/AO298*2)-AN265</f>
        <v>3016.1559349883883</v>
      </c>
      <c r="AP265" s="377">
        <f>(AP23/AP298*2)-AO265</f>
        <v>4809.1813767547083</v>
      </c>
      <c r="AQ265" s="378">
        <f>AP265</f>
        <v>4809.1813767547083</v>
      </c>
    </row>
    <row r="266" spans="2:43" ht="16.2" outlineLevel="1" x14ac:dyDescent="0.45">
      <c r="B266" s="724" t="s">
        <v>46</v>
      </c>
      <c r="C266" s="725"/>
      <c r="D266" s="379">
        <v>2426</v>
      </c>
      <c r="E266" s="379">
        <v>2298</v>
      </c>
      <c r="F266" s="379">
        <v>2453</v>
      </c>
      <c r="G266" s="379">
        <v>3063</v>
      </c>
      <c r="H266" s="380">
        <f>G266</f>
        <v>3063</v>
      </c>
      <c r="I266" s="379">
        <v>2973</v>
      </c>
      <c r="J266" s="379">
        <v>3045</v>
      </c>
      <c r="K266" s="379">
        <v>3008</v>
      </c>
      <c r="L266" s="379">
        <v>3230</v>
      </c>
      <c r="M266" s="380">
        <f>L266</f>
        <v>3230</v>
      </c>
      <c r="N266" s="379">
        <v>3177</v>
      </c>
      <c r="O266" s="379">
        <v>2907</v>
      </c>
      <c r="P266" s="379">
        <v>2893</v>
      </c>
      <c r="Q266" s="379">
        <v>3082</v>
      </c>
      <c r="R266" s="380">
        <f>Q266</f>
        <v>3082</v>
      </c>
      <c r="S266" s="379">
        <v>3151</v>
      </c>
      <c r="T266" s="242">
        <f>(T13*T300+S266)/2</f>
        <v>3232.5816220192482</v>
      </c>
      <c r="U266" s="242">
        <f>(U13*U300+T266)/2</f>
        <v>3185.86360539423</v>
      </c>
      <c r="V266" s="242">
        <f>(V13*V300+U266)/2</f>
        <v>3205.5816973615683</v>
      </c>
      <c r="W266" s="380">
        <f>V266</f>
        <v>3205.5816973615683</v>
      </c>
      <c r="X266" s="242">
        <f>(X13*X300+V266)/2</f>
        <v>3249.9457186373879</v>
      </c>
      <c r="Y266" s="242">
        <f>(Y13*Y300+X266)/2</f>
        <v>3362.8932503596184</v>
      </c>
      <c r="Z266" s="242">
        <f>(Z13*Z300+Y266)/2</f>
        <v>3335.7633182366294</v>
      </c>
      <c r="AA266" s="242">
        <f>(AA13*AA300+Z266)/2</f>
        <v>3369.6656761426129</v>
      </c>
      <c r="AB266" s="380">
        <f>AA266</f>
        <v>3369.6656761426129</v>
      </c>
      <c r="AC266" s="242">
        <f>(AC13*AC300+AA266)/2</f>
        <v>3423.7146603663459</v>
      </c>
      <c r="AD266" s="242">
        <f>(AD13*AD300+AC266)/2</f>
        <v>3544.2118251697684</v>
      </c>
      <c r="AE266" s="242">
        <f>(AE13*AE300+AD266)/2</f>
        <v>3520.8186556468445</v>
      </c>
      <c r="AF266" s="242">
        <f>(AF13*AF300+AE266)/2</f>
        <v>3560.4004224443065</v>
      </c>
      <c r="AG266" s="380">
        <f>AF266</f>
        <v>3560.4004224443065</v>
      </c>
      <c r="AH266" s="242">
        <f>(AH13*AH300+AF266)/2</f>
        <v>3611.4663823307765</v>
      </c>
      <c r="AI266" s="242">
        <f>(AI13*AI300+AH266)/2</f>
        <v>3732.7136473687369</v>
      </c>
      <c r="AJ266" s="242">
        <f>(AJ13*AJ300+AI266)/2</f>
        <v>3706.3396748106015</v>
      </c>
      <c r="AK266" s="242">
        <f>(AK13*AK300+AJ266)/2</f>
        <v>3744.7203681804922</v>
      </c>
      <c r="AL266" s="380">
        <f>AK266</f>
        <v>3744.7203681804922</v>
      </c>
      <c r="AM266" s="242">
        <f>(AM13*AM300+AK266)/2</f>
        <v>3793.0474285905648</v>
      </c>
      <c r="AN266" s="242">
        <f>(AN13*AN300+AM266)/2</f>
        <v>3913.9672344940232</v>
      </c>
      <c r="AO266" s="242">
        <f>(AO13*AO300+AN266)/2</f>
        <v>3883.2735464805769</v>
      </c>
      <c r="AP266" s="242">
        <f>(AP13*AP300+AO266)/2</f>
        <v>3919.3086276353292</v>
      </c>
      <c r="AQ266" s="380">
        <f>AP266</f>
        <v>3919.3086276353292</v>
      </c>
    </row>
    <row r="267" spans="2:43" outlineLevel="1" x14ac:dyDescent="0.3">
      <c r="B267" s="722" t="s">
        <v>8</v>
      </c>
      <c r="C267" s="723"/>
      <c r="D267" s="363">
        <f t="shared" ref="D267:AQ267" si="69">SUM(D262:D266)</f>
        <v>5844</v>
      </c>
      <c r="E267" s="363">
        <f t="shared" si="69"/>
        <v>5951</v>
      </c>
      <c r="F267" s="363">
        <f t="shared" si="69"/>
        <v>5939</v>
      </c>
      <c r="G267" s="363">
        <f t="shared" si="69"/>
        <v>8008</v>
      </c>
      <c r="H267" s="364">
        <f t="shared" si="69"/>
        <v>8008</v>
      </c>
      <c r="I267" s="363">
        <f t="shared" si="69"/>
        <v>7474</v>
      </c>
      <c r="J267" s="363">
        <f t="shared" si="69"/>
        <v>7807</v>
      </c>
      <c r="K267" s="363">
        <f t="shared" si="69"/>
        <v>7450</v>
      </c>
      <c r="L267" s="363">
        <f t="shared" si="69"/>
        <v>7918</v>
      </c>
      <c r="M267" s="364">
        <f t="shared" si="69"/>
        <v>7918</v>
      </c>
      <c r="N267" s="363">
        <f t="shared" si="69"/>
        <v>7790</v>
      </c>
      <c r="O267" s="363">
        <f t="shared" si="69"/>
        <v>8227</v>
      </c>
      <c r="P267" s="363">
        <f t="shared" si="69"/>
        <v>9503</v>
      </c>
      <c r="Q267" s="363">
        <f t="shared" si="69"/>
        <v>9597</v>
      </c>
      <c r="R267" s="364">
        <f t="shared" si="69"/>
        <v>9597</v>
      </c>
      <c r="S267" s="363">
        <f t="shared" si="69"/>
        <v>9606</v>
      </c>
      <c r="T267" s="363">
        <f t="shared" si="69"/>
        <v>10557.235108375709</v>
      </c>
      <c r="U267" s="363">
        <f t="shared" si="69"/>
        <v>10051.712128406502</v>
      </c>
      <c r="V267" s="363">
        <f t="shared" si="69"/>
        <v>10625.088442704857</v>
      </c>
      <c r="W267" s="364">
        <f t="shared" si="69"/>
        <v>10625.088442704857</v>
      </c>
      <c r="X267" s="363">
        <f t="shared" si="69"/>
        <v>10284.93099326855</v>
      </c>
      <c r="Y267" s="363">
        <f t="shared" si="69"/>
        <v>11371.222777770639</v>
      </c>
      <c r="Z267" s="363">
        <f t="shared" si="69"/>
        <v>10694.603125244441</v>
      </c>
      <c r="AA267" s="363">
        <f t="shared" si="69"/>
        <v>11523.197823360493</v>
      </c>
      <c r="AB267" s="364">
        <f t="shared" si="69"/>
        <v>11523.197823360493</v>
      </c>
      <c r="AC267" s="363">
        <f t="shared" si="69"/>
        <v>10770.680306628976</v>
      </c>
      <c r="AD267" s="363">
        <f t="shared" si="69"/>
        <v>12355.487864296887</v>
      </c>
      <c r="AE267" s="363">
        <f t="shared" si="69"/>
        <v>11251.699595180649</v>
      </c>
      <c r="AF267" s="363">
        <f t="shared" si="69"/>
        <v>12549.816580003322</v>
      </c>
      <c r="AG267" s="364">
        <f t="shared" si="69"/>
        <v>12549.816580003322</v>
      </c>
      <c r="AH267" s="363">
        <f t="shared" si="69"/>
        <v>11433.621147496164</v>
      </c>
      <c r="AI267" s="363">
        <f t="shared" si="69"/>
        <v>13396.939297135428</v>
      </c>
      <c r="AJ267" s="363">
        <f t="shared" si="69"/>
        <v>11903.911422820169</v>
      </c>
      <c r="AK267" s="363">
        <f t="shared" si="69"/>
        <v>13556.390085494513</v>
      </c>
      <c r="AL267" s="364">
        <f t="shared" si="69"/>
        <v>13556.390085494513</v>
      </c>
      <c r="AM267" s="363">
        <f t="shared" si="69"/>
        <v>12044.280578317575</v>
      </c>
      <c r="AN267" s="363">
        <f t="shared" si="69"/>
        <v>14424.306842788821</v>
      </c>
      <c r="AO267" s="363">
        <f t="shared" si="69"/>
        <v>12516.166935227629</v>
      </c>
      <c r="AP267" s="363">
        <f t="shared" si="69"/>
        <v>14562.923722098767</v>
      </c>
      <c r="AQ267" s="364">
        <f t="shared" si="69"/>
        <v>14562.923722098767</v>
      </c>
    </row>
    <row r="268" spans="2:43" ht="15.75" customHeight="1" outlineLevel="1" x14ac:dyDescent="0.3">
      <c r="B268" s="793" t="s">
        <v>217</v>
      </c>
      <c r="C268" s="794"/>
      <c r="D268" s="377">
        <v>7244</v>
      </c>
      <c r="E268" s="377">
        <v>8481</v>
      </c>
      <c r="F268" s="377">
        <v>8477</v>
      </c>
      <c r="G268" s="377">
        <v>13733</v>
      </c>
      <c r="H268" s="378">
        <f t="shared" ref="H268:H274" si="70">G268</f>
        <v>13733</v>
      </c>
      <c r="I268" s="377">
        <v>13735</v>
      </c>
      <c r="J268" s="377">
        <v>13553</v>
      </c>
      <c r="K268" s="377">
        <v>14713</v>
      </c>
      <c r="L268" s="377">
        <v>14909</v>
      </c>
      <c r="M268" s="378">
        <f t="shared" ref="M268:M274" si="71">L268</f>
        <v>14909</v>
      </c>
      <c r="N268" s="377">
        <v>15137</v>
      </c>
      <c r="O268" s="377">
        <v>15180</v>
      </c>
      <c r="P268" s="377">
        <v>16017</v>
      </c>
      <c r="Q268" s="377">
        <v>15243</v>
      </c>
      <c r="R268" s="378">
        <f t="shared" ref="R268:R274" si="72">Q268</f>
        <v>15243</v>
      </c>
      <c r="S268" s="377">
        <v>15241</v>
      </c>
      <c r="T268" s="377">
        <f>+T288*T303*(1-(T304+T305))</f>
        <v>15750.287309872816</v>
      </c>
      <c r="U268" s="377">
        <f>+U288*U303*(1-(U304+U305))</f>
        <v>16228.335278866052</v>
      </c>
      <c r="V268" s="377">
        <f>+V288*V303*(1-(V304+V305))</f>
        <v>17399.577687069268</v>
      </c>
      <c r="W268" s="378">
        <f>V268</f>
        <v>17399.577687069268</v>
      </c>
      <c r="X268" s="377">
        <f>+X288*X303*(1-(X304+X305))</f>
        <v>17940.618218612475</v>
      </c>
      <c r="Y268" s="377">
        <f>+Y288*Y303*(1-(Y304+Y305))</f>
        <v>18573.591856160005</v>
      </c>
      <c r="Z268" s="377">
        <f>+Z288*Z303*(1-(Z304+Z305))</f>
        <v>19148.899303946178</v>
      </c>
      <c r="AA268" s="377">
        <f>+AA288*AA303*(1-(AA304+AA305))</f>
        <v>20356.925666962892</v>
      </c>
      <c r="AB268" s="378">
        <f>AA268</f>
        <v>20356.925666962892</v>
      </c>
      <c r="AC268" s="377">
        <f>+AC288*AC303*(1-(AC304+AC305))</f>
        <v>21081.376396950986</v>
      </c>
      <c r="AD268" s="377">
        <f>+AD288*AD303*(1-(AD304+AD305))</f>
        <v>21833.541106310164</v>
      </c>
      <c r="AE268" s="377">
        <f>+AE288*AE303*(1-(AE304+AE305))</f>
        <v>22533.67574452866</v>
      </c>
      <c r="AF268" s="377">
        <f>+AF288*AF303*(1-(AF304+AF305))</f>
        <v>23876.856195896653</v>
      </c>
      <c r="AG268" s="378">
        <f>AF268</f>
        <v>23876.856195896653</v>
      </c>
      <c r="AH268" s="377">
        <f>+AH288*AH303*(1-(AH304+AH305))</f>
        <v>24476.785489480681</v>
      </c>
      <c r="AI268" s="377">
        <f>+AI288*AI303*(1-(AI304+AI305))</f>
        <v>25083.635688108356</v>
      </c>
      <c r="AJ268" s="377">
        <f>+AJ288*AJ303*(1-(AJ304+AJ305))</f>
        <v>25650.948134810384</v>
      </c>
      <c r="AK268" s="377">
        <f>+AK288*AK303*(1-(AK304+AK305))</f>
        <v>26889.65601243476</v>
      </c>
      <c r="AL268" s="378">
        <f>AK268</f>
        <v>26889.65601243476</v>
      </c>
      <c r="AM268" s="377">
        <f>+AM288*AM303*(1-(AM304+AM305))</f>
        <v>27495.62610374064</v>
      </c>
      <c r="AN268" s="377">
        <f>+AN288*AN303*(1-(AN304+AN305))</f>
        <v>28094.599871063845</v>
      </c>
      <c r="AO268" s="377">
        <f>+AO288*AO303*(1-(AO304+AO305))</f>
        <v>28660.567008860151</v>
      </c>
      <c r="AP268" s="377">
        <f>+AP288*AP303*(1-(AP304+AP305))</f>
        <v>29906.551503681356</v>
      </c>
      <c r="AQ268" s="378">
        <f>AP268</f>
        <v>29906.551503681356</v>
      </c>
    </row>
    <row r="269" spans="2:43" ht="15.75" customHeight="1" outlineLevel="1" x14ac:dyDescent="0.3">
      <c r="B269" s="381" t="s">
        <v>211</v>
      </c>
      <c r="C269" s="382"/>
      <c r="D269" s="377">
        <v>1781</v>
      </c>
      <c r="E269" s="377">
        <v>1759</v>
      </c>
      <c r="F269" s="377">
        <v>2046</v>
      </c>
      <c r="G269" s="377">
        <v>1567</v>
      </c>
      <c r="H269" s="378">
        <f t="shared" si="70"/>
        <v>1567</v>
      </c>
      <c r="I269" s="377">
        <v>1762</v>
      </c>
      <c r="J269" s="377">
        <v>2148</v>
      </c>
      <c r="K269" s="377">
        <v>2299</v>
      </c>
      <c r="L269" s="377">
        <v>2485</v>
      </c>
      <c r="M269" s="378">
        <f t="shared" si="71"/>
        <v>2485</v>
      </c>
      <c r="N269" s="377">
        <v>2730</v>
      </c>
      <c r="O269" s="377">
        <v>3088</v>
      </c>
      <c r="P269" s="377">
        <v>2401</v>
      </c>
      <c r="Q269" s="377">
        <v>2867</v>
      </c>
      <c r="R269" s="378">
        <f t="shared" si="72"/>
        <v>2867</v>
      </c>
      <c r="S269" s="377">
        <v>2948</v>
      </c>
      <c r="T269" s="244">
        <f>+S269*1.038</f>
        <v>3060.0239999999999</v>
      </c>
      <c r="U269" s="244">
        <f>+T269*1.038</f>
        <v>3176.3049120000001</v>
      </c>
      <c r="V269" s="244">
        <f>+U269*1.038</f>
        <v>3297.0044986560001</v>
      </c>
      <c r="W269" s="378">
        <f>+V269</f>
        <v>3297.0044986560001</v>
      </c>
      <c r="X269" s="244">
        <f>V269*1.038</f>
        <v>3422.2906696049281</v>
      </c>
      <c r="Y269" s="244">
        <f>+X269*1.038</f>
        <v>3552.3377150499155</v>
      </c>
      <c r="Z269" s="244">
        <f>+Y269*1.038</f>
        <v>3687.3265482218126</v>
      </c>
      <c r="AA269" s="244">
        <f>+Z269*1.038</f>
        <v>3827.4449570542415</v>
      </c>
      <c r="AB269" s="378">
        <f>+AA269</f>
        <v>3827.4449570542415</v>
      </c>
      <c r="AC269" s="244">
        <f>AA269*1.038</f>
        <v>3972.8878654223026</v>
      </c>
      <c r="AD269" s="244">
        <f>+AC269*1.038</f>
        <v>4123.8576043083503</v>
      </c>
      <c r="AE269" s="244">
        <f>+AD269*1.038</f>
        <v>4280.5641932720682</v>
      </c>
      <c r="AF269" s="244">
        <f>+AE269*1.038</f>
        <v>4443.225632616407</v>
      </c>
      <c r="AG269" s="378">
        <f>+AF269</f>
        <v>4443.225632616407</v>
      </c>
      <c r="AH269" s="244">
        <f>AF269*1.038</f>
        <v>4612.0682066558302</v>
      </c>
      <c r="AI269" s="244">
        <f>+AH269*1.038</f>
        <v>4787.3267985087523</v>
      </c>
      <c r="AJ269" s="244">
        <f>+AI269*1.038</f>
        <v>4969.2452168520849</v>
      </c>
      <c r="AK269" s="244">
        <f>+AJ269*1.038</f>
        <v>5158.0765350924639</v>
      </c>
      <c r="AL269" s="378">
        <f>+AK269</f>
        <v>5158.0765350924639</v>
      </c>
      <c r="AM269" s="244">
        <f>AK269*1.038</f>
        <v>5354.0834434259777</v>
      </c>
      <c r="AN269" s="244">
        <f>+AM269*1.038</f>
        <v>5557.5386142761654</v>
      </c>
      <c r="AO269" s="244">
        <f>+AN269*1.038</f>
        <v>5768.7250816186597</v>
      </c>
      <c r="AP269" s="244">
        <f>+AO269*1.038</f>
        <v>5987.9366347201694</v>
      </c>
      <c r="AQ269" s="378">
        <f>+AP269</f>
        <v>5987.9366347201694</v>
      </c>
    </row>
    <row r="270" spans="2:43" ht="15.75" customHeight="1" outlineLevel="1" x14ac:dyDescent="0.3">
      <c r="B270" s="381" t="s">
        <v>218</v>
      </c>
      <c r="C270" s="382"/>
      <c r="D270" s="377">
        <v>4806</v>
      </c>
      <c r="E270" s="377">
        <v>4702</v>
      </c>
      <c r="F270" s="377">
        <v>4628</v>
      </c>
      <c r="G270" s="377">
        <v>6227</v>
      </c>
      <c r="H270" s="378">
        <f t="shared" si="70"/>
        <v>6227</v>
      </c>
      <c r="I270" s="377">
        <v>6063</v>
      </c>
      <c r="J270" s="377">
        <v>5845</v>
      </c>
      <c r="K270" s="377">
        <v>4670</v>
      </c>
      <c r="L270" s="377">
        <v>4487</v>
      </c>
      <c r="M270" s="378">
        <f t="shared" si="71"/>
        <v>4487</v>
      </c>
      <c r="N270" s="377">
        <v>4313</v>
      </c>
      <c r="O270" s="377">
        <v>3868</v>
      </c>
      <c r="P270" s="377">
        <v>2181</v>
      </c>
      <c r="Q270" s="377">
        <v>2187</v>
      </c>
      <c r="R270" s="378">
        <f t="shared" si="72"/>
        <v>2187</v>
      </c>
      <c r="S270" s="377">
        <v>1963</v>
      </c>
      <c r="T270" s="377">
        <f>+(W270-S270)/3+S270</f>
        <v>1909.7933333333324</v>
      </c>
      <c r="U270" s="377">
        <f>+(W270-S270)/3+T270</f>
        <v>1856.5866666666648</v>
      </c>
      <c r="V270" s="377">
        <f>+(W270-S270)/3+U270</f>
        <v>1803.3799999999972</v>
      </c>
      <c r="W270" s="378">
        <f>-(W191+W194+W195-W197)</f>
        <v>1803.3799999999974</v>
      </c>
      <c r="X270" s="377">
        <f>+(AB270-V270)/4+V270</f>
        <v>1842.0011749999974</v>
      </c>
      <c r="Y270" s="377">
        <f>+(AB270-W270)/4+X270</f>
        <v>1880.6223499999976</v>
      </c>
      <c r="Z270" s="377">
        <f>+(AB270-W270)/4+Y270</f>
        <v>1919.2435249999978</v>
      </c>
      <c r="AA270" s="377">
        <f>+(AB270-W270)/4+Z270</f>
        <v>1957.864699999998</v>
      </c>
      <c r="AB270" s="378">
        <f>-(AB191+AB194+AB195-AB197)</f>
        <v>1957.8646999999983</v>
      </c>
      <c r="AC270" s="377">
        <f>+(AG270-AA270)/4+AA270</f>
        <v>1944.7948322499976</v>
      </c>
      <c r="AD270" s="377">
        <f>+(AG270-AB270)/4+AC270</f>
        <v>1931.7249644999972</v>
      </c>
      <c r="AE270" s="377">
        <f>+(AG270-AB270)/4+AD270</f>
        <v>1918.6550967499968</v>
      </c>
      <c r="AF270" s="377">
        <f>+(AG270-AB270)/4+AE270</f>
        <v>1905.5852289999964</v>
      </c>
      <c r="AG270" s="378">
        <f>-(AG191+AG194+AG195-AG197)</f>
        <v>1905.5852289999966</v>
      </c>
      <c r="AH270" s="377">
        <f>+(AL270-AF270)/4+AF270</f>
        <v>1893.8504705074963</v>
      </c>
      <c r="AI270" s="377">
        <f>+(AL270-AG270)/4+AH270</f>
        <v>1882.1157120149962</v>
      </c>
      <c r="AJ270" s="377">
        <f>+(AL270-AG270)/4+AI270</f>
        <v>1870.3809535224962</v>
      </c>
      <c r="AK270" s="377">
        <f>+(AL270-AG270)/4+AJ270</f>
        <v>1858.6461950299961</v>
      </c>
      <c r="AL270" s="378">
        <f>-(AL191+AL194+AL195-AL197)</f>
        <v>1858.6461950299963</v>
      </c>
      <c r="AM270" s="377">
        <f>+(AQ270-AK270)/4+AK270</f>
        <v>1846.5900034430204</v>
      </c>
      <c r="AN270" s="377">
        <f>+(AQ270-AL270)/4+AM270</f>
        <v>1834.5338118560446</v>
      </c>
      <c r="AO270" s="377">
        <f>+(AQ270-AL270)/4+AN270</f>
        <v>1822.4776202690689</v>
      </c>
      <c r="AP270" s="377">
        <f>+(AQ270-AL270)/4+AO270</f>
        <v>1810.4214286820932</v>
      </c>
      <c r="AQ270" s="378">
        <f>-(AQ191+AQ194+AQ195-AQ197)</f>
        <v>1810.4214286820934</v>
      </c>
    </row>
    <row r="271" spans="2:43" ht="15.75" customHeight="1" outlineLevel="1" x14ac:dyDescent="0.3">
      <c r="B271" s="381" t="s">
        <v>219</v>
      </c>
      <c r="C271" s="382"/>
      <c r="D271" s="377">
        <v>1186</v>
      </c>
      <c r="E271" s="377">
        <v>1265</v>
      </c>
      <c r="F271" s="377">
        <v>1282</v>
      </c>
      <c r="G271" s="377">
        <v>1314</v>
      </c>
      <c r="H271" s="378">
        <f t="shared" si="70"/>
        <v>1314</v>
      </c>
      <c r="I271" s="377">
        <v>1338</v>
      </c>
      <c r="J271" s="377">
        <v>1349</v>
      </c>
      <c r="K271" s="377">
        <v>1376</v>
      </c>
      <c r="L271" s="377">
        <v>1494</v>
      </c>
      <c r="M271" s="378">
        <f t="shared" si="71"/>
        <v>1494</v>
      </c>
      <c r="N271" s="377">
        <v>1603</v>
      </c>
      <c r="O271" s="377">
        <v>1651</v>
      </c>
      <c r="P271" s="377">
        <v>1715</v>
      </c>
      <c r="Q271" s="377">
        <v>1784</v>
      </c>
      <c r="R271" s="378">
        <f t="shared" si="72"/>
        <v>1784</v>
      </c>
      <c r="S271" s="377">
        <v>1809</v>
      </c>
      <c r="T271" s="244">
        <f>(T13*T301)*2-S271</f>
        <v>1736.1305707104766</v>
      </c>
      <c r="U271" s="244">
        <f>(U13*U301)*2-T271</f>
        <v>1907.4432402540642</v>
      </c>
      <c r="V271" s="244">
        <f>(V13*V301)*2-U271</f>
        <v>1870.0710569381854</v>
      </c>
      <c r="W271" s="378">
        <f>V271</f>
        <v>1870.0710569381854</v>
      </c>
      <c r="X271" s="244">
        <f>(X13*X301)*2-V271</f>
        <v>1927.9250590599386</v>
      </c>
      <c r="Y271" s="244">
        <f>(Y13*Y301)*2-X271</f>
        <v>1790.1505178284033</v>
      </c>
      <c r="Z271" s="244">
        <f>(Z13*Z301)*2-Y271</f>
        <v>2050.1460261917741</v>
      </c>
      <c r="AA271" s="244">
        <f>(AA13*AA301)*2-Z271</f>
        <v>1936.1584260713353</v>
      </c>
      <c r="AB271" s="378">
        <f>AA271</f>
        <v>1936.1584260713353</v>
      </c>
      <c r="AC271" s="244">
        <f>(AC13*AC301)*2-AA271</f>
        <v>2073.3409402088359</v>
      </c>
      <c r="AD271" s="244">
        <f>(AD13*AD301)*2-AC271</f>
        <v>1846.7652574810932</v>
      </c>
      <c r="AE271" s="244">
        <f>(AE13*AE301)*2-AD271</f>
        <v>2212.6603239992928</v>
      </c>
      <c r="AF271" s="244">
        <f>(AF13*AF301)*2-AE271</f>
        <v>2003.6870166390163</v>
      </c>
      <c r="AG271" s="378">
        <f>AF271</f>
        <v>2003.6870166390163</v>
      </c>
      <c r="AH271" s="244">
        <f>(AH13*AH301)*2-AF271</f>
        <v>2218.8314192944235</v>
      </c>
      <c r="AI271" s="244">
        <f>(AI13*AI301)*2-AH271</f>
        <v>1903.7158551866396</v>
      </c>
      <c r="AJ271" s="244">
        <f>(AJ13*AJ301)*2-AI271</f>
        <v>2367.5822668070859</v>
      </c>
      <c r="AK271" s="244">
        <f>(AK13*AK301)*2-AJ271</f>
        <v>2063.2363488798728</v>
      </c>
      <c r="AL271" s="378">
        <f>AK271</f>
        <v>2063.2363488798728</v>
      </c>
      <c r="AM271" s="244">
        <f>(AM13*AM301)*2-AK271</f>
        <v>2365.4684606754909</v>
      </c>
      <c r="AN271" s="244">
        <f>(AN13*AN301)*2-AM271</f>
        <v>1950.6138632736893</v>
      </c>
      <c r="AO271" s="244">
        <f>(AO13*AO301)*2-AN271</f>
        <v>2521.0357241747115</v>
      </c>
      <c r="AP271" s="244">
        <f>(AP13*AP301)*2-AO271</f>
        <v>2111.5157861370863</v>
      </c>
      <c r="AQ271" s="378">
        <f>AP271</f>
        <v>2111.5157861370863</v>
      </c>
    </row>
    <row r="272" spans="2:43" ht="15.75" customHeight="1" outlineLevel="1" x14ac:dyDescent="0.3">
      <c r="B272" s="381" t="s">
        <v>220</v>
      </c>
      <c r="C272" s="382"/>
      <c r="D272" s="377">
        <v>766</v>
      </c>
      <c r="E272" s="377">
        <v>840</v>
      </c>
      <c r="F272" s="377">
        <v>723</v>
      </c>
      <c r="G272" s="377">
        <v>400</v>
      </c>
      <c r="H272" s="378">
        <f t="shared" si="70"/>
        <v>400</v>
      </c>
      <c r="I272" s="377">
        <v>457</v>
      </c>
      <c r="J272" s="377">
        <v>547</v>
      </c>
      <c r="K272" s="377">
        <v>456</v>
      </c>
      <c r="L272" s="377">
        <v>531</v>
      </c>
      <c r="M272" s="378">
        <f t="shared" si="71"/>
        <v>531</v>
      </c>
      <c r="N272" s="377">
        <v>575</v>
      </c>
      <c r="O272" s="377">
        <v>633</v>
      </c>
      <c r="P272" s="377">
        <v>532</v>
      </c>
      <c r="Q272" s="377">
        <v>551</v>
      </c>
      <c r="R272" s="378">
        <f t="shared" si="72"/>
        <v>551</v>
      </c>
      <c r="S272" s="377">
        <v>557</v>
      </c>
      <c r="T272" s="377">
        <f t="shared" ref="T272:V274" si="73">S272*(O272/N272)</f>
        <v>613.18434782608688</v>
      </c>
      <c r="U272" s="377">
        <f t="shared" si="73"/>
        <v>515.34608695652173</v>
      </c>
      <c r="V272" s="377">
        <f t="shared" si="73"/>
        <v>533.75130434782614</v>
      </c>
      <c r="W272" s="378">
        <f>V272</f>
        <v>533.75130434782614</v>
      </c>
      <c r="X272" s="377">
        <f>V272*(S272/Q272)</f>
        <v>539.5634782608696</v>
      </c>
      <c r="Y272" s="377">
        <f t="shared" ref="Y272:AA274" si="74">X272*(T272/S272)</f>
        <v>593.98901172022681</v>
      </c>
      <c r="Z272" s="377">
        <f t="shared" si="74"/>
        <v>499.21351379962192</v>
      </c>
      <c r="AA272" s="377">
        <f t="shared" si="74"/>
        <v>517.04256786389419</v>
      </c>
      <c r="AB272" s="378">
        <f>AA272</f>
        <v>517.04256786389419</v>
      </c>
      <c r="AC272" s="377">
        <f>AA272*(X272/V272)</f>
        <v>522.67279546313807</v>
      </c>
      <c r="AD272" s="377">
        <f t="shared" ref="AD272:AF274" si="75">AC272*(Y272/X272)</f>
        <v>575.39457309246325</v>
      </c>
      <c r="AE272" s="377">
        <f t="shared" si="75"/>
        <v>483.58596032415556</v>
      </c>
      <c r="AF272" s="377">
        <f t="shared" si="75"/>
        <v>500.85688747858973</v>
      </c>
      <c r="AG272" s="378">
        <f>AF272</f>
        <v>500.85688747858973</v>
      </c>
      <c r="AH272" s="377">
        <f>AF272*(AC272/AA272)</f>
        <v>506.31086447472683</v>
      </c>
      <c r="AI272" s="377">
        <f t="shared" ref="AI272:AK274" si="76">AH272*(AD272/AC272)</f>
        <v>557.38222123913397</v>
      </c>
      <c r="AJ272" s="377">
        <f t="shared" si="76"/>
        <v>468.4476172183559</v>
      </c>
      <c r="AK272" s="377">
        <f t="shared" si="76"/>
        <v>485.17788926186864</v>
      </c>
      <c r="AL272" s="378">
        <f>AK272</f>
        <v>485.17788926186864</v>
      </c>
      <c r="AM272" s="377">
        <f>AK272*(AH272/AF272)</f>
        <v>490.46113306508323</v>
      </c>
      <c r="AN272" s="377">
        <f t="shared" ref="AN272:AP274" si="77">AM272*(AI272/AH272)</f>
        <v>539.93373431338728</v>
      </c>
      <c r="AO272" s="377">
        <f t="shared" si="77"/>
        <v>453.78317007065095</v>
      </c>
      <c r="AP272" s="377">
        <f t="shared" si="77"/>
        <v>469.98971185888854</v>
      </c>
      <c r="AQ272" s="378">
        <f>AP272</f>
        <v>469.98971185888854</v>
      </c>
    </row>
    <row r="273" spans="2:43" ht="15.75" customHeight="1" outlineLevel="1" x14ac:dyDescent="0.3">
      <c r="B273" s="381" t="s">
        <v>221</v>
      </c>
      <c r="C273" s="382"/>
      <c r="D273" s="377">
        <v>174</v>
      </c>
      <c r="E273" s="377">
        <v>167</v>
      </c>
      <c r="F273" s="377">
        <v>161</v>
      </c>
      <c r="G273" s="377">
        <v>155</v>
      </c>
      <c r="H273" s="378">
        <f t="shared" si="70"/>
        <v>155</v>
      </c>
      <c r="I273" s="377">
        <v>150</v>
      </c>
      <c r="J273" s="377">
        <v>145</v>
      </c>
      <c r="K273" s="377">
        <v>142</v>
      </c>
      <c r="L273" s="377">
        <v>137</v>
      </c>
      <c r="M273" s="378">
        <f t="shared" si="71"/>
        <v>137</v>
      </c>
      <c r="N273" s="377">
        <v>126</v>
      </c>
      <c r="O273" s="377">
        <v>122</v>
      </c>
      <c r="P273" s="377">
        <v>124</v>
      </c>
      <c r="Q273" s="377">
        <v>121</v>
      </c>
      <c r="R273" s="378">
        <f t="shared" si="72"/>
        <v>121</v>
      </c>
      <c r="S273" s="377">
        <v>156</v>
      </c>
      <c r="T273" s="377">
        <f t="shared" si="73"/>
        <v>151.04761904761904</v>
      </c>
      <c r="U273" s="377">
        <f t="shared" si="73"/>
        <v>153.52380952380952</v>
      </c>
      <c r="V273" s="377">
        <f t="shared" si="73"/>
        <v>149.8095238095238</v>
      </c>
      <c r="W273" s="378">
        <f>V273</f>
        <v>149.8095238095238</v>
      </c>
      <c r="X273" s="377">
        <f>V273*(S273/Q273)</f>
        <v>193.14285714285711</v>
      </c>
      <c r="Y273" s="377">
        <f t="shared" si="74"/>
        <v>187.01133786848067</v>
      </c>
      <c r="Z273" s="377">
        <f t="shared" si="74"/>
        <v>190.07709750566889</v>
      </c>
      <c r="AA273" s="377">
        <f t="shared" si="74"/>
        <v>185.47845804988657</v>
      </c>
      <c r="AB273" s="378">
        <f>AA273</f>
        <v>185.47845804988657</v>
      </c>
      <c r="AC273" s="377">
        <f>AA273*(X273/V273)</f>
        <v>239.12925170068019</v>
      </c>
      <c r="AD273" s="377">
        <f t="shared" si="75"/>
        <v>231.53784688478555</v>
      </c>
      <c r="AE273" s="377">
        <f t="shared" si="75"/>
        <v>235.33354929273287</v>
      </c>
      <c r="AF273" s="377">
        <f t="shared" si="75"/>
        <v>229.63999568081189</v>
      </c>
      <c r="AG273" s="378">
        <f>AF273</f>
        <v>229.63999568081189</v>
      </c>
      <c r="AH273" s="377">
        <f>AF273*(AC273/AA273)</f>
        <v>296.06478781988972</v>
      </c>
      <c r="AI273" s="377">
        <f t="shared" si="76"/>
        <v>286.66590566687734</v>
      </c>
      <c r="AJ273" s="377">
        <f t="shared" si="76"/>
        <v>291.36534674338355</v>
      </c>
      <c r="AK273" s="377">
        <f t="shared" si="76"/>
        <v>284.31618512862423</v>
      </c>
      <c r="AL273" s="378">
        <f>AK273</f>
        <v>284.31618512862423</v>
      </c>
      <c r="AM273" s="377">
        <f>AK273*(AH273/AF273)</f>
        <v>366.55640396748242</v>
      </c>
      <c r="AN273" s="377">
        <f t="shared" si="77"/>
        <v>354.91969273041951</v>
      </c>
      <c r="AO273" s="377">
        <f t="shared" si="77"/>
        <v>360.738048348951</v>
      </c>
      <c r="AP273" s="377">
        <f t="shared" si="77"/>
        <v>352.01051492115374</v>
      </c>
      <c r="AQ273" s="378">
        <f>AP273</f>
        <v>352.01051492115374</v>
      </c>
    </row>
    <row r="274" spans="2:43" ht="15.75" customHeight="1" outlineLevel="1" x14ac:dyDescent="0.45">
      <c r="B274" s="793" t="s">
        <v>47</v>
      </c>
      <c r="C274" s="794"/>
      <c r="D274" s="379">
        <v>161</v>
      </c>
      <c r="E274" s="379">
        <v>216</v>
      </c>
      <c r="F274" s="379">
        <v>236</v>
      </c>
      <c r="G274" s="379">
        <v>771</v>
      </c>
      <c r="H274" s="380">
        <f t="shared" si="70"/>
        <v>771</v>
      </c>
      <c r="I274" s="379">
        <v>454</v>
      </c>
      <c r="J274" s="379">
        <v>423</v>
      </c>
      <c r="K274" s="379">
        <v>491</v>
      </c>
      <c r="L274" s="379">
        <v>518</v>
      </c>
      <c r="M274" s="380">
        <f t="shared" si="71"/>
        <v>518</v>
      </c>
      <c r="N274" s="379">
        <v>458</v>
      </c>
      <c r="O274" s="379">
        <v>457</v>
      </c>
      <c r="P274" s="379">
        <v>484</v>
      </c>
      <c r="Q274" s="379">
        <v>534</v>
      </c>
      <c r="R274" s="380">
        <f t="shared" si="72"/>
        <v>534</v>
      </c>
      <c r="S274" s="379">
        <v>448</v>
      </c>
      <c r="T274" s="379">
        <f t="shared" si="73"/>
        <v>447.02183406113539</v>
      </c>
      <c r="U274" s="379">
        <f t="shared" si="73"/>
        <v>473.43231441048039</v>
      </c>
      <c r="V274" s="379">
        <f t="shared" si="73"/>
        <v>522.34061135371178</v>
      </c>
      <c r="W274" s="380">
        <f>V274</f>
        <v>522.34061135371178</v>
      </c>
      <c r="X274" s="379">
        <f>V274*(S274/Q274)</f>
        <v>438.21834061135371</v>
      </c>
      <c r="Y274" s="379">
        <f t="shared" si="74"/>
        <v>437.26153200739878</v>
      </c>
      <c r="Z274" s="379">
        <f t="shared" si="74"/>
        <v>463.09536431418167</v>
      </c>
      <c r="AA274" s="379">
        <f t="shared" si="74"/>
        <v>510.93579451192772</v>
      </c>
      <c r="AB274" s="380">
        <f>AA274</f>
        <v>510.93579451192772</v>
      </c>
      <c r="AC274" s="379">
        <f>AA274*(X274/V274)</f>
        <v>428.65025457180457</v>
      </c>
      <c r="AD274" s="379">
        <f t="shared" si="75"/>
        <v>427.71433698540324</v>
      </c>
      <c r="AE274" s="379">
        <f t="shared" si="75"/>
        <v>452.98411181823889</v>
      </c>
      <c r="AF274" s="379">
        <f t="shared" si="75"/>
        <v>499.77999113830487</v>
      </c>
      <c r="AG274" s="380">
        <f>AF274</f>
        <v>499.77999113830487</v>
      </c>
      <c r="AH274" s="379">
        <f>AF274*(AC274/AA274)</f>
        <v>419.29107870779137</v>
      </c>
      <c r="AI274" s="379">
        <f t="shared" si="76"/>
        <v>418.37559600318917</v>
      </c>
      <c r="AJ274" s="379">
        <f t="shared" si="76"/>
        <v>443.09362902744761</v>
      </c>
      <c r="AK274" s="379">
        <f t="shared" si="76"/>
        <v>488.86776425755585</v>
      </c>
      <c r="AL274" s="380">
        <f>AK274</f>
        <v>488.86776425755585</v>
      </c>
      <c r="AM274" s="379">
        <f>AK274*(AH274/AF274)</f>
        <v>410.13625166176973</v>
      </c>
      <c r="AN274" s="379">
        <f t="shared" si="77"/>
        <v>409.2407576625082</v>
      </c>
      <c r="AO274" s="379">
        <f t="shared" si="77"/>
        <v>433.41909564256883</v>
      </c>
      <c r="AP274" s="379">
        <f t="shared" si="77"/>
        <v>478.19379560564414</v>
      </c>
      <c r="AQ274" s="380">
        <f>AP274</f>
        <v>478.19379560564414</v>
      </c>
    </row>
    <row r="275" spans="2:43" outlineLevel="1" x14ac:dyDescent="0.3">
      <c r="B275" s="722" t="s">
        <v>10</v>
      </c>
      <c r="C275" s="723"/>
      <c r="D275" s="363">
        <f t="shared" ref="D275:AQ275" si="78">SUM(D267:D274)</f>
        <v>21962</v>
      </c>
      <c r="E275" s="363">
        <f t="shared" si="78"/>
        <v>23381</v>
      </c>
      <c r="F275" s="363">
        <f t="shared" si="78"/>
        <v>23492</v>
      </c>
      <c r="G275" s="363">
        <f t="shared" si="78"/>
        <v>32175</v>
      </c>
      <c r="H275" s="364">
        <f t="shared" si="78"/>
        <v>32175</v>
      </c>
      <c r="I275" s="363">
        <f t="shared" si="78"/>
        <v>31433</v>
      </c>
      <c r="J275" s="363">
        <f t="shared" si="78"/>
        <v>31817</v>
      </c>
      <c r="K275" s="363">
        <f t="shared" si="78"/>
        <v>31597</v>
      </c>
      <c r="L275" s="363">
        <f t="shared" si="78"/>
        <v>32479</v>
      </c>
      <c r="M275" s="364">
        <f t="shared" si="78"/>
        <v>32479</v>
      </c>
      <c r="N275" s="363">
        <f t="shared" si="78"/>
        <v>32732</v>
      </c>
      <c r="O275" s="363">
        <f t="shared" si="78"/>
        <v>33226</v>
      </c>
      <c r="P275" s="363">
        <f t="shared" si="78"/>
        <v>32957</v>
      </c>
      <c r="Q275" s="363">
        <f t="shared" si="78"/>
        <v>32884</v>
      </c>
      <c r="R275" s="364">
        <f t="shared" si="78"/>
        <v>32884</v>
      </c>
      <c r="S275" s="363">
        <f t="shared" si="78"/>
        <v>32728</v>
      </c>
      <c r="T275" s="363">
        <f t="shared" si="78"/>
        <v>34224.72412322717</v>
      </c>
      <c r="U275" s="363">
        <f t="shared" si="78"/>
        <v>34362.684437084099</v>
      </c>
      <c r="V275" s="363">
        <f>SUM(V267:V274)</f>
        <v>36201.023124879364</v>
      </c>
      <c r="W275" s="364">
        <f t="shared" si="78"/>
        <v>36201.023124879372</v>
      </c>
      <c r="X275" s="363">
        <f t="shared" si="78"/>
        <v>36588.69079156097</v>
      </c>
      <c r="Y275" s="363">
        <f t="shared" si="78"/>
        <v>38386.187098405077</v>
      </c>
      <c r="Z275" s="363">
        <f t="shared" si="78"/>
        <v>38652.60450422368</v>
      </c>
      <c r="AA275" s="363">
        <f t="shared" si="78"/>
        <v>40815.048393874669</v>
      </c>
      <c r="AB275" s="364">
        <f t="shared" si="78"/>
        <v>40815.048393874669</v>
      </c>
      <c r="AC275" s="363">
        <f t="shared" si="78"/>
        <v>41033.532643196711</v>
      </c>
      <c r="AD275" s="363">
        <f t="shared" si="78"/>
        <v>43326.023553859137</v>
      </c>
      <c r="AE275" s="363">
        <f t="shared" si="78"/>
        <v>43369.158575165791</v>
      </c>
      <c r="AF275" s="363">
        <f t="shared" si="78"/>
        <v>46009.4475284531</v>
      </c>
      <c r="AG275" s="364">
        <f t="shared" si="78"/>
        <v>46009.4475284531</v>
      </c>
      <c r="AH275" s="363">
        <f t="shared" si="78"/>
        <v>45856.823464436995</v>
      </c>
      <c r="AI275" s="363">
        <f t="shared" si="78"/>
        <v>48316.157073863375</v>
      </c>
      <c r="AJ275" s="363">
        <f t="shared" si="78"/>
        <v>47964.9745878014</v>
      </c>
      <c r="AK275" s="363">
        <f t="shared" si="78"/>
        <v>50784.36701557965</v>
      </c>
      <c r="AL275" s="364">
        <f t="shared" si="78"/>
        <v>50784.367015579657</v>
      </c>
      <c r="AM275" s="363">
        <f t="shared" si="78"/>
        <v>50373.202378297035</v>
      </c>
      <c r="AN275" s="363">
        <f t="shared" si="78"/>
        <v>53165.687187964882</v>
      </c>
      <c r="AO275" s="363">
        <f t="shared" si="78"/>
        <v>52536.912684212395</v>
      </c>
      <c r="AP275" s="363">
        <f t="shared" si="78"/>
        <v>55679.543097705158</v>
      </c>
      <c r="AQ275" s="364">
        <f t="shared" si="78"/>
        <v>55679.543097705158</v>
      </c>
    </row>
    <row r="276" spans="2:43" ht="6.75" customHeight="1" outlineLevel="1" x14ac:dyDescent="0.3">
      <c r="B276" s="761"/>
      <c r="C276" s="762"/>
      <c r="D276" s="377"/>
      <c r="E276" s="377"/>
      <c r="F276" s="377"/>
      <c r="G276" s="377"/>
      <c r="H276" s="378"/>
      <c r="I276" s="377"/>
      <c r="J276" s="377"/>
      <c r="K276" s="377"/>
      <c r="L276" s="377"/>
      <c r="M276" s="378"/>
      <c r="N276" s="377"/>
      <c r="O276" s="377"/>
      <c r="P276" s="377"/>
      <c r="Q276" s="383"/>
      <c r="R276" s="384"/>
      <c r="S276" s="383"/>
      <c r="T276" s="383"/>
      <c r="U276" s="383"/>
      <c r="V276" s="383"/>
      <c r="W276" s="384"/>
      <c r="X276" s="383"/>
      <c r="Y276" s="383"/>
      <c r="Z276" s="383"/>
      <c r="AA276" s="383"/>
      <c r="AB276" s="384"/>
      <c r="AC276" s="383"/>
      <c r="AD276" s="383"/>
      <c r="AE276" s="383"/>
      <c r="AF276" s="383"/>
      <c r="AG276" s="384"/>
      <c r="AH276" s="383"/>
      <c r="AI276" s="383"/>
      <c r="AJ276" s="383"/>
      <c r="AK276" s="383"/>
      <c r="AL276" s="384"/>
      <c r="AM276" s="383"/>
      <c r="AN276" s="383"/>
      <c r="AO276" s="383"/>
      <c r="AP276" s="383"/>
      <c r="AQ276" s="384"/>
    </row>
    <row r="277" spans="2:43" ht="14.25" customHeight="1" outlineLevel="1" x14ac:dyDescent="0.3">
      <c r="B277" s="747" t="s">
        <v>48</v>
      </c>
      <c r="C277" s="748"/>
      <c r="D277" s="385">
        <v>0</v>
      </c>
      <c r="E277" s="385">
        <f t="shared" ref="E277:AQ277" si="79">D277</f>
        <v>0</v>
      </c>
      <c r="F277" s="385">
        <f t="shared" si="79"/>
        <v>0</v>
      </c>
      <c r="G277" s="385">
        <f t="shared" si="79"/>
        <v>0</v>
      </c>
      <c r="H277" s="386">
        <f t="shared" si="79"/>
        <v>0</v>
      </c>
      <c r="I277" s="385">
        <f t="shared" si="79"/>
        <v>0</v>
      </c>
      <c r="J277" s="385">
        <f t="shared" si="79"/>
        <v>0</v>
      </c>
      <c r="K277" s="385">
        <f t="shared" si="79"/>
        <v>0</v>
      </c>
      <c r="L277" s="385">
        <f t="shared" si="79"/>
        <v>0</v>
      </c>
      <c r="M277" s="386">
        <f t="shared" si="79"/>
        <v>0</v>
      </c>
      <c r="N277" s="385">
        <f t="shared" si="79"/>
        <v>0</v>
      </c>
      <c r="O277" s="385">
        <f t="shared" si="79"/>
        <v>0</v>
      </c>
      <c r="P277" s="385">
        <f t="shared" si="79"/>
        <v>0</v>
      </c>
      <c r="Q277" s="385">
        <f t="shared" si="79"/>
        <v>0</v>
      </c>
      <c r="R277" s="386">
        <f t="shared" si="79"/>
        <v>0</v>
      </c>
      <c r="S277" s="385">
        <f t="shared" si="79"/>
        <v>0</v>
      </c>
      <c r="T277" s="385">
        <f t="shared" si="79"/>
        <v>0</v>
      </c>
      <c r="U277" s="385">
        <f t="shared" si="79"/>
        <v>0</v>
      </c>
      <c r="V277" s="385">
        <f t="shared" si="79"/>
        <v>0</v>
      </c>
      <c r="W277" s="386">
        <f t="shared" si="79"/>
        <v>0</v>
      </c>
      <c r="X277" s="385">
        <f t="shared" si="79"/>
        <v>0</v>
      </c>
      <c r="Y277" s="385">
        <f t="shared" si="79"/>
        <v>0</v>
      </c>
      <c r="Z277" s="385">
        <f t="shared" si="79"/>
        <v>0</v>
      </c>
      <c r="AA277" s="385">
        <f t="shared" si="79"/>
        <v>0</v>
      </c>
      <c r="AB277" s="386">
        <f t="shared" si="79"/>
        <v>0</v>
      </c>
      <c r="AC277" s="385">
        <f t="shared" si="79"/>
        <v>0</v>
      </c>
      <c r="AD277" s="385">
        <f t="shared" si="79"/>
        <v>0</v>
      </c>
      <c r="AE277" s="385">
        <f t="shared" si="79"/>
        <v>0</v>
      </c>
      <c r="AF277" s="385">
        <f t="shared" si="79"/>
        <v>0</v>
      </c>
      <c r="AG277" s="386">
        <f t="shared" si="79"/>
        <v>0</v>
      </c>
      <c r="AH277" s="385">
        <f t="shared" si="79"/>
        <v>0</v>
      </c>
      <c r="AI277" s="385">
        <f t="shared" si="79"/>
        <v>0</v>
      </c>
      <c r="AJ277" s="385">
        <f t="shared" si="79"/>
        <v>0</v>
      </c>
      <c r="AK277" s="385">
        <f t="shared" si="79"/>
        <v>0</v>
      </c>
      <c r="AL277" s="386">
        <f t="shared" si="79"/>
        <v>0</v>
      </c>
      <c r="AM277" s="385">
        <f t="shared" si="79"/>
        <v>0</v>
      </c>
      <c r="AN277" s="385">
        <f t="shared" si="79"/>
        <v>0</v>
      </c>
      <c r="AO277" s="385">
        <f t="shared" si="79"/>
        <v>0</v>
      </c>
      <c r="AP277" s="385">
        <f t="shared" si="79"/>
        <v>0</v>
      </c>
      <c r="AQ277" s="386">
        <f t="shared" si="79"/>
        <v>0</v>
      </c>
    </row>
    <row r="278" spans="2:43" ht="15.6" x14ac:dyDescent="0.3">
      <c r="B278" s="705" t="s">
        <v>405</v>
      </c>
      <c r="C278" s="713"/>
      <c r="D278" s="90" t="s">
        <v>71</v>
      </c>
      <c r="E278" s="90" t="s">
        <v>74</v>
      </c>
      <c r="F278" s="90" t="s">
        <v>75</v>
      </c>
      <c r="G278" s="90" t="s">
        <v>78</v>
      </c>
      <c r="H278" s="403" t="s">
        <v>79</v>
      </c>
      <c r="I278" s="90" t="s">
        <v>80</v>
      </c>
      <c r="J278" s="90" t="s">
        <v>91</v>
      </c>
      <c r="K278" s="90" t="s">
        <v>109</v>
      </c>
      <c r="L278" s="90" t="s">
        <v>113</v>
      </c>
      <c r="M278" s="403" t="s">
        <v>114</v>
      </c>
      <c r="N278" s="90" t="s">
        <v>115</v>
      </c>
      <c r="O278" s="90" t="s">
        <v>116</v>
      </c>
      <c r="P278" s="90" t="s">
        <v>117</v>
      </c>
      <c r="Q278" s="90" t="s">
        <v>118</v>
      </c>
      <c r="R278" s="403" t="s">
        <v>119</v>
      </c>
      <c r="S278" s="90" t="s">
        <v>511</v>
      </c>
      <c r="T278" s="92" t="s">
        <v>377</v>
      </c>
      <c r="U278" s="92" t="s">
        <v>378</v>
      </c>
      <c r="V278" s="92" t="s">
        <v>379</v>
      </c>
      <c r="W278" s="407" t="s">
        <v>380</v>
      </c>
      <c r="X278" s="92" t="s">
        <v>381</v>
      </c>
      <c r="Y278" s="92" t="s">
        <v>382</v>
      </c>
      <c r="Z278" s="92" t="s">
        <v>383</v>
      </c>
      <c r="AA278" s="92" t="s">
        <v>384</v>
      </c>
      <c r="AB278" s="407" t="s">
        <v>385</v>
      </c>
      <c r="AC278" s="92" t="s">
        <v>386</v>
      </c>
      <c r="AD278" s="92" t="s">
        <v>387</v>
      </c>
      <c r="AE278" s="92" t="s">
        <v>388</v>
      </c>
      <c r="AF278" s="92" t="s">
        <v>389</v>
      </c>
      <c r="AG278" s="407" t="s">
        <v>390</v>
      </c>
      <c r="AH278" s="92" t="s">
        <v>391</v>
      </c>
      <c r="AI278" s="92" t="s">
        <v>392</v>
      </c>
      <c r="AJ278" s="92" t="s">
        <v>393</v>
      </c>
      <c r="AK278" s="92" t="s">
        <v>394</v>
      </c>
      <c r="AL278" s="407" t="s">
        <v>395</v>
      </c>
      <c r="AM278" s="92" t="s">
        <v>396</v>
      </c>
      <c r="AN278" s="92" t="s">
        <v>397</v>
      </c>
      <c r="AO278" s="92" t="s">
        <v>398</v>
      </c>
      <c r="AP278" s="92" t="s">
        <v>399</v>
      </c>
      <c r="AQ278" s="407" t="s">
        <v>400</v>
      </c>
    </row>
    <row r="279" spans="2:43" outlineLevel="1" x14ac:dyDescent="0.3">
      <c r="B279" s="703" t="s">
        <v>11</v>
      </c>
      <c r="C279" s="704"/>
      <c r="D279" s="100">
        <v>32</v>
      </c>
      <c r="E279" s="93">
        <v>32</v>
      </c>
      <c r="F279" s="93">
        <v>32</v>
      </c>
      <c r="G279" s="93">
        <v>32</v>
      </c>
      <c r="H279" s="94">
        <f>G279</f>
        <v>32</v>
      </c>
      <c r="I279" s="93">
        <v>32</v>
      </c>
      <c r="J279" s="100">
        <v>32</v>
      </c>
      <c r="K279" s="93">
        <v>32</v>
      </c>
      <c r="L279" s="93">
        <v>32</v>
      </c>
      <c r="M279" s="94">
        <f>L279</f>
        <v>32</v>
      </c>
      <c r="N279" s="93">
        <v>32</v>
      </c>
      <c r="O279" s="93">
        <v>32</v>
      </c>
      <c r="P279" s="93">
        <v>32</v>
      </c>
      <c r="Q279" s="93">
        <v>32</v>
      </c>
      <c r="R279" s="94">
        <f>Q279</f>
        <v>32</v>
      </c>
      <c r="S279" s="100">
        <v>32</v>
      </c>
      <c r="T279" s="93">
        <f>S279</f>
        <v>32</v>
      </c>
      <c r="U279" s="93">
        <f>T279</f>
        <v>32</v>
      </c>
      <c r="V279" s="93">
        <f>U279</f>
        <v>32</v>
      </c>
      <c r="W279" s="94">
        <f>V279</f>
        <v>32</v>
      </c>
      <c r="X279" s="93">
        <f>V279</f>
        <v>32</v>
      </c>
      <c r="Y279" s="93">
        <f>X279</f>
        <v>32</v>
      </c>
      <c r="Z279" s="93">
        <f>Y279</f>
        <v>32</v>
      </c>
      <c r="AA279" s="93">
        <f>Z279</f>
        <v>32</v>
      </c>
      <c r="AB279" s="94">
        <f>AA279</f>
        <v>32</v>
      </c>
      <c r="AC279" s="93">
        <f>AA279</f>
        <v>32</v>
      </c>
      <c r="AD279" s="93">
        <f>AC279</f>
        <v>32</v>
      </c>
      <c r="AE279" s="93">
        <f>AD279</f>
        <v>32</v>
      </c>
      <c r="AF279" s="93">
        <f>AE279</f>
        <v>32</v>
      </c>
      <c r="AG279" s="94">
        <f>AF279</f>
        <v>32</v>
      </c>
      <c r="AH279" s="93">
        <f>AF279</f>
        <v>32</v>
      </c>
      <c r="AI279" s="93">
        <f>AH279</f>
        <v>32</v>
      </c>
      <c r="AJ279" s="93">
        <f>AI279</f>
        <v>32</v>
      </c>
      <c r="AK279" s="93">
        <f>AJ279</f>
        <v>32</v>
      </c>
      <c r="AL279" s="94">
        <f>AK279</f>
        <v>32</v>
      </c>
      <c r="AM279" s="93">
        <f>AK279</f>
        <v>32</v>
      </c>
      <c r="AN279" s="93">
        <f>AM279</f>
        <v>32</v>
      </c>
      <c r="AO279" s="93">
        <f>AN279</f>
        <v>32</v>
      </c>
      <c r="AP279" s="93">
        <f>AO279</f>
        <v>32</v>
      </c>
      <c r="AQ279" s="94">
        <f>AP279</f>
        <v>32</v>
      </c>
    </row>
    <row r="280" spans="2:43" outlineLevel="1" x14ac:dyDescent="0.3">
      <c r="B280" s="286" t="s">
        <v>222</v>
      </c>
      <c r="C280" s="287"/>
      <c r="D280" s="100">
        <v>2814</v>
      </c>
      <c r="E280" s="93">
        <v>2839</v>
      </c>
      <c r="F280" s="93">
        <v>2869</v>
      </c>
      <c r="G280" s="93">
        <v>2892</v>
      </c>
      <c r="H280" s="94">
        <f>G280</f>
        <v>2892</v>
      </c>
      <c r="I280" s="93">
        <v>2918</v>
      </c>
      <c r="J280" s="100">
        <v>2946</v>
      </c>
      <c r="K280" s="93">
        <v>2976</v>
      </c>
      <c r="L280" s="93">
        <v>3005</v>
      </c>
      <c r="M280" s="94">
        <f>L280</f>
        <v>3005</v>
      </c>
      <c r="N280" s="93">
        <v>3030</v>
      </c>
      <c r="O280" s="93">
        <v>3055</v>
      </c>
      <c r="P280" s="93">
        <v>3085</v>
      </c>
      <c r="Q280" s="93">
        <v>3117</v>
      </c>
      <c r="R280" s="94">
        <f>Q280</f>
        <v>3117</v>
      </c>
      <c r="S280" s="100">
        <v>3154</v>
      </c>
      <c r="T280" s="93">
        <f>+T314+S280</f>
        <v>3199.7005600154803</v>
      </c>
      <c r="U280" s="93">
        <f>+U314+T280</f>
        <v>3245.9599526958364</v>
      </c>
      <c r="V280" s="93">
        <f>+V314+U280</f>
        <v>3297.3327738582557</v>
      </c>
      <c r="W280" s="94">
        <f>V280</f>
        <v>3297.3327738582557</v>
      </c>
      <c r="X280" s="93">
        <f>+X314+V280</f>
        <v>3350.9275532383672</v>
      </c>
      <c r="Y280" s="93">
        <f>+Y314+X280</f>
        <v>3401.6227303122823</v>
      </c>
      <c r="Z280" s="93">
        <f>+Z314+Y280</f>
        <v>3453.6022996389206</v>
      </c>
      <c r="AA280" s="93">
        <f>+AA314+Z280</f>
        <v>3508.8254180261019</v>
      </c>
      <c r="AB280" s="94">
        <f>AA280</f>
        <v>3508.8254180261019</v>
      </c>
      <c r="AC280" s="93">
        <f>+AC314+AA280</f>
        <v>3562.3415771059949</v>
      </c>
      <c r="AD280" s="93">
        <f>+AD314+AC280</f>
        <v>3616.8208444499001</v>
      </c>
      <c r="AE280" s="93">
        <f>+AE314+AD280</f>
        <v>3672.3322400405846</v>
      </c>
      <c r="AF280" s="93">
        <f>+AF314+AE280</f>
        <v>3730.5911367587209</v>
      </c>
      <c r="AG280" s="94">
        <f>AF280</f>
        <v>3730.5911367587209</v>
      </c>
      <c r="AH280" s="93">
        <f>+AH314+AF280</f>
        <v>3786.5124431097365</v>
      </c>
      <c r="AI280" s="93">
        <f>+AI314+AH280</f>
        <v>3844.0720968123542</v>
      </c>
      <c r="AJ280" s="93">
        <f>+AJ314+AI280</f>
        <v>3902.5447868441788</v>
      </c>
      <c r="AK280" s="93">
        <f>+AK314+AJ280</f>
        <v>3963.6951408437371</v>
      </c>
      <c r="AL280" s="94">
        <f>AK280</f>
        <v>3963.6951408437371</v>
      </c>
      <c r="AM280" s="93">
        <f>+AM314+AK280</f>
        <v>4022.2988908121247</v>
      </c>
      <c r="AN280" s="93">
        <f>+AN314+AM280</f>
        <v>4082.6169358734264</v>
      </c>
      <c r="AO280" s="93">
        <f>+AO314+AN280</f>
        <v>4143.8327801877349</v>
      </c>
      <c r="AP280" s="93">
        <f>+AP314+AO280</f>
        <v>4207.7503197847591</v>
      </c>
      <c r="AQ280" s="94">
        <f>AP280</f>
        <v>4207.7503197847591</v>
      </c>
    </row>
    <row r="281" spans="2:43" outlineLevel="1" x14ac:dyDescent="0.3">
      <c r="B281" s="759" t="s">
        <v>49</v>
      </c>
      <c r="C281" s="760"/>
      <c r="D281" s="100">
        <v>17434</v>
      </c>
      <c r="E281" s="93">
        <v>18048</v>
      </c>
      <c r="F281" s="93">
        <v>18481</v>
      </c>
      <c r="G281" s="93">
        <v>18371</v>
      </c>
      <c r="H281" s="94">
        <f>G281</f>
        <v>18371</v>
      </c>
      <c r="I281" s="93">
        <v>18862</v>
      </c>
      <c r="J281" s="100">
        <v>19410</v>
      </c>
      <c r="K281" s="93">
        <v>19830</v>
      </c>
      <c r="L281" s="93">
        <v>20833</v>
      </c>
      <c r="M281" s="94">
        <f>L281</f>
        <v>20833</v>
      </c>
      <c r="N281" s="93">
        <v>21156</v>
      </c>
      <c r="O281" s="93">
        <v>21785</v>
      </c>
      <c r="P281" s="93">
        <v>23710</v>
      </c>
      <c r="Q281" s="93">
        <v>24823</v>
      </c>
      <c r="R281" s="94">
        <f>Q281</f>
        <v>24823</v>
      </c>
      <c r="S281" s="100">
        <v>25315</v>
      </c>
      <c r="T281" s="93">
        <f>S281+T311+T336</f>
        <v>26132.226927825966</v>
      </c>
      <c r="U281" s="93">
        <f>T281+U311+U336</f>
        <v>26909.596297005548</v>
      </c>
      <c r="V281" s="93">
        <f>U281+V311+V336</f>
        <v>28453.882746394946</v>
      </c>
      <c r="W281" s="94">
        <f>V281</f>
        <v>28453.882746394946</v>
      </c>
      <c r="X281" s="93">
        <f>V281+X311+X336</f>
        <v>29384.50196187101</v>
      </c>
      <c r="Y281" s="93">
        <f>X281+Y311+Y336</f>
        <v>30347.80618456778</v>
      </c>
      <c r="Z281" s="93">
        <f>Y281+Z311+Z336</f>
        <v>31236.104735839337</v>
      </c>
      <c r="AA281" s="93">
        <f>Z281+AA311+AA336</f>
        <v>32915.640386449304</v>
      </c>
      <c r="AB281" s="94">
        <f>AA281</f>
        <v>32915.640386449304</v>
      </c>
      <c r="AC281" s="93">
        <f>AA281+AC311+AC336</f>
        <v>34011.710050930473</v>
      </c>
      <c r="AD281" s="93">
        <f>AC281+AD311+AD336</f>
        <v>35125.341454802554</v>
      </c>
      <c r="AE281" s="93">
        <f>AD281+AE311+AE336</f>
        <v>36173.530082378726</v>
      </c>
      <c r="AF281" s="93">
        <f>AE281+AF311+AF336</f>
        <v>38029.513020338345</v>
      </c>
      <c r="AG281" s="94">
        <f>AF281</f>
        <v>38029.513020338345</v>
      </c>
      <c r="AH281" s="93">
        <f>AF281+AH311+AH336</f>
        <v>39055.399543193664</v>
      </c>
      <c r="AI281" s="93">
        <f>AH281+AI311+AI336</f>
        <v>40077.513183977557</v>
      </c>
      <c r="AJ281" s="93">
        <f>AI281+AJ311+AJ336</f>
        <v>41036.150401679864</v>
      </c>
      <c r="AK281" s="93">
        <f>AJ281+AK311+AK336</f>
        <v>42837.927655446576</v>
      </c>
      <c r="AL281" s="94">
        <f>AK281</f>
        <v>42837.927655446576</v>
      </c>
      <c r="AM281" s="93">
        <f>AK281+AM311+AM336</f>
        <v>43807.38318982334</v>
      </c>
      <c r="AN281" s="93">
        <f>AM281+AN311+AN336</f>
        <v>44750.099533384535</v>
      </c>
      <c r="AO281" s="93">
        <f>AN281+AO311+AO336</f>
        <v>45631.396247033808</v>
      </c>
      <c r="AP281" s="93">
        <f>AO281+AP311+AP336</f>
        <v>47386.897576293057</v>
      </c>
      <c r="AQ281" s="94">
        <f>AP281</f>
        <v>47386.897576293057</v>
      </c>
    </row>
    <row r="282" spans="2:43" outlineLevel="1" x14ac:dyDescent="0.3">
      <c r="B282" s="249" t="s">
        <v>313</v>
      </c>
      <c r="C282" s="298"/>
      <c r="D282" s="100"/>
      <c r="E282" s="93"/>
      <c r="F282" s="93"/>
      <c r="G282" s="93"/>
      <c r="H282" s="94"/>
      <c r="I282" s="93"/>
      <c r="J282" s="100"/>
      <c r="K282" s="93"/>
      <c r="L282" s="93"/>
      <c r="M282" s="94"/>
      <c r="N282" s="93"/>
      <c r="O282" s="93"/>
      <c r="P282" s="93"/>
      <c r="Q282" s="72"/>
      <c r="R282" s="94"/>
      <c r="S282" s="41"/>
      <c r="T282" s="72"/>
      <c r="U282" s="72"/>
      <c r="V282" s="72"/>
      <c r="W282" s="43"/>
      <c r="X282" s="72"/>
      <c r="Y282" s="72"/>
      <c r="Z282" s="72"/>
      <c r="AA282" s="72"/>
      <c r="AB282" s="43"/>
      <c r="AC282" s="72"/>
      <c r="AD282" s="72"/>
      <c r="AE282" s="72"/>
      <c r="AF282" s="72"/>
      <c r="AG282" s="43"/>
      <c r="AH282" s="72"/>
      <c r="AI282" s="72"/>
      <c r="AJ282" s="72"/>
      <c r="AK282" s="72"/>
      <c r="AL282" s="43"/>
      <c r="AM282" s="72"/>
      <c r="AN282" s="72"/>
      <c r="AO282" s="72"/>
      <c r="AP282" s="72"/>
      <c r="AQ282" s="43"/>
    </row>
    <row r="283" spans="2:43" outlineLevel="1" x14ac:dyDescent="0.3">
      <c r="B283" s="250" t="s">
        <v>316</v>
      </c>
      <c r="C283" s="298"/>
      <c r="D283" s="100"/>
      <c r="E283" s="93"/>
      <c r="F283" s="93"/>
      <c r="G283" s="93"/>
      <c r="H283" s="94">
        <v>-514</v>
      </c>
      <c r="I283" s="93"/>
      <c r="J283" s="100"/>
      <c r="K283" s="93"/>
      <c r="L283" s="93"/>
      <c r="M283" s="94">
        <v>-685</v>
      </c>
      <c r="N283" s="93"/>
      <c r="O283" s="93"/>
      <c r="P283" s="93"/>
      <c r="Q283" s="100"/>
      <c r="R283" s="112">
        <v>-759</v>
      </c>
      <c r="S283" s="100">
        <v>-921</v>
      </c>
      <c r="T283" s="100">
        <f>+S283-T341</f>
        <v>-921</v>
      </c>
      <c r="U283" s="100">
        <f>+T283-U341</f>
        <v>-921</v>
      </c>
      <c r="V283" s="100">
        <f>+U283-V341</f>
        <v>-921</v>
      </c>
      <c r="W283" s="112">
        <f>+V283</f>
        <v>-921</v>
      </c>
      <c r="X283" s="100">
        <f>+W283-X341</f>
        <v>-921</v>
      </c>
      <c r="Y283" s="100">
        <f>+X283-Y341</f>
        <v>-921</v>
      </c>
      <c r="Z283" s="100">
        <f>+Y283-Z341</f>
        <v>-921</v>
      </c>
      <c r="AA283" s="100">
        <f>+Z283-AA341</f>
        <v>-921</v>
      </c>
      <c r="AB283" s="112">
        <f>+AA283</f>
        <v>-921</v>
      </c>
      <c r="AC283" s="100">
        <f>+AB283-AC341</f>
        <v>-921</v>
      </c>
      <c r="AD283" s="100">
        <f>+AC283-AD341</f>
        <v>-921</v>
      </c>
      <c r="AE283" s="100">
        <f>+AD283-AE341</f>
        <v>-921</v>
      </c>
      <c r="AF283" s="100">
        <f>+AE283-AF341</f>
        <v>-921</v>
      </c>
      <c r="AG283" s="112">
        <f>+AF283</f>
        <v>-921</v>
      </c>
      <c r="AH283" s="100">
        <f>+AG283-AH341</f>
        <v>-921</v>
      </c>
      <c r="AI283" s="100">
        <f>+AH283-AI341</f>
        <v>-921</v>
      </c>
      <c r="AJ283" s="100">
        <f>+AI283-AJ341</f>
        <v>-921</v>
      </c>
      <c r="AK283" s="100">
        <f>+AJ283-AK341</f>
        <v>-921</v>
      </c>
      <c r="AL283" s="112">
        <f>+AK283</f>
        <v>-921</v>
      </c>
      <c r="AM283" s="100">
        <f>+AL283-AM341</f>
        <v>-921</v>
      </c>
      <c r="AN283" s="100">
        <f>+AM283-AN341</f>
        <v>-921</v>
      </c>
      <c r="AO283" s="100">
        <f>+AN283-AO341</f>
        <v>-921</v>
      </c>
      <c r="AP283" s="100">
        <f>+AO283-AP341</f>
        <v>-921</v>
      </c>
      <c r="AQ283" s="112">
        <f>+AP283</f>
        <v>-921</v>
      </c>
    </row>
    <row r="284" spans="2:43" outlineLevel="1" x14ac:dyDescent="0.3">
      <c r="B284" s="250" t="s">
        <v>317</v>
      </c>
      <c r="C284" s="298"/>
      <c r="D284" s="100"/>
      <c r="E284" s="93"/>
      <c r="F284" s="93"/>
      <c r="G284" s="93"/>
      <c r="H284" s="94">
        <v>345</v>
      </c>
      <c r="I284" s="93"/>
      <c r="J284" s="100"/>
      <c r="K284" s="93"/>
      <c r="L284" s="93"/>
      <c r="M284" s="94">
        <f>H284+(M194+M195)</f>
        <v>270</v>
      </c>
      <c r="N284" s="93"/>
      <c r="O284" s="93"/>
      <c r="P284" s="93"/>
      <c r="Q284" s="72"/>
      <c r="R284" s="112">
        <v>181</v>
      </c>
      <c r="S284" s="100">
        <v>158</v>
      </c>
      <c r="T284" s="93">
        <f>+S284+T196</f>
        <v>135.75</v>
      </c>
      <c r="U284" s="93">
        <f>+T284+U196</f>
        <v>113.5</v>
      </c>
      <c r="V284" s="93">
        <f>+U284+V196</f>
        <v>91.25</v>
      </c>
      <c r="W284" s="94">
        <f>+V284</f>
        <v>91.25</v>
      </c>
      <c r="X284" s="93">
        <f>+W284+X196</f>
        <v>68.8125</v>
      </c>
      <c r="Y284" s="93">
        <f>+X284+Y196</f>
        <v>46.375</v>
      </c>
      <c r="Z284" s="93">
        <f>+Y284+Z196</f>
        <v>23.9375</v>
      </c>
      <c r="AA284" s="93">
        <f>+Z284+AA196</f>
        <v>1.5</v>
      </c>
      <c r="AB284" s="94">
        <f>+AA284</f>
        <v>1.5</v>
      </c>
      <c r="AC284" s="93">
        <f>+AB284+AC196</f>
        <v>-20.9375</v>
      </c>
      <c r="AD284" s="93">
        <f>+AC284+AD196</f>
        <v>-43.375</v>
      </c>
      <c r="AE284" s="93">
        <f>+AD284+AE196</f>
        <v>-65.8125</v>
      </c>
      <c r="AF284" s="93">
        <f>+AE284+AF196</f>
        <v>-88.25</v>
      </c>
      <c r="AG284" s="94">
        <f>+AF284</f>
        <v>-88.25</v>
      </c>
      <c r="AH284" s="93">
        <f>+AG284+AH196</f>
        <v>-110.6875</v>
      </c>
      <c r="AI284" s="93">
        <f>+AH284+AI196</f>
        <v>-133.125</v>
      </c>
      <c r="AJ284" s="93">
        <f>+AI284+AJ196</f>
        <v>-155.5625</v>
      </c>
      <c r="AK284" s="93">
        <f>+AJ284+AK196</f>
        <v>-178</v>
      </c>
      <c r="AL284" s="94">
        <f>+AK284</f>
        <v>-178</v>
      </c>
      <c r="AM284" s="93">
        <f>+AL284+AM196</f>
        <v>-200.4375</v>
      </c>
      <c r="AN284" s="93">
        <f>+AM284+AN196</f>
        <v>-222.875</v>
      </c>
      <c r="AO284" s="93">
        <f>+AN284+AO196</f>
        <v>-245.3125</v>
      </c>
      <c r="AP284" s="93">
        <f>+AO284+AP196</f>
        <v>-267.75</v>
      </c>
      <c r="AQ284" s="94">
        <f>+AP284</f>
        <v>-267.75</v>
      </c>
    </row>
    <row r="285" spans="2:43" ht="16.2" outlineLevel="1" x14ac:dyDescent="0.45">
      <c r="B285" s="250" t="s">
        <v>315</v>
      </c>
      <c r="C285" s="298"/>
      <c r="D285" s="100"/>
      <c r="E285" s="93"/>
      <c r="F285" s="93"/>
      <c r="G285" s="93"/>
      <c r="H285" s="99">
        <v>0</v>
      </c>
      <c r="I285" s="93"/>
      <c r="J285" s="100"/>
      <c r="K285" s="93"/>
      <c r="L285" s="93"/>
      <c r="M285" s="99">
        <v>0</v>
      </c>
      <c r="N285" s="93"/>
      <c r="O285" s="93"/>
      <c r="P285" s="93"/>
      <c r="Q285" s="309"/>
      <c r="R285" s="153">
        <f>+M285</f>
        <v>0</v>
      </c>
      <c r="S285" s="101">
        <v>0</v>
      </c>
      <c r="T285" s="98">
        <v>0</v>
      </c>
      <c r="U285" s="98">
        <v>0</v>
      </c>
      <c r="V285" s="98">
        <v>0</v>
      </c>
      <c r="W285" s="99">
        <f>+R285</f>
        <v>0</v>
      </c>
      <c r="X285" s="98">
        <v>0</v>
      </c>
      <c r="Y285" s="98">
        <v>0</v>
      </c>
      <c r="Z285" s="98">
        <v>0</v>
      </c>
      <c r="AA285" s="98">
        <v>0</v>
      </c>
      <c r="AB285" s="99">
        <f>+W285</f>
        <v>0</v>
      </c>
      <c r="AC285" s="98">
        <v>0</v>
      </c>
      <c r="AD285" s="98">
        <v>0</v>
      </c>
      <c r="AE285" s="98">
        <v>0</v>
      </c>
      <c r="AF285" s="98">
        <v>0</v>
      </c>
      <c r="AG285" s="99">
        <f>+AB285</f>
        <v>0</v>
      </c>
      <c r="AH285" s="98">
        <v>0</v>
      </c>
      <c r="AI285" s="98">
        <v>0</v>
      </c>
      <c r="AJ285" s="98">
        <v>0</v>
      </c>
      <c r="AK285" s="98">
        <v>0</v>
      </c>
      <c r="AL285" s="99">
        <f>+AG285</f>
        <v>0</v>
      </c>
      <c r="AM285" s="98">
        <v>0</v>
      </c>
      <c r="AN285" s="98">
        <v>0</v>
      </c>
      <c r="AO285" s="98">
        <v>0</v>
      </c>
      <c r="AP285" s="98">
        <v>0</v>
      </c>
      <c r="AQ285" s="99">
        <f>+AL285</f>
        <v>0</v>
      </c>
    </row>
    <row r="286" spans="2:43" s="55" customFormat="1" outlineLevel="1" x14ac:dyDescent="0.3">
      <c r="B286" s="757" t="s">
        <v>314</v>
      </c>
      <c r="C286" s="758"/>
      <c r="D286" s="107">
        <v>10</v>
      </c>
      <c r="E286" s="107">
        <v>-41</v>
      </c>
      <c r="F286" s="107">
        <v>-159</v>
      </c>
      <c r="G286" s="107">
        <v>-169</v>
      </c>
      <c r="H286" s="108">
        <f>+SUM(H283:H285)</f>
        <v>-169</v>
      </c>
      <c r="I286" s="107">
        <v>-176</v>
      </c>
      <c r="J286" s="109">
        <v>-425</v>
      </c>
      <c r="K286" s="107">
        <v>-334</v>
      </c>
      <c r="L286" s="107">
        <v>-415</v>
      </c>
      <c r="M286" s="108">
        <f>+SUM(M283:M285)</f>
        <v>-415</v>
      </c>
      <c r="N286" s="107">
        <v>-325</v>
      </c>
      <c r="O286" s="107">
        <v>-434</v>
      </c>
      <c r="P286" s="107">
        <v>-357</v>
      </c>
      <c r="Q286" s="107">
        <v>-578</v>
      </c>
      <c r="R286" s="108">
        <f t="shared" ref="R286:AQ286" si="80">+SUM(R283:R285)</f>
        <v>-578</v>
      </c>
      <c r="S286" s="109">
        <f t="shared" si="80"/>
        <v>-763</v>
      </c>
      <c r="T286" s="107">
        <f t="shared" si="80"/>
        <v>-785.25</v>
      </c>
      <c r="U286" s="107">
        <f t="shared" si="80"/>
        <v>-807.5</v>
      </c>
      <c r="V286" s="107">
        <f>+SUM(V283:V285)</f>
        <v>-829.75</v>
      </c>
      <c r="W286" s="108">
        <f>+SUM(W283:W285)</f>
        <v>-829.75</v>
      </c>
      <c r="X286" s="107">
        <f t="shared" si="80"/>
        <v>-852.1875</v>
      </c>
      <c r="Y286" s="107">
        <f t="shared" si="80"/>
        <v>-874.625</v>
      </c>
      <c r="Z286" s="107">
        <f t="shared" si="80"/>
        <v>-897.0625</v>
      </c>
      <c r="AA286" s="107">
        <f t="shared" si="80"/>
        <v>-919.5</v>
      </c>
      <c r="AB286" s="108">
        <f t="shared" si="80"/>
        <v>-919.5</v>
      </c>
      <c r="AC286" s="107">
        <f t="shared" si="80"/>
        <v>-941.9375</v>
      </c>
      <c r="AD286" s="107">
        <f t="shared" si="80"/>
        <v>-964.375</v>
      </c>
      <c r="AE286" s="107">
        <f t="shared" si="80"/>
        <v>-986.8125</v>
      </c>
      <c r="AF286" s="107">
        <f t="shared" si="80"/>
        <v>-1009.25</v>
      </c>
      <c r="AG286" s="108">
        <f t="shared" si="80"/>
        <v>-1009.25</v>
      </c>
      <c r="AH286" s="107">
        <f t="shared" si="80"/>
        <v>-1031.6875</v>
      </c>
      <c r="AI286" s="107">
        <f t="shared" si="80"/>
        <v>-1054.125</v>
      </c>
      <c r="AJ286" s="107">
        <f t="shared" si="80"/>
        <v>-1076.5625</v>
      </c>
      <c r="AK286" s="107">
        <f t="shared" si="80"/>
        <v>-1099</v>
      </c>
      <c r="AL286" s="108">
        <f t="shared" si="80"/>
        <v>-1099</v>
      </c>
      <c r="AM286" s="107">
        <f t="shared" si="80"/>
        <v>-1121.4375</v>
      </c>
      <c r="AN286" s="107">
        <f t="shared" si="80"/>
        <v>-1143.875</v>
      </c>
      <c r="AO286" s="107">
        <f t="shared" si="80"/>
        <v>-1166.3125</v>
      </c>
      <c r="AP286" s="107">
        <f t="shared" si="80"/>
        <v>-1188.75</v>
      </c>
      <c r="AQ286" s="108">
        <f t="shared" si="80"/>
        <v>-1188.75</v>
      </c>
    </row>
    <row r="287" spans="2:43" ht="16.2" outlineLevel="1" x14ac:dyDescent="0.45">
      <c r="B287" s="151" t="s">
        <v>223</v>
      </c>
      <c r="C287" s="152"/>
      <c r="D287" s="98">
        <v>-5007</v>
      </c>
      <c r="E287" s="98">
        <v>-5888</v>
      </c>
      <c r="F287" s="98">
        <v>-6896</v>
      </c>
      <c r="G287" s="98">
        <v>-7342</v>
      </c>
      <c r="H287" s="99">
        <f>G287</f>
        <v>-7342</v>
      </c>
      <c r="I287" s="98">
        <v>-7494</v>
      </c>
      <c r="J287" s="101">
        <v>-7432</v>
      </c>
      <c r="K287" s="98">
        <v>-7320</v>
      </c>
      <c r="L287" s="98">
        <v>-7382</v>
      </c>
      <c r="M287" s="99">
        <f>L287</f>
        <v>-7382</v>
      </c>
      <c r="N287" s="98">
        <v>-7275</v>
      </c>
      <c r="O287" s="98">
        <v>-7383</v>
      </c>
      <c r="P287" s="98">
        <v>-7576</v>
      </c>
      <c r="Q287" s="98">
        <v>-7978</v>
      </c>
      <c r="R287" s="99">
        <f>Q287</f>
        <v>-7978</v>
      </c>
      <c r="S287" s="101">
        <v>-8565</v>
      </c>
      <c r="T287" s="101">
        <f>+S287-T233</f>
        <v>-8765</v>
      </c>
      <c r="U287" s="101">
        <f>+T287-U233</f>
        <v>-8965</v>
      </c>
      <c r="V287" s="101">
        <f>+U287-V233</f>
        <v>-9065</v>
      </c>
      <c r="W287" s="153">
        <f>V287</f>
        <v>-9065</v>
      </c>
      <c r="X287" s="101">
        <f>+V287-X233</f>
        <v>-9346.1538249999994</v>
      </c>
      <c r="Y287" s="101">
        <f>+X287-Y233</f>
        <v>-9541.4422812499997</v>
      </c>
      <c r="Z287" s="101">
        <f>+Y287-Z233</f>
        <v>-9735.5528515624992</v>
      </c>
      <c r="AA287" s="101">
        <f>+Z287-AA233</f>
        <v>-9928.1910644531235</v>
      </c>
      <c r="AB287" s="153">
        <f>AA287</f>
        <v>-9928.1910644531235</v>
      </c>
      <c r="AC287" s="101">
        <f>+AA287-AC233</f>
        <v>-10143.988830566404</v>
      </c>
      <c r="AD287" s="101">
        <f>+AC287-AD233</f>
        <v>-10343.447581958006</v>
      </c>
      <c r="AE287" s="101">
        <f>+AD287-AE233</f>
        <v>-10543.948907135007</v>
      </c>
      <c r="AF287" s="101">
        <f>+AE287-AF233</f>
        <v>-10746.047921028134</v>
      </c>
      <c r="AG287" s="153">
        <f>AF287</f>
        <v>-10746.047921028134</v>
      </c>
      <c r="AH287" s="101">
        <f>+AF287-AH233</f>
        <v>-10875.512135171886</v>
      </c>
      <c r="AI287" s="101">
        <f>+AH287-AI233</f>
        <v>-10983.392961323258</v>
      </c>
      <c r="AJ287" s="101">
        <f>+AI287-AJ233</f>
        <v>-11068.37930616457</v>
      </c>
      <c r="AK287" s="101">
        <f>+AJ287-AK233</f>
        <v>-11124.486905921962</v>
      </c>
      <c r="AL287" s="153">
        <f>AK287</f>
        <v>-11124.486905921962</v>
      </c>
      <c r="AM287" s="101">
        <f>+AK287-AM233</f>
        <v>-11144.096652145419</v>
      </c>
      <c r="AN287" s="101">
        <f>+AM287-AN233</f>
        <v>-11136.242781388803</v>
      </c>
      <c r="AO287" s="101">
        <f>+AN287-AO233</f>
        <v>-11099.455236405189</v>
      </c>
      <c r="AP287" s="101">
        <f>+AO287-AP233</f>
        <v>-11032.224218965343</v>
      </c>
      <c r="AQ287" s="153">
        <f>AP287</f>
        <v>-11032.224218965343</v>
      </c>
    </row>
    <row r="288" spans="2:43" outlineLevel="1" x14ac:dyDescent="0.3">
      <c r="B288" s="709" t="s">
        <v>50</v>
      </c>
      <c r="C288" s="710"/>
      <c r="D288" s="107">
        <f>SUM(D279:D287)</f>
        <v>15283</v>
      </c>
      <c r="E288" s="107">
        <f>SUM(E279:E287)</f>
        <v>14990</v>
      </c>
      <c r="F288" s="107">
        <f>SUM(F279:F287)</f>
        <v>14327</v>
      </c>
      <c r="G288" s="107">
        <f>SUM(G279:G287)</f>
        <v>13784</v>
      </c>
      <c r="H288" s="108">
        <f>SUM(H279:H281)+H287+H286</f>
        <v>13784</v>
      </c>
      <c r="I288" s="107">
        <f>SUM(I279:I287)</f>
        <v>14142</v>
      </c>
      <c r="J288" s="109">
        <f>SUM(J279:J287)</f>
        <v>14531</v>
      </c>
      <c r="K288" s="107">
        <f>SUM(K279:K287)</f>
        <v>15184</v>
      </c>
      <c r="L288" s="107">
        <f>SUM(L279:L287)</f>
        <v>16073</v>
      </c>
      <c r="M288" s="108">
        <f>SUM(M279:M281)+M287+M286</f>
        <v>16073</v>
      </c>
      <c r="N288" s="107">
        <f>SUM(N279:N287)</f>
        <v>16618</v>
      </c>
      <c r="O288" s="107">
        <f>SUM(O279:O287)</f>
        <v>17055</v>
      </c>
      <c r="P288" s="107">
        <f>SUM(P279:P287)</f>
        <v>18894</v>
      </c>
      <c r="Q288" s="107">
        <f>SUM(Q279:Q287)</f>
        <v>19416</v>
      </c>
      <c r="R288" s="108">
        <f t="shared" ref="R288:AQ288" si="81">SUM(R279:R281)+R287+R286</f>
        <v>19416</v>
      </c>
      <c r="S288" s="107">
        <f t="shared" si="81"/>
        <v>19173</v>
      </c>
      <c r="T288" s="107">
        <f t="shared" si="81"/>
        <v>19813.677487841447</v>
      </c>
      <c r="U288" s="107">
        <f t="shared" si="81"/>
        <v>20415.056249701385</v>
      </c>
      <c r="V288" s="107">
        <f>SUM(V279:V281)+V287+V286</f>
        <v>21888.465520253201</v>
      </c>
      <c r="W288" s="108">
        <f t="shared" si="81"/>
        <v>21888.465520253201</v>
      </c>
      <c r="X288" s="107">
        <f t="shared" si="81"/>
        <v>22569.088190109374</v>
      </c>
      <c r="Y288" s="107">
        <f t="shared" si="81"/>
        <v>23365.361633630062</v>
      </c>
      <c r="Z288" s="107">
        <f t="shared" si="81"/>
        <v>24089.091683915758</v>
      </c>
      <c r="AA288" s="107">
        <f t="shared" si="81"/>
        <v>25608.77474002228</v>
      </c>
      <c r="AB288" s="108">
        <f t="shared" si="81"/>
        <v>25608.77474002228</v>
      </c>
      <c r="AC288" s="107">
        <f t="shared" si="81"/>
        <v>26520.125297470062</v>
      </c>
      <c r="AD288" s="107">
        <f t="shared" si="81"/>
        <v>27466.339717294453</v>
      </c>
      <c r="AE288" s="107">
        <f t="shared" si="81"/>
        <v>28347.1009152843</v>
      </c>
      <c r="AF288" s="107">
        <f t="shared" si="81"/>
        <v>30036.806236068929</v>
      </c>
      <c r="AG288" s="108">
        <f t="shared" si="81"/>
        <v>30036.806236068929</v>
      </c>
      <c r="AH288" s="107">
        <f t="shared" si="81"/>
        <v>30966.712351131515</v>
      </c>
      <c r="AI288" s="107">
        <f t="shared" si="81"/>
        <v>31916.06731946666</v>
      </c>
      <c r="AJ288" s="107">
        <f t="shared" si="81"/>
        <v>32825.753382359471</v>
      </c>
      <c r="AK288" s="107">
        <f t="shared" si="81"/>
        <v>34610.13589036835</v>
      </c>
      <c r="AL288" s="108">
        <f t="shared" si="81"/>
        <v>34610.13589036835</v>
      </c>
      <c r="AM288" s="107">
        <f t="shared" si="81"/>
        <v>35596.147928490049</v>
      </c>
      <c r="AN288" s="107">
        <f t="shared" si="81"/>
        <v>36584.598687869162</v>
      </c>
      <c r="AO288" s="107">
        <f t="shared" si="81"/>
        <v>37541.461290816354</v>
      </c>
      <c r="AP288" s="107">
        <f t="shared" si="81"/>
        <v>39405.673677112478</v>
      </c>
      <c r="AQ288" s="108">
        <f t="shared" si="81"/>
        <v>39405.673677112478</v>
      </c>
    </row>
    <row r="289" spans="2:43" outlineLevel="1" x14ac:dyDescent="0.3">
      <c r="B289" s="728" t="s">
        <v>12</v>
      </c>
      <c r="C289" s="729"/>
      <c r="D289" s="154">
        <f t="shared" ref="D289:AQ289" si="82">D288+D275</f>
        <v>37245</v>
      </c>
      <c r="E289" s="154">
        <f t="shared" si="82"/>
        <v>38371</v>
      </c>
      <c r="F289" s="154">
        <f t="shared" si="82"/>
        <v>37819</v>
      </c>
      <c r="G289" s="154">
        <f t="shared" si="82"/>
        <v>45959</v>
      </c>
      <c r="H289" s="155">
        <f t="shared" si="82"/>
        <v>45959</v>
      </c>
      <c r="I289" s="154">
        <f t="shared" si="82"/>
        <v>45575</v>
      </c>
      <c r="J289" s="156">
        <f t="shared" si="82"/>
        <v>46348</v>
      </c>
      <c r="K289" s="154">
        <f t="shared" si="82"/>
        <v>46781</v>
      </c>
      <c r="L289" s="154">
        <f t="shared" si="82"/>
        <v>48552</v>
      </c>
      <c r="M289" s="155">
        <f t="shared" si="82"/>
        <v>48552</v>
      </c>
      <c r="N289" s="154">
        <f t="shared" si="82"/>
        <v>49350</v>
      </c>
      <c r="O289" s="154">
        <f t="shared" si="82"/>
        <v>50281</v>
      </c>
      <c r="P289" s="154">
        <f t="shared" si="82"/>
        <v>51851</v>
      </c>
      <c r="Q289" s="154">
        <f t="shared" si="82"/>
        <v>52300</v>
      </c>
      <c r="R289" s="155">
        <f t="shared" si="82"/>
        <v>52300</v>
      </c>
      <c r="S289" s="154">
        <f t="shared" si="82"/>
        <v>51901</v>
      </c>
      <c r="T289" s="154">
        <f t="shared" si="82"/>
        <v>54038.401611068621</v>
      </c>
      <c r="U289" s="154">
        <f t="shared" si="82"/>
        <v>54777.740686785488</v>
      </c>
      <c r="V289" s="154">
        <f t="shared" si="82"/>
        <v>58089.488645132566</v>
      </c>
      <c r="W289" s="155">
        <f>W288+W275</f>
        <v>58089.488645132573</v>
      </c>
      <c r="X289" s="154">
        <f t="shared" si="82"/>
        <v>59157.778981670344</v>
      </c>
      <c r="Y289" s="154">
        <f t="shared" si="82"/>
        <v>61751.548732035139</v>
      </c>
      <c r="Z289" s="154">
        <f t="shared" si="82"/>
        <v>62741.696188139438</v>
      </c>
      <c r="AA289" s="154">
        <f t="shared" si="82"/>
        <v>66423.823133896949</v>
      </c>
      <c r="AB289" s="155">
        <f t="shared" si="82"/>
        <v>66423.823133896949</v>
      </c>
      <c r="AC289" s="154">
        <f t="shared" si="82"/>
        <v>67553.657940666773</v>
      </c>
      <c r="AD289" s="154">
        <f t="shared" si="82"/>
        <v>70792.36327115359</v>
      </c>
      <c r="AE289" s="154">
        <f t="shared" si="82"/>
        <v>71716.259490450087</v>
      </c>
      <c r="AF289" s="154">
        <f t="shared" si="82"/>
        <v>76046.253764522029</v>
      </c>
      <c r="AG289" s="155">
        <f t="shared" si="82"/>
        <v>76046.253764522029</v>
      </c>
      <c r="AH289" s="154">
        <f t="shared" si="82"/>
        <v>76823.53581556851</v>
      </c>
      <c r="AI289" s="154">
        <f t="shared" si="82"/>
        <v>80232.224393330034</v>
      </c>
      <c r="AJ289" s="154">
        <f t="shared" si="82"/>
        <v>80790.727970160864</v>
      </c>
      <c r="AK289" s="154">
        <f t="shared" si="82"/>
        <v>85394.502905948</v>
      </c>
      <c r="AL289" s="155">
        <f t="shared" si="82"/>
        <v>85394.502905948</v>
      </c>
      <c r="AM289" s="154">
        <f t="shared" si="82"/>
        <v>85969.350306787092</v>
      </c>
      <c r="AN289" s="154">
        <f t="shared" si="82"/>
        <v>89750.285875834044</v>
      </c>
      <c r="AO289" s="154">
        <f t="shared" si="82"/>
        <v>90078.37397502875</v>
      </c>
      <c r="AP289" s="154">
        <f t="shared" si="82"/>
        <v>95085.216774817643</v>
      </c>
      <c r="AQ289" s="155">
        <f t="shared" si="82"/>
        <v>95085.216774817643</v>
      </c>
    </row>
    <row r="290" spans="2:43" x14ac:dyDescent="0.3">
      <c r="B290" s="52"/>
      <c r="C290" s="45"/>
      <c r="D290" s="27">
        <f t="shared" ref="D290:P290" si="83">D289-D260</f>
        <v>0</v>
      </c>
      <c r="E290" s="27">
        <f t="shared" si="83"/>
        <v>0</v>
      </c>
      <c r="F290" s="27">
        <f t="shared" si="83"/>
        <v>0</v>
      </c>
      <c r="G290" s="27">
        <f t="shared" si="83"/>
        <v>0</v>
      </c>
      <c r="H290" s="27">
        <f t="shared" si="83"/>
        <v>0</v>
      </c>
      <c r="I290" s="27">
        <f t="shared" si="83"/>
        <v>0</v>
      </c>
      <c r="J290" s="27">
        <f t="shared" si="83"/>
        <v>0</v>
      </c>
      <c r="K290" s="27">
        <f t="shared" si="83"/>
        <v>0</v>
      </c>
      <c r="L290" s="27">
        <f t="shared" si="83"/>
        <v>0</v>
      </c>
      <c r="M290" s="27">
        <f t="shared" si="83"/>
        <v>0</v>
      </c>
      <c r="N290" s="27">
        <f t="shared" si="83"/>
        <v>0</v>
      </c>
      <c r="O290" s="27">
        <f t="shared" si="83"/>
        <v>0</v>
      </c>
      <c r="P290" s="27">
        <f t="shared" si="83"/>
        <v>0</v>
      </c>
      <c r="Q290" s="256">
        <f t="shared" ref="Q290:AQ290" si="84">ROUND((Q289-Q260),0)</f>
        <v>0</v>
      </c>
      <c r="R290" s="256">
        <f t="shared" si="84"/>
        <v>0</v>
      </c>
      <c r="S290" s="256">
        <f t="shared" si="84"/>
        <v>0</v>
      </c>
      <c r="T290" s="256">
        <f t="shared" si="84"/>
        <v>0</v>
      </c>
      <c r="U290" s="256">
        <f t="shared" si="84"/>
        <v>0</v>
      </c>
      <c r="V290" s="256">
        <f t="shared" si="84"/>
        <v>0</v>
      </c>
      <c r="W290" s="256">
        <f t="shared" si="84"/>
        <v>0</v>
      </c>
      <c r="X290" s="256">
        <f t="shared" si="84"/>
        <v>0</v>
      </c>
      <c r="Y290" s="256">
        <f t="shared" si="84"/>
        <v>0</v>
      </c>
      <c r="Z290" s="256">
        <f t="shared" si="84"/>
        <v>0</v>
      </c>
      <c r="AA290" s="256">
        <f t="shared" si="84"/>
        <v>0</v>
      </c>
      <c r="AB290" s="256">
        <f t="shared" si="84"/>
        <v>0</v>
      </c>
      <c r="AC290" s="256">
        <f t="shared" si="84"/>
        <v>0</v>
      </c>
      <c r="AD290" s="256">
        <f t="shared" si="84"/>
        <v>0</v>
      </c>
      <c r="AE290" s="256">
        <f t="shared" si="84"/>
        <v>0</v>
      </c>
      <c r="AF290" s="256">
        <f t="shared" si="84"/>
        <v>0</v>
      </c>
      <c r="AG290" s="256">
        <f t="shared" si="84"/>
        <v>0</v>
      </c>
      <c r="AH290" s="256">
        <f t="shared" si="84"/>
        <v>0</v>
      </c>
      <c r="AI290" s="256">
        <f t="shared" si="84"/>
        <v>0</v>
      </c>
      <c r="AJ290" s="256">
        <f t="shared" si="84"/>
        <v>0</v>
      </c>
      <c r="AK290" s="256">
        <f t="shared" si="84"/>
        <v>0</v>
      </c>
      <c r="AL290" s="256">
        <f t="shared" si="84"/>
        <v>0</v>
      </c>
      <c r="AM290" s="256">
        <f t="shared" si="84"/>
        <v>0</v>
      </c>
      <c r="AN290" s="256">
        <f t="shared" si="84"/>
        <v>0</v>
      </c>
      <c r="AO290" s="256">
        <f t="shared" si="84"/>
        <v>0</v>
      </c>
      <c r="AP290" s="256">
        <f t="shared" si="84"/>
        <v>0</v>
      </c>
      <c r="AQ290" s="256">
        <f t="shared" si="84"/>
        <v>0</v>
      </c>
    </row>
    <row r="291" spans="2:43" ht="15.6" x14ac:dyDescent="0.3">
      <c r="B291" s="705" t="s">
        <v>24</v>
      </c>
      <c r="C291" s="713"/>
      <c r="D291" s="90" t="s">
        <v>120</v>
      </c>
      <c r="E291" s="90" t="s">
        <v>121</v>
      </c>
      <c r="F291" s="90" t="s">
        <v>122</v>
      </c>
      <c r="G291" s="90" t="s">
        <v>123</v>
      </c>
      <c r="H291" s="403" t="s">
        <v>123</v>
      </c>
      <c r="I291" s="90" t="s">
        <v>124</v>
      </c>
      <c r="J291" s="90" t="s">
        <v>125</v>
      </c>
      <c r="K291" s="90" t="s">
        <v>126</v>
      </c>
      <c r="L291" s="90" t="s">
        <v>127</v>
      </c>
      <c r="M291" s="403" t="s">
        <v>127</v>
      </c>
      <c r="N291" s="90" t="s">
        <v>128</v>
      </c>
      <c r="O291" s="90" t="s">
        <v>129</v>
      </c>
      <c r="P291" s="90" t="s">
        <v>130</v>
      </c>
      <c r="Q291" s="90" t="s">
        <v>131</v>
      </c>
      <c r="R291" s="403" t="s">
        <v>131</v>
      </c>
      <c r="S291" s="90" t="s">
        <v>132</v>
      </c>
      <c r="T291" s="92" t="s">
        <v>133</v>
      </c>
      <c r="U291" s="92" t="s">
        <v>134</v>
      </c>
      <c r="V291" s="92" t="s">
        <v>135</v>
      </c>
      <c r="W291" s="407" t="s">
        <v>135</v>
      </c>
      <c r="X291" s="92" t="s">
        <v>136</v>
      </c>
      <c r="Y291" s="92" t="s">
        <v>137</v>
      </c>
      <c r="Z291" s="92" t="s">
        <v>138</v>
      </c>
      <c r="AA291" s="92" t="s">
        <v>139</v>
      </c>
      <c r="AB291" s="407" t="s">
        <v>139</v>
      </c>
      <c r="AC291" s="92" t="s">
        <v>140</v>
      </c>
      <c r="AD291" s="92" t="s">
        <v>141</v>
      </c>
      <c r="AE291" s="92" t="s">
        <v>142</v>
      </c>
      <c r="AF291" s="92" t="s">
        <v>143</v>
      </c>
      <c r="AG291" s="407" t="s">
        <v>143</v>
      </c>
      <c r="AH291" s="92" t="s">
        <v>144</v>
      </c>
      <c r="AI291" s="92" t="s">
        <v>145</v>
      </c>
      <c r="AJ291" s="92" t="s">
        <v>146</v>
      </c>
      <c r="AK291" s="92" t="s">
        <v>147</v>
      </c>
      <c r="AL291" s="407" t="s">
        <v>147</v>
      </c>
      <c r="AM291" s="92" t="s">
        <v>148</v>
      </c>
      <c r="AN291" s="92" t="s">
        <v>149</v>
      </c>
      <c r="AO291" s="92" t="s">
        <v>150</v>
      </c>
      <c r="AP291" s="92" t="s">
        <v>151</v>
      </c>
      <c r="AQ291" s="407" t="s">
        <v>151</v>
      </c>
    </row>
    <row r="292" spans="2:43" ht="16.2" x14ac:dyDescent="0.45">
      <c r="B292" s="726"/>
      <c r="C292" s="727"/>
      <c r="D292" s="91" t="s">
        <v>71</v>
      </c>
      <c r="E292" s="91" t="s">
        <v>74</v>
      </c>
      <c r="F292" s="91" t="s">
        <v>75</v>
      </c>
      <c r="G292" s="91" t="s">
        <v>78</v>
      </c>
      <c r="H292" s="404" t="s">
        <v>79</v>
      </c>
      <c r="I292" s="91" t="s">
        <v>80</v>
      </c>
      <c r="J292" s="91" t="s">
        <v>91</v>
      </c>
      <c r="K292" s="91" t="s">
        <v>109</v>
      </c>
      <c r="L292" s="91" t="s">
        <v>113</v>
      </c>
      <c r="M292" s="404" t="s">
        <v>114</v>
      </c>
      <c r="N292" s="91" t="s">
        <v>115</v>
      </c>
      <c r="O292" s="91" t="s">
        <v>116</v>
      </c>
      <c r="P292" s="91" t="s">
        <v>117</v>
      </c>
      <c r="Q292" s="91" t="s">
        <v>118</v>
      </c>
      <c r="R292" s="404" t="s">
        <v>119</v>
      </c>
      <c r="S292" s="91" t="s">
        <v>511</v>
      </c>
      <c r="T292" s="89" t="s">
        <v>377</v>
      </c>
      <c r="U292" s="89" t="s">
        <v>378</v>
      </c>
      <c r="V292" s="89" t="s">
        <v>379</v>
      </c>
      <c r="W292" s="408" t="s">
        <v>380</v>
      </c>
      <c r="X292" s="89" t="s">
        <v>381</v>
      </c>
      <c r="Y292" s="89" t="s">
        <v>382</v>
      </c>
      <c r="Z292" s="89" t="s">
        <v>383</v>
      </c>
      <c r="AA292" s="89" t="s">
        <v>384</v>
      </c>
      <c r="AB292" s="408" t="s">
        <v>385</v>
      </c>
      <c r="AC292" s="89" t="s">
        <v>386</v>
      </c>
      <c r="AD292" s="89" t="s">
        <v>387</v>
      </c>
      <c r="AE292" s="89" t="s">
        <v>388</v>
      </c>
      <c r="AF292" s="89" t="s">
        <v>389</v>
      </c>
      <c r="AG292" s="408" t="s">
        <v>390</v>
      </c>
      <c r="AH292" s="89" t="s">
        <v>391</v>
      </c>
      <c r="AI292" s="89" t="s">
        <v>392</v>
      </c>
      <c r="AJ292" s="89" t="s">
        <v>393</v>
      </c>
      <c r="AK292" s="89" t="s">
        <v>394</v>
      </c>
      <c r="AL292" s="408" t="s">
        <v>395</v>
      </c>
      <c r="AM292" s="89" t="s">
        <v>396</v>
      </c>
      <c r="AN292" s="89" t="s">
        <v>397</v>
      </c>
      <c r="AO292" s="89" t="s">
        <v>398</v>
      </c>
      <c r="AP292" s="89" t="s">
        <v>399</v>
      </c>
      <c r="AQ292" s="408" t="s">
        <v>400</v>
      </c>
    </row>
    <row r="293" spans="2:43" s="53" customFormat="1" outlineLevel="1" x14ac:dyDescent="0.3">
      <c r="B293" s="291" t="s">
        <v>84</v>
      </c>
      <c r="C293" s="77"/>
      <c r="D293" s="139">
        <v>92</v>
      </c>
      <c r="E293" s="139">
        <v>90</v>
      </c>
      <c r="F293" s="139">
        <v>91</v>
      </c>
      <c r="G293" s="139">
        <v>92</v>
      </c>
      <c r="H293" s="170"/>
      <c r="I293" s="139">
        <v>92</v>
      </c>
      <c r="J293" s="139">
        <v>91</v>
      </c>
      <c r="K293" s="139">
        <v>90</v>
      </c>
      <c r="L293" s="139">
        <v>92</v>
      </c>
      <c r="M293" s="170"/>
      <c r="N293" s="139">
        <v>92</v>
      </c>
      <c r="O293" s="139">
        <v>91</v>
      </c>
      <c r="P293" s="139">
        <v>90</v>
      </c>
      <c r="Q293" s="139">
        <v>92</v>
      </c>
      <c r="R293" s="170"/>
      <c r="S293" s="139">
        <v>92</v>
      </c>
      <c r="T293" s="139">
        <v>91</v>
      </c>
      <c r="U293" s="139">
        <v>90</v>
      </c>
      <c r="V293" s="139">
        <v>92</v>
      </c>
      <c r="W293" s="170"/>
      <c r="X293" s="139">
        <v>92</v>
      </c>
      <c r="Y293" s="139">
        <v>91</v>
      </c>
      <c r="Z293" s="139">
        <v>91</v>
      </c>
      <c r="AA293" s="139">
        <v>92</v>
      </c>
      <c r="AB293" s="170"/>
      <c r="AC293" s="139">
        <v>92</v>
      </c>
      <c r="AD293" s="139">
        <v>91</v>
      </c>
      <c r="AE293" s="139">
        <v>90</v>
      </c>
      <c r="AF293" s="139">
        <v>92</v>
      </c>
      <c r="AG293" s="170"/>
      <c r="AH293" s="139">
        <v>92</v>
      </c>
      <c r="AI293" s="139">
        <v>91</v>
      </c>
      <c r="AJ293" s="139">
        <v>90</v>
      </c>
      <c r="AK293" s="139">
        <v>92</v>
      </c>
      <c r="AL293" s="170"/>
      <c r="AM293" s="139">
        <v>92</v>
      </c>
      <c r="AN293" s="139">
        <v>91</v>
      </c>
      <c r="AO293" s="139">
        <v>90</v>
      </c>
      <c r="AP293" s="139">
        <v>92</v>
      </c>
      <c r="AQ293" s="170"/>
    </row>
    <row r="294" spans="2:43" outlineLevel="1" x14ac:dyDescent="0.3">
      <c r="B294" s="703" t="s">
        <v>25</v>
      </c>
      <c r="C294" s="704"/>
      <c r="D294" s="238">
        <f>D13/(AVERAGE(D250,5719))</f>
        <v>2.1663726182074807</v>
      </c>
      <c r="E294" s="238">
        <f>E13/(AVERAGE(E250,D250))</f>
        <v>2.1691342971607734</v>
      </c>
      <c r="F294" s="238">
        <f>F13/(AVERAGE(F250,E250))</f>
        <v>2.2008870336551003</v>
      </c>
      <c r="G294" s="238">
        <f>G13/(AVERAGE(G250,F250))</f>
        <v>2.0144342697501165</v>
      </c>
      <c r="H294" s="239"/>
      <c r="I294" s="496">
        <f>I13/(AVERAGE(I250,G250))</f>
        <v>2.0245771487745943</v>
      </c>
      <c r="J294" s="496">
        <f>J13/(AVERAGE(J250,I250))</f>
        <v>2.016612641815235</v>
      </c>
      <c r="K294" s="496">
        <f>K13/(AVERAGE(K250,J250))</f>
        <v>2.0005335823384245</v>
      </c>
      <c r="L294" s="496">
        <f>L13/(AVERAGE(L250,K250))</f>
        <v>2.0946926816274889</v>
      </c>
      <c r="M294" s="497"/>
      <c r="N294" s="496">
        <f>N13/(AVERAGE(N250,L250))</f>
        <v>1.9605254726049344</v>
      </c>
      <c r="O294" s="496">
        <f>O13/(AVERAGE(O250,N250))</f>
        <v>1.958225796770902</v>
      </c>
      <c r="P294" s="496">
        <f>P13/(AVERAGE(P250,O250))</f>
        <v>1.9076532379083457</v>
      </c>
      <c r="Q294" s="496">
        <f>Q13/(AVERAGE(Q250,P250))</f>
        <v>2.0140901280753791</v>
      </c>
      <c r="R294" s="241"/>
      <c r="S294" s="496">
        <f>S13/(AVERAGE(S250,Q250))</f>
        <v>1.978419770274974</v>
      </c>
      <c r="T294" s="248">
        <f>+O294</f>
        <v>1.958225796770902</v>
      </c>
      <c r="U294" s="248">
        <f>+P294</f>
        <v>1.9076532379083457</v>
      </c>
      <c r="V294" s="248">
        <f>+Q294</f>
        <v>2.0140901280753791</v>
      </c>
      <c r="W294" s="239"/>
      <c r="X294" s="240">
        <f>+S294</f>
        <v>1.978419770274974</v>
      </c>
      <c r="Y294" s="240">
        <f>+T294</f>
        <v>1.958225796770902</v>
      </c>
      <c r="Z294" s="240">
        <f>+U294</f>
        <v>1.9076532379083457</v>
      </c>
      <c r="AA294" s="240">
        <f>+V294</f>
        <v>2.0140901280753791</v>
      </c>
      <c r="AB294" s="239"/>
      <c r="AC294" s="240">
        <f>+X294</f>
        <v>1.978419770274974</v>
      </c>
      <c r="AD294" s="240">
        <f>+Y294</f>
        <v>1.958225796770902</v>
      </c>
      <c r="AE294" s="240">
        <f>+Z294</f>
        <v>1.9076532379083457</v>
      </c>
      <c r="AF294" s="240">
        <f>+AA294</f>
        <v>2.0140901280753791</v>
      </c>
      <c r="AG294" s="239"/>
      <c r="AH294" s="240">
        <f>+AC294</f>
        <v>1.978419770274974</v>
      </c>
      <c r="AI294" s="240">
        <f>+AD294</f>
        <v>1.958225796770902</v>
      </c>
      <c r="AJ294" s="240">
        <f>+AE294</f>
        <v>1.9076532379083457</v>
      </c>
      <c r="AK294" s="240">
        <f>+AF294</f>
        <v>2.0140901280753791</v>
      </c>
      <c r="AL294" s="239"/>
      <c r="AM294" s="240">
        <f>+AH294</f>
        <v>1.978419770274974</v>
      </c>
      <c r="AN294" s="240">
        <f>+AI294</f>
        <v>1.958225796770902</v>
      </c>
      <c r="AO294" s="240">
        <f>+AJ294</f>
        <v>1.9076532379083457</v>
      </c>
      <c r="AP294" s="240">
        <f>+AK294</f>
        <v>2.0140901280753791</v>
      </c>
      <c r="AQ294" s="78"/>
    </row>
    <row r="295" spans="2:43" s="230" customFormat="1" outlineLevel="1" x14ac:dyDescent="0.3">
      <c r="B295" s="720" t="s">
        <v>85</v>
      </c>
      <c r="C295" s="721"/>
      <c r="D295" s="139">
        <f>D293/D294</f>
        <v>42.467301897548658</v>
      </c>
      <c r="E295" s="139">
        <f>E293/E294</f>
        <v>41.49120693808721</v>
      </c>
      <c r="F295" s="139">
        <f>F293/F294</f>
        <v>41.346965386439074</v>
      </c>
      <c r="G295" s="139">
        <f>G293/G294</f>
        <v>45.670390631019337</v>
      </c>
      <c r="H295" s="239"/>
      <c r="I295" s="139">
        <f>I293/I294</f>
        <v>45.44158766964469</v>
      </c>
      <c r="J295" s="139">
        <f>J293/J294</f>
        <v>45.125175808720115</v>
      </c>
      <c r="K295" s="139">
        <f>K293/K294</f>
        <v>44.987997599519908</v>
      </c>
      <c r="L295" s="139">
        <f>L293/L294</f>
        <v>43.920523906408953</v>
      </c>
      <c r="M295" s="239"/>
      <c r="N295" s="139">
        <f>N293/N294</f>
        <v>46.926194678695168</v>
      </c>
      <c r="O295" s="139">
        <f>O293/O294</f>
        <v>46.47063691534359</v>
      </c>
      <c r="P295" s="139">
        <f>P293/P294</f>
        <v>47.178385574246647</v>
      </c>
      <c r="Q295" s="139">
        <f>Q293/Q294</f>
        <v>45.678194196757822</v>
      </c>
      <c r="R295" s="239"/>
      <c r="S295" s="139">
        <f>S293/S294</f>
        <v>46.501759324419425</v>
      </c>
      <c r="T295" s="139">
        <f>T293/T294</f>
        <v>46.47063691534359</v>
      </c>
      <c r="U295" s="139">
        <f>U293/U294</f>
        <v>47.178385574246647</v>
      </c>
      <c r="V295" s="139">
        <f>V293/V294</f>
        <v>45.678194196757822</v>
      </c>
      <c r="W295" s="239"/>
      <c r="X295" s="139">
        <f>X293/X294</f>
        <v>46.501759324419425</v>
      </c>
      <c r="Y295" s="139">
        <f>Y293/Y294</f>
        <v>46.47063691534359</v>
      </c>
      <c r="Z295" s="139">
        <f>Z293/Z294</f>
        <v>47.702589858404941</v>
      </c>
      <c r="AA295" s="139">
        <f>AA293/AA294</f>
        <v>45.678194196757822</v>
      </c>
      <c r="AB295" s="239"/>
      <c r="AC295" s="139">
        <f>AC293/AC294</f>
        <v>46.501759324419425</v>
      </c>
      <c r="AD295" s="139">
        <f>AD293/AD294</f>
        <v>46.47063691534359</v>
      </c>
      <c r="AE295" s="139">
        <f>AE293/AE294</f>
        <v>47.178385574246647</v>
      </c>
      <c r="AF295" s="139">
        <f>AF293/AF294</f>
        <v>45.678194196757822</v>
      </c>
      <c r="AG295" s="239"/>
      <c r="AH295" s="139">
        <f>AH293/AH294</f>
        <v>46.501759324419425</v>
      </c>
      <c r="AI295" s="139">
        <f>AI293/AI294</f>
        <v>46.47063691534359</v>
      </c>
      <c r="AJ295" s="139">
        <f>AJ293/AJ294</f>
        <v>47.178385574246647</v>
      </c>
      <c r="AK295" s="139">
        <f>AK293/AK294</f>
        <v>45.678194196757822</v>
      </c>
      <c r="AL295" s="239"/>
      <c r="AM295" s="139">
        <f>AM293/AM294</f>
        <v>46.501759324419425</v>
      </c>
      <c r="AN295" s="139">
        <f>AN293/AN294</f>
        <v>46.47063691534359</v>
      </c>
      <c r="AO295" s="139">
        <f>AO293/AO294</f>
        <v>47.178385574246647</v>
      </c>
      <c r="AP295" s="139">
        <f>AP293/AP294</f>
        <v>45.678194196757822</v>
      </c>
      <c r="AQ295" s="239"/>
    </row>
    <row r="296" spans="2:43" s="230" customFormat="1" outlineLevel="1" x14ac:dyDescent="0.3">
      <c r="B296" s="291" t="s">
        <v>306</v>
      </c>
      <c r="C296" s="292"/>
      <c r="D296" s="166">
        <f>+D251/D255</f>
        <v>1.1093682511536975E-2</v>
      </c>
      <c r="E296" s="166">
        <f>+E251/E255</f>
        <v>1.089695415764113E-2</v>
      </c>
      <c r="F296" s="166">
        <f>+F251/F255</f>
        <v>1.0340632603406326E-2</v>
      </c>
      <c r="G296" s="166">
        <f>+G251/G255</f>
        <v>1.054915138882981E-2</v>
      </c>
      <c r="H296" s="239"/>
      <c r="I296" s="166">
        <f>+I251/I255</f>
        <v>1.063984538974668E-2</v>
      </c>
      <c r="J296" s="166">
        <f>+J251/J255</f>
        <v>1.0568706815487142E-2</v>
      </c>
      <c r="K296" s="166">
        <f>+K251/K255</f>
        <v>1.0592538993407299E-2</v>
      </c>
      <c r="L296" s="166">
        <f>+L251/L255</f>
        <v>1.0152885868921107E-2</v>
      </c>
      <c r="M296" s="239"/>
      <c r="N296" s="166">
        <f>+N251/N255</f>
        <v>1.0011641443538999E-2</v>
      </c>
      <c r="O296" s="166">
        <f>+O251/O255</f>
        <v>1.0011269722013523E-2</v>
      </c>
      <c r="P296" s="166">
        <f>+P251/P255</f>
        <v>9.6180370377181527E-3</v>
      </c>
      <c r="Q296" s="166">
        <f>+Q251/Q255</f>
        <v>9.5245006440376635E-3</v>
      </c>
      <c r="R296" s="239"/>
      <c r="S296" s="166">
        <f>+S251/S255</f>
        <v>9.2852323971167848E-3</v>
      </c>
      <c r="T296" s="177">
        <f>AVERAGE(S296,Q296,P296,O296)</f>
        <v>9.6097599502215306E-3</v>
      </c>
      <c r="U296" s="177">
        <f>AVERAGE(T296,S296,Q296,P296)</f>
        <v>9.5093825072735325E-3</v>
      </c>
      <c r="V296" s="177">
        <f>AVERAGE(U296,T296,S296,Q296)</f>
        <v>9.4822188746623778E-3</v>
      </c>
      <c r="W296" s="239"/>
      <c r="X296" s="177">
        <f>AVERAGE(V296,U296,T296,S296)</f>
        <v>9.4716484323185551E-3</v>
      </c>
      <c r="Y296" s="177">
        <f>AVERAGE(X296,V296,U296,T296)</f>
        <v>9.5182524411189986E-3</v>
      </c>
      <c r="Z296" s="177">
        <f>AVERAGE(Y296,X296,V296,U296)</f>
        <v>9.4953755638433664E-3</v>
      </c>
      <c r="AA296" s="177">
        <f>AVERAGE(Z296,Y296,X296,V296)</f>
        <v>9.4918738279858236E-3</v>
      </c>
      <c r="AB296" s="239"/>
      <c r="AC296" s="177">
        <f>AVERAGE(AA296,Z296,Y296,X296)</f>
        <v>9.4942875663166868E-3</v>
      </c>
      <c r="AD296" s="177">
        <f>AVERAGE(AC296,AA296,Z296,Y296)</f>
        <v>9.4999473498162193E-3</v>
      </c>
      <c r="AE296" s="177">
        <f>AVERAGE(AD296,AC296,AA296,Z296)</f>
        <v>9.495371076990524E-3</v>
      </c>
      <c r="AF296" s="177">
        <f>AVERAGE(AE296,AD296,AC296,AA296)</f>
        <v>9.4953699552773139E-3</v>
      </c>
      <c r="AG296" s="239"/>
      <c r="AH296" s="177">
        <f>AVERAGE(AF296,AE296,AD296,AC296)</f>
        <v>9.496243987100186E-3</v>
      </c>
      <c r="AI296" s="177">
        <f>AVERAGE(AH296,AF296,AE296,AD296)</f>
        <v>9.4967330922960599E-3</v>
      </c>
      <c r="AJ296" s="177">
        <f>AVERAGE(AI296,AH296,AF296,AE296)</f>
        <v>9.4959295279160201E-3</v>
      </c>
      <c r="AK296" s="177">
        <f>AVERAGE(AJ296,AI296,AH296,AF296)</f>
        <v>9.4960691406473941E-3</v>
      </c>
      <c r="AL296" s="239"/>
      <c r="AM296" s="177">
        <f>AVERAGE(AK296,AJ296,AI296,AH296)</f>
        <v>9.4962439369899159E-3</v>
      </c>
      <c r="AN296" s="177">
        <f>AVERAGE(AM296,AK296,AJ296,AI296)</f>
        <v>9.4962439244623484E-3</v>
      </c>
      <c r="AO296" s="177">
        <f>AVERAGE(AN296,AM296,AK296,AJ296)</f>
        <v>9.4961216325039205E-3</v>
      </c>
      <c r="AP296" s="177">
        <f>AVERAGE(AO296,AN296,AM296,AK296)</f>
        <v>9.4961696586508947E-3</v>
      </c>
      <c r="AQ296" s="239"/>
    </row>
    <row r="297" spans="2:43" s="230" customFormat="1" outlineLevel="1" x14ac:dyDescent="0.3">
      <c r="B297" s="391" t="s">
        <v>504</v>
      </c>
      <c r="C297" s="162"/>
      <c r="D297" s="317"/>
      <c r="E297" s="317">
        <f>+((E264+D264)/2)/E15</f>
        <v>0.31345733041575491</v>
      </c>
      <c r="F297" s="317">
        <f>+((F264+E264)/2)/F15</f>
        <v>0.31419779286926997</v>
      </c>
      <c r="G297" s="317">
        <f>+((G264+F264)/2)/G15</f>
        <v>0.35850439882697949</v>
      </c>
      <c r="H297" s="392"/>
      <c r="I297" s="317">
        <f>+((I264+G264)/2)/I15</f>
        <v>0.33656561852758426</v>
      </c>
      <c r="J297" s="317">
        <f>+((J264+I264)/2)/J15</f>
        <v>0.31458994956099384</v>
      </c>
      <c r="K297" s="317">
        <f>+((K264+J264)/2)/K15</f>
        <v>0.32020389249304915</v>
      </c>
      <c r="L297" s="317">
        <f>+((L264+K264)/2)/L15</f>
        <v>0.32865219770198795</v>
      </c>
      <c r="M297" s="392"/>
      <c r="N297" s="317">
        <f>+((N264+L264)/2)/N15</f>
        <v>0.32348677056904673</v>
      </c>
      <c r="O297" s="317">
        <f>+((O264+N264)/2)/O15</f>
        <v>0.31069313827934519</v>
      </c>
      <c r="P297" s="317">
        <f>+((P264+O264)/2)/P15</f>
        <v>0.3224377194449089</v>
      </c>
      <c r="Q297" s="317">
        <f>+((Q264+P264)/2)/Q15</f>
        <v>0.3454575930271539</v>
      </c>
      <c r="R297" s="393"/>
      <c r="S297" s="317">
        <f>+((S264+Q264)/2)/S15</f>
        <v>0.30854632587859426</v>
      </c>
      <c r="T297" s="498">
        <f>+O297</f>
        <v>0.31069313827934519</v>
      </c>
      <c r="U297" s="498">
        <f t="shared" ref="U297" si="85">+P297</f>
        <v>0.3224377194449089</v>
      </c>
      <c r="V297" s="498">
        <f t="shared" ref="V297" si="86">+Q297</f>
        <v>0.3454575930271539</v>
      </c>
      <c r="W297" s="392"/>
      <c r="X297" s="498">
        <f>+S297</f>
        <v>0.30854632587859426</v>
      </c>
      <c r="Y297" s="498">
        <f>+T297</f>
        <v>0.31069313827934519</v>
      </c>
      <c r="Z297" s="498">
        <f t="shared" ref="Z297" si="87">+U297</f>
        <v>0.3224377194449089</v>
      </c>
      <c r="AA297" s="498">
        <f t="shared" ref="AA297" si="88">+V297</f>
        <v>0.3454575930271539</v>
      </c>
      <c r="AB297" s="392"/>
      <c r="AC297" s="498">
        <f>+X297</f>
        <v>0.30854632587859426</v>
      </c>
      <c r="AD297" s="498">
        <f>+Y297</f>
        <v>0.31069313827934519</v>
      </c>
      <c r="AE297" s="498">
        <f t="shared" ref="AE297" si="89">+Z297</f>
        <v>0.3224377194449089</v>
      </c>
      <c r="AF297" s="498">
        <f t="shared" ref="AF297" si="90">+AA297</f>
        <v>0.3454575930271539</v>
      </c>
      <c r="AG297" s="392"/>
      <c r="AH297" s="498">
        <f>+AC297</f>
        <v>0.30854632587859426</v>
      </c>
      <c r="AI297" s="498">
        <f>+AD297</f>
        <v>0.31069313827934519</v>
      </c>
      <c r="AJ297" s="498">
        <f t="shared" ref="AJ297" si="91">+AE297</f>
        <v>0.3224377194449089</v>
      </c>
      <c r="AK297" s="498">
        <f t="shared" ref="AK297" si="92">+AF297</f>
        <v>0.3454575930271539</v>
      </c>
      <c r="AL297" s="392"/>
      <c r="AM297" s="498">
        <f>+AH297</f>
        <v>0.30854632587859426</v>
      </c>
      <c r="AN297" s="498">
        <f>+AI297</f>
        <v>0.31069313827934519</v>
      </c>
      <c r="AO297" s="498">
        <f t="shared" ref="AO297" si="93">+AJ297</f>
        <v>0.3224377194449089</v>
      </c>
      <c r="AP297" s="498">
        <f t="shared" ref="AP297" si="94">+AK297</f>
        <v>0.3454575930271539</v>
      </c>
      <c r="AQ297" s="392"/>
    </row>
    <row r="298" spans="2:43" s="230" customFormat="1" outlineLevel="1" x14ac:dyDescent="0.3">
      <c r="B298" s="724" t="s">
        <v>86</v>
      </c>
      <c r="C298" s="725"/>
      <c r="D298" s="394"/>
      <c r="E298" s="394"/>
      <c r="F298" s="394"/>
      <c r="G298" s="395"/>
      <c r="H298" s="396"/>
      <c r="I298" s="395">
        <f>I23/(AVERAGE(I265,2944))</f>
        <v>0.75340811044003453</v>
      </c>
      <c r="J298" s="395">
        <f>J23/(AVERAGE(J265,I265))</f>
        <v>0.79689922480620157</v>
      </c>
      <c r="K298" s="395">
        <f>K23/(AVERAGE(K265,J265))</f>
        <v>0.80303833245009715</v>
      </c>
      <c r="L298" s="395">
        <f>L23/(AVERAGE(L265,K265))</f>
        <v>0.89906576296024909</v>
      </c>
      <c r="M298" s="397"/>
      <c r="N298" s="395">
        <f>N23/(AVERAGE(N265,L265))</f>
        <v>0.84920913884007032</v>
      </c>
      <c r="O298" s="395">
        <f>O23/(AVERAGE(O265,N265))</f>
        <v>0.83549712407559573</v>
      </c>
      <c r="P298" s="395">
        <f>P23/(AVERAGE(P265,O265))</f>
        <v>0.81645063210113622</v>
      </c>
      <c r="Q298" s="395">
        <f>Q23/(AVERAGE(Q265,P265))</f>
        <v>0.83273204329288286</v>
      </c>
      <c r="R298" s="397"/>
      <c r="S298" s="395">
        <f>S23/(AVERAGE(S265,Q265))</f>
        <v>0.7924777301220719</v>
      </c>
      <c r="T298" s="248">
        <f>+O298</f>
        <v>0.83549712407559573</v>
      </c>
      <c r="U298" s="248">
        <f>+P298</f>
        <v>0.81645063210113622</v>
      </c>
      <c r="V298" s="248">
        <f>+Q298</f>
        <v>0.83273204329288286</v>
      </c>
      <c r="W298" s="397"/>
      <c r="X298" s="248">
        <f>+S298</f>
        <v>0.7924777301220719</v>
      </c>
      <c r="Y298" s="248">
        <f>+T298</f>
        <v>0.83549712407559573</v>
      </c>
      <c r="Z298" s="248">
        <f>+U298</f>
        <v>0.81645063210113622</v>
      </c>
      <c r="AA298" s="248">
        <f>+V298</f>
        <v>0.83273204329288286</v>
      </c>
      <c r="AB298" s="397"/>
      <c r="AC298" s="248">
        <f>+X298</f>
        <v>0.7924777301220719</v>
      </c>
      <c r="AD298" s="248">
        <f>+Y298</f>
        <v>0.83549712407559573</v>
      </c>
      <c r="AE298" s="248">
        <f>+Z298</f>
        <v>0.81645063210113622</v>
      </c>
      <c r="AF298" s="248">
        <f>+AA298</f>
        <v>0.83273204329288286</v>
      </c>
      <c r="AG298" s="397"/>
      <c r="AH298" s="248">
        <f>+AC298</f>
        <v>0.7924777301220719</v>
      </c>
      <c r="AI298" s="248">
        <f>+AD298</f>
        <v>0.83549712407559573</v>
      </c>
      <c r="AJ298" s="248">
        <f>+AE298</f>
        <v>0.81645063210113622</v>
      </c>
      <c r="AK298" s="248">
        <f>+AF298</f>
        <v>0.83273204329288286</v>
      </c>
      <c r="AL298" s="397"/>
      <c r="AM298" s="248">
        <f>+AH298</f>
        <v>0.7924777301220719</v>
      </c>
      <c r="AN298" s="248">
        <f>+AI298</f>
        <v>0.83549712407559573</v>
      </c>
      <c r="AO298" s="248">
        <f>+AJ298</f>
        <v>0.81645063210113622</v>
      </c>
      <c r="AP298" s="248">
        <f>+AK298</f>
        <v>0.83273204329288286</v>
      </c>
      <c r="AQ298" s="396"/>
    </row>
    <row r="299" spans="2:43" s="111" customFormat="1" outlineLevel="1" x14ac:dyDescent="0.3">
      <c r="B299" s="724" t="s">
        <v>26</v>
      </c>
      <c r="C299" s="725"/>
      <c r="D299" s="377"/>
      <c r="E299" s="377"/>
      <c r="F299" s="377"/>
      <c r="G299" s="377"/>
      <c r="H299" s="398"/>
      <c r="I299" s="377">
        <f>I293/I298</f>
        <v>122.11177278973889</v>
      </c>
      <c r="J299" s="377">
        <f>J293/J298</f>
        <v>114.19260700389106</v>
      </c>
      <c r="K299" s="377">
        <f>K293/K298</f>
        <v>112.07435107787066</v>
      </c>
      <c r="L299" s="377">
        <f>L293/L298</f>
        <v>102.32844335778321</v>
      </c>
      <c r="M299" s="398"/>
      <c r="N299" s="377">
        <f>N293/N298</f>
        <v>108.33609271523179</v>
      </c>
      <c r="O299" s="377">
        <f>O293/O298</f>
        <v>108.91719118804092</v>
      </c>
      <c r="P299" s="377">
        <f>P293/P298</f>
        <v>110.23324186593493</v>
      </c>
      <c r="Q299" s="377">
        <f>Q293/Q298</f>
        <v>110.4797164237889</v>
      </c>
      <c r="R299" s="398"/>
      <c r="S299" s="377">
        <f>S293/S298</f>
        <v>116.09159034138219</v>
      </c>
      <c r="T299" s="377">
        <f>T293/T298</f>
        <v>108.91719118804092</v>
      </c>
      <c r="U299" s="377">
        <f>U293/U298</f>
        <v>110.23324186593493</v>
      </c>
      <c r="V299" s="377">
        <f>V293/V298</f>
        <v>110.4797164237889</v>
      </c>
      <c r="W299" s="398"/>
      <c r="X299" s="377">
        <f>X293/X298</f>
        <v>116.09159034138219</v>
      </c>
      <c r="Y299" s="377">
        <f>Y293/Y298</f>
        <v>108.91719118804092</v>
      </c>
      <c r="Z299" s="377">
        <f>Z293/Z298</f>
        <v>111.45805566444531</v>
      </c>
      <c r="AA299" s="377">
        <f>AA293/AA298</f>
        <v>110.4797164237889</v>
      </c>
      <c r="AB299" s="398"/>
      <c r="AC299" s="377">
        <f>AC293/AC298</f>
        <v>116.09159034138219</v>
      </c>
      <c r="AD299" s="377">
        <f>AD293/AD298</f>
        <v>108.91719118804092</v>
      </c>
      <c r="AE299" s="377">
        <f>AE293/AE298</f>
        <v>110.23324186593493</v>
      </c>
      <c r="AF299" s="377">
        <f>AF293/AF298</f>
        <v>110.4797164237889</v>
      </c>
      <c r="AG299" s="398"/>
      <c r="AH299" s="377">
        <f>AH293/AH298</f>
        <v>116.09159034138219</v>
      </c>
      <c r="AI299" s="377">
        <f>AI293/AI298</f>
        <v>108.91719118804092</v>
      </c>
      <c r="AJ299" s="377">
        <f>AJ293/AJ298</f>
        <v>110.23324186593493</v>
      </c>
      <c r="AK299" s="377">
        <f>AK293/AK298</f>
        <v>110.4797164237889</v>
      </c>
      <c r="AL299" s="398"/>
      <c r="AM299" s="377">
        <f>AM293/AM298</f>
        <v>116.09159034138219</v>
      </c>
      <c r="AN299" s="377">
        <f>AN293/AN298</f>
        <v>108.91719118804092</v>
      </c>
      <c r="AO299" s="377">
        <f>AO293/AO298</f>
        <v>110.23324186593493</v>
      </c>
      <c r="AP299" s="377">
        <f>AP293/AP298</f>
        <v>110.4797164237889</v>
      </c>
      <c r="AQ299" s="398"/>
    </row>
    <row r="300" spans="2:43" s="111" customFormat="1" outlineLevel="1" x14ac:dyDescent="0.3">
      <c r="B300" s="178" t="s">
        <v>311</v>
      </c>
      <c r="C300" s="128"/>
      <c r="D300" s="368">
        <f>+((D266+2436)/2)/D13</f>
        <v>0.19798029155468685</v>
      </c>
      <c r="E300" s="368">
        <f>+((E266+D266)/2)/E13</f>
        <v>0.18967317112342408</v>
      </c>
      <c r="F300" s="368">
        <f>+((F266+E266)/2)/F13</f>
        <v>0.18772720088509562</v>
      </c>
      <c r="G300" s="368">
        <f>+((G266+F266)/2)/G13</f>
        <v>0.21249711071731259</v>
      </c>
      <c r="H300" s="398"/>
      <c r="I300" s="368">
        <f>+((I266+G266)/2)/I13</f>
        <v>0.20582418331855692</v>
      </c>
      <c r="J300" s="368">
        <f>+((J266+I266)/2)/J13</f>
        <v>0.20152702431183445</v>
      </c>
      <c r="K300" s="368">
        <f>+((K266+J266)/2)/K13</f>
        <v>0.20180702807228112</v>
      </c>
      <c r="L300" s="368">
        <f>+((L266+K266)/2)/L13</f>
        <v>0.1983087487283825</v>
      </c>
      <c r="M300" s="398"/>
      <c r="N300" s="368">
        <f>+((N266+L266)/2)/N13</f>
        <v>0.2094201477413872</v>
      </c>
      <c r="O300" s="368">
        <f>+((O266+N266)/2)/O13</f>
        <v>0.18647704284926134</v>
      </c>
      <c r="P300" s="368">
        <f>+((P266+O266)/2)/P13</f>
        <v>0.17548106014764614</v>
      </c>
      <c r="Q300" s="368">
        <f>+((Q266+P266)/2)/Q13</f>
        <v>0.17254697331676186</v>
      </c>
      <c r="R300" s="399"/>
      <c r="S300" s="368">
        <f>+((S266+Q266)/2)/S13</f>
        <v>0.18276448510438659</v>
      </c>
      <c r="T300" s="246">
        <f t="shared" ref="T300:V301" si="95">+O300</f>
        <v>0.18647704284926134</v>
      </c>
      <c r="U300" s="246">
        <f t="shared" si="95"/>
        <v>0.17548106014764614</v>
      </c>
      <c r="V300" s="246">
        <f t="shared" si="95"/>
        <v>0.17254697331676186</v>
      </c>
      <c r="W300" s="398"/>
      <c r="X300" s="246">
        <f>+S300</f>
        <v>0.18276448510438659</v>
      </c>
      <c r="Y300" s="246">
        <f t="shared" ref="Y300:Y301" si="96">+T300</f>
        <v>0.18647704284926134</v>
      </c>
      <c r="Z300" s="246">
        <f t="shared" ref="Z300:Z301" si="97">+U300</f>
        <v>0.17548106014764614</v>
      </c>
      <c r="AA300" s="246">
        <f t="shared" ref="AA300:AA301" si="98">+V300</f>
        <v>0.17254697331676186</v>
      </c>
      <c r="AB300" s="398"/>
      <c r="AC300" s="246">
        <f>+X300</f>
        <v>0.18276448510438659</v>
      </c>
      <c r="AD300" s="246">
        <f t="shared" ref="AD300:AD301" si="99">+Y300</f>
        <v>0.18647704284926134</v>
      </c>
      <c r="AE300" s="246">
        <f t="shared" ref="AE300:AE301" si="100">+Z300</f>
        <v>0.17548106014764614</v>
      </c>
      <c r="AF300" s="246">
        <f t="shared" ref="AF300:AF301" si="101">+AA300</f>
        <v>0.17254697331676186</v>
      </c>
      <c r="AG300" s="398"/>
      <c r="AH300" s="246">
        <f>+AC300</f>
        <v>0.18276448510438659</v>
      </c>
      <c r="AI300" s="246">
        <f t="shared" ref="AI300:AI301" si="102">+AD300</f>
        <v>0.18647704284926134</v>
      </c>
      <c r="AJ300" s="246">
        <f t="shared" ref="AJ300:AJ301" si="103">+AE300</f>
        <v>0.17548106014764614</v>
      </c>
      <c r="AK300" s="246">
        <f t="shared" ref="AK300:AK301" si="104">+AF300</f>
        <v>0.17254697331676186</v>
      </c>
      <c r="AL300" s="398"/>
      <c r="AM300" s="246">
        <f>+AH300</f>
        <v>0.18276448510438659</v>
      </c>
      <c r="AN300" s="246">
        <f t="shared" ref="AN300:AN301" si="105">+AI300</f>
        <v>0.18647704284926134</v>
      </c>
      <c r="AO300" s="246">
        <f t="shared" ref="AO300:AO301" si="106">+AJ300</f>
        <v>0.17548106014764614</v>
      </c>
      <c r="AP300" s="246">
        <f t="shared" ref="AP300:AP301" si="107">+AK300</f>
        <v>0.17254697331676186</v>
      </c>
      <c r="AQ300" s="398"/>
    </row>
    <row r="301" spans="2:43" s="230" customFormat="1" outlineLevel="1" x14ac:dyDescent="0.3">
      <c r="B301" s="178" t="s">
        <v>324</v>
      </c>
      <c r="C301" s="128"/>
      <c r="D301" s="368">
        <f>((D271+1120)/2)/D13</f>
        <v>9.3900154735727659E-2</v>
      </c>
      <c r="E301" s="368">
        <f>((E271+D271)/2)/E13</f>
        <v>9.8410021681522519E-2</v>
      </c>
      <c r="F301" s="368">
        <f>((F271+E271)/2)/F13</f>
        <v>0.10064011379800854</v>
      </c>
      <c r="G301" s="368">
        <f>((G271+F271)/2)/G13</f>
        <v>0.10000770475383311</v>
      </c>
      <c r="H301" s="398"/>
      <c r="I301" s="368">
        <f>((I271+G271)/2)/I13</f>
        <v>9.0431698833799354E-2</v>
      </c>
      <c r="J301" s="368">
        <f>((J271+I271)/2)/J13</f>
        <v>8.9980577322349473E-2</v>
      </c>
      <c r="K301" s="368">
        <f>((K271+J271)/2)/K13</f>
        <v>9.0851503634060152E-2</v>
      </c>
      <c r="L301" s="368">
        <f>((L271+K271)/2)/L13</f>
        <v>9.1238555442522892E-2</v>
      </c>
      <c r="M301" s="398"/>
      <c r="N301" s="368">
        <f>((N271+L271)/2)/N13</f>
        <v>0.10122899915016016</v>
      </c>
      <c r="O301" s="368">
        <f>((O271+N271)/2)/O13</f>
        <v>9.9736406546925768E-2</v>
      </c>
      <c r="P301" s="368">
        <f>((P271+O271)/2)/P13</f>
        <v>0.1018395255960305</v>
      </c>
      <c r="Q301" s="368">
        <f>((Q271+P271)/2)/Q13</f>
        <v>0.10104466270047695</v>
      </c>
      <c r="R301" s="399"/>
      <c r="S301" s="368">
        <f>((S271+Q271)/2)/S13</f>
        <v>0.10535421064977715</v>
      </c>
      <c r="T301" s="246">
        <f t="shared" si="95"/>
        <v>9.9736406546925768E-2</v>
      </c>
      <c r="U301" s="246">
        <f t="shared" si="95"/>
        <v>0.1018395255960305</v>
      </c>
      <c r="V301" s="246">
        <f t="shared" si="95"/>
        <v>0.10104466270047695</v>
      </c>
      <c r="W301" s="398"/>
      <c r="X301" s="246">
        <f>+S301</f>
        <v>0.10535421064977715</v>
      </c>
      <c r="Y301" s="246">
        <f t="shared" si="96"/>
        <v>9.9736406546925768E-2</v>
      </c>
      <c r="Z301" s="246">
        <f t="shared" si="97"/>
        <v>0.1018395255960305</v>
      </c>
      <c r="AA301" s="246">
        <f t="shared" si="98"/>
        <v>0.10104466270047695</v>
      </c>
      <c r="AB301" s="398"/>
      <c r="AC301" s="246">
        <f>+X301</f>
        <v>0.10535421064977715</v>
      </c>
      <c r="AD301" s="246">
        <f t="shared" si="99"/>
        <v>9.9736406546925768E-2</v>
      </c>
      <c r="AE301" s="246">
        <f t="shared" si="100"/>
        <v>0.1018395255960305</v>
      </c>
      <c r="AF301" s="246">
        <f t="shared" si="101"/>
        <v>0.10104466270047695</v>
      </c>
      <c r="AG301" s="398"/>
      <c r="AH301" s="246">
        <f>+AC301</f>
        <v>0.10535421064977715</v>
      </c>
      <c r="AI301" s="246">
        <f t="shared" si="102"/>
        <v>9.9736406546925768E-2</v>
      </c>
      <c r="AJ301" s="246">
        <f t="shared" si="103"/>
        <v>0.1018395255960305</v>
      </c>
      <c r="AK301" s="246">
        <f t="shared" si="104"/>
        <v>0.10104466270047695</v>
      </c>
      <c r="AL301" s="398"/>
      <c r="AM301" s="246">
        <f>+AH301</f>
        <v>0.10535421064977715</v>
      </c>
      <c r="AN301" s="246">
        <f t="shared" si="105"/>
        <v>9.9736406546925768E-2</v>
      </c>
      <c r="AO301" s="246">
        <f t="shared" si="106"/>
        <v>0.1018395255960305</v>
      </c>
      <c r="AP301" s="246">
        <f t="shared" si="107"/>
        <v>0.10104466270047695</v>
      </c>
      <c r="AQ301" s="398"/>
    </row>
    <row r="302" spans="2:43" outlineLevel="1" x14ac:dyDescent="0.3">
      <c r="B302" s="724" t="s">
        <v>305</v>
      </c>
      <c r="C302" s="725"/>
      <c r="D302" s="146"/>
      <c r="E302" s="146">
        <f>+E312/((E255+D255)/2)</f>
        <v>1.4636169044390402E-2</v>
      </c>
      <c r="F302" s="146">
        <f>+F312/((F255+E255)/2)</f>
        <v>1.4527685868922146E-2</v>
      </c>
      <c r="G302" s="146">
        <f>+G312/((G255+F255)/2)</f>
        <v>1.4336378291241268E-2</v>
      </c>
      <c r="H302" s="179"/>
      <c r="I302" s="146">
        <f>+I312/((I255+H255)/2)</f>
        <v>1.5535164338494204E-2</v>
      </c>
      <c r="J302" s="146">
        <f>+J312/((J255+I255)/2)</f>
        <v>1.5251599872216325E-2</v>
      </c>
      <c r="K302" s="146">
        <f>+K312/((K255+J255)/2)</f>
        <v>1.5445424141076315E-2</v>
      </c>
      <c r="L302" s="146">
        <f>+L312/((L255+K255)/2)</f>
        <v>1.5023212257666023E-2</v>
      </c>
      <c r="M302" s="179"/>
      <c r="N302" s="146">
        <f>+N312/((N255+M255)/2)</f>
        <v>1.470156412113619E-2</v>
      </c>
      <c r="O302" s="146">
        <f>+O312/((O255+N255)/2)</f>
        <v>1.4430234777629319E-2</v>
      </c>
      <c r="P302" s="146">
        <f>+P312/((P255+O255)/2)</f>
        <v>1.4607357573617551E-2</v>
      </c>
      <c r="Q302" s="146">
        <f>+Q312/((Q255+P255)/2)</f>
        <v>1.4648669382089171E-2</v>
      </c>
      <c r="R302" s="179"/>
      <c r="S302" s="146">
        <f>+S312/((S255+R255)/2)</f>
        <v>1.4500165998187479E-2</v>
      </c>
      <c r="T302" s="246">
        <v>1.3034756654086887E-2</v>
      </c>
      <c r="U302" s="246">
        <v>1.3034756654086887E-2</v>
      </c>
      <c r="V302" s="246">
        <v>1.3034756654086887E-2</v>
      </c>
      <c r="W302" s="399"/>
      <c r="X302" s="246">
        <v>1.3034756654086887E-2</v>
      </c>
      <c r="Y302" s="246">
        <v>1.3034756654086887E-2</v>
      </c>
      <c r="Z302" s="246">
        <v>1.3034756654086887E-2</v>
      </c>
      <c r="AA302" s="246">
        <v>1.3034756654086887E-2</v>
      </c>
      <c r="AB302" s="399"/>
      <c r="AC302" s="246">
        <v>1.3034756654086887E-2</v>
      </c>
      <c r="AD302" s="246">
        <v>1.3034756654086887E-2</v>
      </c>
      <c r="AE302" s="246">
        <v>1.3034756654086887E-2</v>
      </c>
      <c r="AF302" s="246">
        <v>1.3034756654086887E-2</v>
      </c>
      <c r="AG302" s="399"/>
      <c r="AH302" s="246">
        <v>1.3034756654086887E-2</v>
      </c>
      <c r="AI302" s="246">
        <v>1.3034756654086887E-2</v>
      </c>
      <c r="AJ302" s="246">
        <v>1.3034756654086887E-2</v>
      </c>
      <c r="AK302" s="246">
        <v>1.3034756654086887E-2</v>
      </c>
      <c r="AL302" s="399"/>
      <c r="AM302" s="246">
        <v>1.3034756654086887E-2</v>
      </c>
      <c r="AN302" s="246">
        <v>1.3034756654086887E-2</v>
      </c>
      <c r="AO302" s="246">
        <v>1.3034756654086887E-2</v>
      </c>
      <c r="AP302" s="246">
        <v>1.3034756654086887E-2</v>
      </c>
      <c r="AQ302" s="179"/>
    </row>
    <row r="303" spans="2:43" s="111" customFormat="1" outlineLevel="1" x14ac:dyDescent="0.3">
      <c r="B303" s="791" t="s">
        <v>82</v>
      </c>
      <c r="C303" s="792"/>
      <c r="D303" s="387">
        <f>(D268+D263+D262)/(D288)</f>
        <v>0.47490675914414709</v>
      </c>
      <c r="E303" s="388">
        <f>(E268+E263+E262)/(E288)</f>
        <v>0.56671114076050699</v>
      </c>
      <c r="F303" s="388">
        <f>(F268+F263+F262)/(F288)</f>
        <v>0.59244782578348576</v>
      </c>
      <c r="G303" s="388">
        <f>(G268+G263+G262)/(G288)</f>
        <v>0.99840394660475917</v>
      </c>
      <c r="H303" s="389"/>
      <c r="I303" s="387">
        <f>(I268+I263+I262)/(I288)</f>
        <v>0.97454391175222743</v>
      </c>
      <c r="J303" s="388">
        <f>(J268+J263+J262)/(J288)</f>
        <v>0.93565480696442094</v>
      </c>
      <c r="K303" s="388">
        <f>(K268+K263+K262)/(K288)</f>
        <v>0.97194415173867232</v>
      </c>
      <c r="L303" s="388">
        <f>(L268+L263+L262)/(L288)</f>
        <v>0.92894916941454608</v>
      </c>
      <c r="M303" s="389"/>
      <c r="N303" s="387">
        <f>(N268+N263+N262)/(N288)</f>
        <v>0.91202310747382354</v>
      </c>
      <c r="O303" s="388">
        <f>(O268+O263+O262)/(O288)</f>
        <v>0.90536499560246264</v>
      </c>
      <c r="P303" s="388">
        <f>(P268+P263+P262)/(P288)</f>
        <v>0.93045411241664022</v>
      </c>
      <c r="Q303" s="388">
        <f>(Q268+Q263+Q262)/(Q288)</f>
        <v>0.85419241862381545</v>
      </c>
      <c r="R303" s="389"/>
      <c r="S303" s="387">
        <f>(S268+S263+S262)/(S288)</f>
        <v>0.88374276326083556</v>
      </c>
      <c r="T303" s="390">
        <f>+S303</f>
        <v>0.88374276326083556</v>
      </c>
      <c r="U303" s="390">
        <f>+T303</f>
        <v>0.88374276326083556</v>
      </c>
      <c r="V303" s="390">
        <f>+U303</f>
        <v>0.88374276326083556</v>
      </c>
      <c r="W303" s="389"/>
      <c r="X303" s="390">
        <f>+V303</f>
        <v>0.88374276326083556</v>
      </c>
      <c r="Y303" s="390">
        <f>+X303</f>
        <v>0.88374276326083556</v>
      </c>
      <c r="Z303" s="390">
        <f>+Y303</f>
        <v>0.88374276326083556</v>
      </c>
      <c r="AA303" s="390">
        <f>+Z303</f>
        <v>0.88374276326083556</v>
      </c>
      <c r="AB303" s="389"/>
      <c r="AC303" s="390">
        <f>+AA303</f>
        <v>0.88374276326083556</v>
      </c>
      <c r="AD303" s="390">
        <f>+AC303</f>
        <v>0.88374276326083556</v>
      </c>
      <c r="AE303" s="390">
        <f>+AD303</f>
        <v>0.88374276326083556</v>
      </c>
      <c r="AF303" s="390">
        <f>+AE303</f>
        <v>0.88374276326083556</v>
      </c>
      <c r="AG303" s="389"/>
      <c r="AH303" s="390">
        <f>+AF303-0.5%</f>
        <v>0.87874276326083556</v>
      </c>
      <c r="AI303" s="390">
        <f>+AH303-0.5%</f>
        <v>0.87374276326083555</v>
      </c>
      <c r="AJ303" s="390">
        <f>+AI303-0.5%</f>
        <v>0.86874276326083555</v>
      </c>
      <c r="AK303" s="390">
        <f>+AJ303-0.5%</f>
        <v>0.86374276326083554</v>
      </c>
      <c r="AL303" s="389"/>
      <c r="AM303" s="390">
        <f>+AK303-0.5%</f>
        <v>0.85874276326083554</v>
      </c>
      <c r="AN303" s="390">
        <f>+AM303-0.5%</f>
        <v>0.85374276326083554</v>
      </c>
      <c r="AO303" s="390">
        <f>+AN303-0.5%</f>
        <v>0.84874276326083553</v>
      </c>
      <c r="AP303" s="390">
        <f>+AO303-0.5%</f>
        <v>0.84374276326083553</v>
      </c>
      <c r="AQ303" s="389"/>
    </row>
    <row r="304" spans="2:43" outlineLevel="1" x14ac:dyDescent="0.3">
      <c r="B304" s="291" t="s">
        <v>309</v>
      </c>
      <c r="C304" s="410"/>
      <c r="D304" s="194">
        <f>D262/(D262+D263+D268)</f>
        <v>0</v>
      </c>
      <c r="E304" s="235">
        <f>E262/(E262+E263+E268)</f>
        <v>0</v>
      </c>
      <c r="F304" s="235">
        <f>F262/(F262+F263+F268)</f>
        <v>0</v>
      </c>
      <c r="G304" s="235">
        <f>G262/(G262+G263+G268)</f>
        <v>0</v>
      </c>
      <c r="H304" s="61"/>
      <c r="I304" s="194">
        <f>I262/(I262+I263+I268)</f>
        <v>0</v>
      </c>
      <c r="J304" s="235">
        <f>J262/(J262+J263+J268)</f>
        <v>0</v>
      </c>
      <c r="K304" s="235">
        <f>K262/(K262+K263+K268)</f>
        <v>0</v>
      </c>
      <c r="L304" s="235">
        <f>L262/(L262+L263+L268)</f>
        <v>0</v>
      </c>
      <c r="M304" s="61"/>
      <c r="N304" s="194">
        <f>N262/(N262+N263+N268)</f>
        <v>0</v>
      </c>
      <c r="O304" s="235">
        <f>O262/(O262+O263+O268)</f>
        <v>1.6190661226604494E-2</v>
      </c>
      <c r="P304" s="235">
        <f>P262/(P262+P263+P268)</f>
        <v>4.5449374288964735E-2</v>
      </c>
      <c r="Q304" s="235">
        <f>Q262/(Q262+Q263+Q268)</f>
        <v>0</v>
      </c>
      <c r="R304" s="209"/>
      <c r="S304" s="194">
        <f>S262/(S262+S263+S268)</f>
        <v>1.7646364494806423E-2</v>
      </c>
      <c r="T304" s="246">
        <f t="shared" ref="T304:V305" si="108">S304</f>
        <v>1.7646364494806423E-2</v>
      </c>
      <c r="U304" s="246">
        <f t="shared" si="108"/>
        <v>1.7646364494806423E-2</v>
      </c>
      <c r="V304" s="246">
        <f t="shared" si="108"/>
        <v>1.7646364494806423E-2</v>
      </c>
      <c r="W304" s="61"/>
      <c r="X304" s="245">
        <f>AVERAGE(V304,U304,T304,S304)</f>
        <v>1.7646364494806423E-2</v>
      </c>
      <c r="Y304" s="245">
        <f>AVERAGE(X304,V304,U304,T304)</f>
        <v>1.7646364494806423E-2</v>
      </c>
      <c r="Z304" s="245">
        <f>AVERAGE(Y304,X304,V304,U304)</f>
        <v>1.7646364494806423E-2</v>
      </c>
      <c r="AA304" s="245">
        <f>AVERAGE(Z304,Y304,X304,V304)</f>
        <v>1.7646364494806423E-2</v>
      </c>
      <c r="AB304" s="61"/>
      <c r="AC304" s="245">
        <f>AVERAGE(AA304,Z304,Y304,X304)</f>
        <v>1.7646364494806423E-2</v>
      </c>
      <c r="AD304" s="245">
        <f>AVERAGE(AC304,AA304,Z304,Y304)</f>
        <v>1.7646364494806423E-2</v>
      </c>
      <c r="AE304" s="245">
        <f>AVERAGE(AD304,AC304,AA304,Z304)</f>
        <v>1.7646364494806423E-2</v>
      </c>
      <c r="AF304" s="245">
        <f>AVERAGE(AE304,AD304,AC304,AA304)</f>
        <v>1.7646364494806423E-2</v>
      </c>
      <c r="AG304" s="61"/>
      <c r="AH304" s="245">
        <f>AVERAGE(AF304,AE304,AD304,AC304)</f>
        <v>1.7646364494806423E-2</v>
      </c>
      <c r="AI304" s="245">
        <f>AVERAGE(AH304,AF304,AE304,AD304)</f>
        <v>1.7646364494806423E-2</v>
      </c>
      <c r="AJ304" s="245">
        <f>AVERAGE(AI304,AH304,AF304,AE304)</f>
        <v>1.7646364494806423E-2</v>
      </c>
      <c r="AK304" s="245">
        <f>AVERAGE(AJ304,AI304,AH304,AF304)</f>
        <v>1.7646364494806423E-2</v>
      </c>
      <c r="AL304" s="61"/>
      <c r="AM304" s="245">
        <f>AVERAGE(AK304,AJ304,AI304,AH304)</f>
        <v>1.7646364494806423E-2</v>
      </c>
      <c r="AN304" s="245">
        <f>AVERAGE(AM304,AK304,AJ304,AI304)</f>
        <v>1.7646364494806423E-2</v>
      </c>
      <c r="AO304" s="245">
        <f>AVERAGE(AN304,AM304,AK304,AJ304)</f>
        <v>1.7646364494806423E-2</v>
      </c>
      <c r="AP304" s="245">
        <f>AVERAGE(AO304,AN304,AM304,AK304)</f>
        <v>1.7646364494806423E-2</v>
      </c>
      <c r="AQ304" s="61"/>
    </row>
    <row r="305" spans="2:43" outlineLevel="1" x14ac:dyDescent="0.3">
      <c r="B305" s="291" t="s">
        <v>310</v>
      </c>
      <c r="C305" s="410"/>
      <c r="D305" s="194">
        <f>D263/(D262+D263+D268)</f>
        <v>1.9289060347203086E-3</v>
      </c>
      <c r="E305" s="235">
        <f>E263/(E262+E263+E268)</f>
        <v>1.64802825191289E-3</v>
      </c>
      <c r="F305" s="235">
        <f>F263/(F262+F263+F268)</f>
        <v>1.2959472196041471E-3</v>
      </c>
      <c r="G305" s="235">
        <f>G263/(G262+G263+G268)</f>
        <v>2.1072518529283535E-3</v>
      </c>
      <c r="H305" s="61"/>
      <c r="I305" s="194">
        <f>I263/(I262+I263+I268)</f>
        <v>3.4102452474241763E-3</v>
      </c>
      <c r="J305" s="235">
        <f>J263/(J262+J263+J268)</f>
        <v>3.162694910267726E-3</v>
      </c>
      <c r="K305" s="235">
        <f>K263/(K262+K263+K268)</f>
        <v>3.0491936576771922E-3</v>
      </c>
      <c r="L305" s="235">
        <f>L263/(L262+L263+L268)</f>
        <v>1.4734445114191949E-3</v>
      </c>
      <c r="M305" s="61"/>
      <c r="N305" s="194">
        <f>N263/(N262+N263+N268)</f>
        <v>1.253628925837952E-3</v>
      </c>
      <c r="O305" s="235">
        <f>O263/(O262+O263+O268)</f>
        <v>7.1238909397059781E-4</v>
      </c>
      <c r="P305" s="235">
        <f>P263/(P262+P263+P268)</f>
        <v>4.3458475540386801E-2</v>
      </c>
      <c r="Q305" s="235">
        <f>Q263/(Q262+Q263+Q268)</f>
        <v>8.091649080494423E-2</v>
      </c>
      <c r="R305" s="209"/>
      <c r="S305" s="194">
        <f>S263/(S262+S263+S268)</f>
        <v>8.2861189801699722E-2</v>
      </c>
      <c r="T305" s="246">
        <f t="shared" si="108"/>
        <v>8.2861189801699722E-2</v>
      </c>
      <c r="U305" s="246">
        <f t="shared" si="108"/>
        <v>8.2861189801699722E-2</v>
      </c>
      <c r="V305" s="246">
        <f t="shared" si="108"/>
        <v>8.2861189801699722E-2</v>
      </c>
      <c r="W305" s="61"/>
      <c r="X305" s="245">
        <f>AVERAGE(V305,U305,T305,S305)</f>
        <v>8.2861189801699722E-2</v>
      </c>
      <c r="Y305" s="245">
        <f>AVERAGE(X305,V305,U305,T305)</f>
        <v>8.2861189801699722E-2</v>
      </c>
      <c r="Z305" s="245">
        <f>AVERAGE(Y305,X305,V305,U305)</f>
        <v>8.2861189801699722E-2</v>
      </c>
      <c r="AA305" s="245">
        <f>AVERAGE(Z305,Y305,X305,V305)</f>
        <v>8.2861189801699722E-2</v>
      </c>
      <c r="AB305" s="61"/>
      <c r="AC305" s="245">
        <f>AVERAGE(AA305,Z305,Y305,X305)</f>
        <v>8.2861189801699722E-2</v>
      </c>
      <c r="AD305" s="245">
        <f>AVERAGE(AC305,AA305,Z305,Y305)</f>
        <v>8.2861189801699722E-2</v>
      </c>
      <c r="AE305" s="245">
        <f>AVERAGE(AD305,AC305,AA305,Z305)</f>
        <v>8.2861189801699722E-2</v>
      </c>
      <c r="AF305" s="245">
        <f>AVERAGE(AE305,AD305,AC305,AA305)</f>
        <v>8.2861189801699722E-2</v>
      </c>
      <c r="AG305" s="61"/>
      <c r="AH305" s="245">
        <f>AVERAGE(AF305,AE305,AD305,AC305)</f>
        <v>8.2861189801699722E-2</v>
      </c>
      <c r="AI305" s="245">
        <f>AVERAGE(AH305,AF305,AE305,AD305)</f>
        <v>8.2861189801699722E-2</v>
      </c>
      <c r="AJ305" s="245">
        <f>AVERAGE(AI305,AH305,AF305,AE305)</f>
        <v>8.2861189801699722E-2</v>
      </c>
      <c r="AK305" s="245">
        <f>AVERAGE(AJ305,AI305,AH305,AF305)</f>
        <v>8.2861189801699722E-2</v>
      </c>
      <c r="AL305" s="61"/>
      <c r="AM305" s="245">
        <f>AVERAGE(AK305,AJ305,AI305,AH305)</f>
        <v>8.2861189801699722E-2</v>
      </c>
      <c r="AN305" s="245">
        <f>AVERAGE(AM305,AK305,AJ305,AI305)</f>
        <v>8.2861189801699722E-2</v>
      </c>
      <c r="AO305" s="245">
        <f>AVERAGE(AN305,AM305,AK305,AJ305)</f>
        <v>8.2861189801699722E-2</v>
      </c>
      <c r="AP305" s="245">
        <f>AVERAGE(AO305,AN305,AM305,AK305)</f>
        <v>8.2861189801699722E-2</v>
      </c>
      <c r="AQ305" s="61"/>
    </row>
    <row r="306" spans="2:43" outlineLevel="1" x14ac:dyDescent="0.3">
      <c r="B306" s="755" t="s">
        <v>308</v>
      </c>
      <c r="C306" s="756"/>
      <c r="D306" s="44"/>
      <c r="E306" s="274"/>
      <c r="F306" s="44"/>
      <c r="G306" s="44"/>
      <c r="H306" s="63"/>
      <c r="I306" s="44"/>
      <c r="J306" s="44"/>
      <c r="K306" s="44"/>
      <c r="L306" s="44"/>
      <c r="M306" s="63"/>
      <c r="N306" s="275" t="str">
        <f>(ROUND(((((N262+N263+N268)+(L262+L263+L268)+(K262+K263+K268)+(J262+J263+J268))/4)/(N36+L36+K36+J36+N208+L208+K208+J208)),0))&amp;"x"</f>
        <v>2x</v>
      </c>
      <c r="O306" s="275" t="str">
        <f>(ROUND(((((O262+O263+O268)+(N262+N263+N268)+(L262+L263+L268)+(K262+K263+K268))/4)/(O36+N36+L36+K36+O208+N208+L208+K208)),0))&amp;"x"</f>
        <v>2x</v>
      </c>
      <c r="P306" s="275" t="str">
        <f>(ROUND(((((P262+P263+P268)+(O262+O263+O268)+(N262+N263+N268)+(L262+L263+L268))/4)/(P36+O36+N36+L36+P208+O208+N208+L208)),0))&amp;"x"</f>
        <v>2x</v>
      </c>
      <c r="Q306" s="275" t="str">
        <f>(ROUND(((((Q262+Q263+Q268)+(P262+P263+P268)+(O262+O263+O268)+(N262+N263+N268))/4)/(Q36+P36+O36+N36+Q208+P208+O208+N208)),0))&amp;"x"</f>
        <v>2x</v>
      </c>
      <c r="R306" s="308" t="str">
        <f>(ROUND(((((Q262+Q263+Q268)+(P262+P263+P268)+(O262+O263+O268)+(N262+N263+N268))/4)/(R36+R208)),0))&amp;"x"</f>
        <v>2x</v>
      </c>
      <c r="S306" s="275" t="str">
        <f>(ROUND(((((S262+S263+S268)+(Q262+Q263+Q268)+(P262+P263+P268)+(O262+O263+O268))/4)/(S36+Q36+P36+O36+S208+Q208+P208+O208)),0))&amp;"x"</f>
        <v>2x</v>
      </c>
      <c r="T306" s="275" t="str">
        <f>(ROUND(((((T262+T263+T268)+(S262+S263+S268)+(Q262+Q263+Q268)+(P262+P263+P268))/4)/(T36+S36+Q36+P36+T208+S208+Q208+P208)),0))&amp;"x"</f>
        <v>2x</v>
      </c>
      <c r="U306" s="275" t="str">
        <f>(ROUND(((((U262+U263+U268)+(T262+T263+T268)+(S262+S263+S268)+(Q262+Q263+Q268))/4)/(U36+T36+S36+Q36+U208+T208+S208+Q208)),0))&amp;"x"</f>
        <v>2x</v>
      </c>
      <c r="V306" s="275" t="str">
        <f>(ROUND(((((V262+V263+V268)+(U262+U263+U268)+(T262+T263+T268)+(S262+S263+S268))/4)/(V36+U36+T36+S36+V208+U208+T208+S208)),0))&amp;"x"</f>
        <v>2x</v>
      </c>
      <c r="W306" s="308" t="str">
        <f>(ROUND(((((V262+V263+V268)+(U262+U263+U268)+(T262+T263+T268)+(S262+S263+S268))/4)/(W36+W208)),0))&amp;"x"</f>
        <v>2x</v>
      </c>
      <c r="X306" s="275" t="str">
        <f>(ROUND(((((X262+X263+X268)+(V262+V263+V268)+(U262+U263+U268)+(T262+T263+T268))/4)/(X36+V36+U36+T36+X208+V208+U208+T208)),0))&amp;"x"</f>
        <v>2x</v>
      </c>
      <c r="Y306" s="275" t="str">
        <f>(ROUND(((((Y262+Y263+Y268)+(X262+X263+X268)+(V262+V263+V268)+(U262+U263+U268))/4)/(Y36+X36+V36+U36+Y208+X208+V208+U208)),0))&amp;"x"</f>
        <v>2x</v>
      </c>
      <c r="Z306" s="275" t="str">
        <f>(ROUND(((((Z262+Z263+Z268)+(Y262+Y263+Y268)+(X262+X263+X268)+(V262+V263+V268))/4)/(Z36+Y36+X36+V36+Z208+Y208+X208+V208)),0))&amp;"x"</f>
        <v>2x</v>
      </c>
      <c r="AA306" s="275" t="str">
        <f>(ROUND(((((AA262+AA263+AA268)+(Z262+Z263+Z268)+(Y262+Y263+Y268)+(X262+X263+X268))/4)/(AA36+Z36+Y36+X36+AA208+Z208+Y208+X208)),0))&amp;"x"</f>
        <v>2x</v>
      </c>
      <c r="AB306" s="308" t="str">
        <f>(ROUND(((((AA262+AA263+AA268)+(Z262+Z263+Z268)+(Y262+Y263+Y268)+(X262+X263+X268))/4)/(AB36+AB208)),0))&amp;"x"</f>
        <v>2x</v>
      </c>
      <c r="AC306" s="275" t="str">
        <f>(ROUND(((((AC262+AC263+AC268)+(AA262+AA263+AA268)+(Z262+Z263+Z268)+(Y262+Y263+Y268))/4)/(AC36+AA36+Z36+Y36+AC208+AA208+Z208+Y208)),0))&amp;"x"</f>
        <v>2x</v>
      </c>
      <c r="AD306" s="275" t="str">
        <f>(ROUND(((((AD262+AD263+AD268)+(AC262+AC263+AC268)+(AA262+AA263+AA268)+(Z262+Z263+Z268))/4)/(AD36+AC36+AA36+Z36+AD208+AC208+AA208+Z208)),0))&amp;"x"</f>
        <v>2x</v>
      </c>
      <c r="AE306" s="275" t="str">
        <f>(ROUND(((((AE262+AE263+AE268)+(AD262+AD263+AD268)+(AC262+AC263+AC268)+(AA262+AA263+AA268))/4)/(AE36+AD36+AC36+AA36+AE208+AD208+AC208+AA208)),0))&amp;"x"</f>
        <v>2x</v>
      </c>
      <c r="AF306" s="275" t="str">
        <f>(ROUND(((((AF262+AF263+AF268)+(AE262+AE263+AE268)+(AD262+AD263+AD268)+(AC262+AC263+AC268))/4)/(AF36+AE36+AD36+AC36+AF208+AE208+AD208+AC208)),0))&amp;"x"</f>
        <v>2x</v>
      </c>
      <c r="AG306" s="308" t="str">
        <f>(ROUND(((((AF262+AF263+AF268)+(AE262+AE263+AE268)+(AD262+AD263+AD268)+(AC262+AC263+AC268))/4)/(AG36+AG208)),0))&amp;"x"</f>
        <v>2x</v>
      </c>
      <c r="AH306" s="275" t="str">
        <f>(ROUND(((((AH262+AH263+AH268)+(AF262+AF263+AF268)+(AE262+AE263+AE268)+(AD262+AD263+AD268))/4)/(AH36+AF36+AE36+AD36+AH208+AF208+AE208+AD208)),0))&amp;"x"</f>
        <v>2x</v>
      </c>
      <c r="AI306" s="275" t="str">
        <f>(ROUND(((((AI262+AI263+AI268)+(AH262+AH263+AH268)+(AF262+AF263+AF268)+(AE262+AE263+AE268))/4)/(AI36+AH36+AF36+AE36+AI208+AH208+AF208+AE208)),0))&amp;"x"</f>
        <v>2x</v>
      </c>
      <c r="AJ306" s="275" t="str">
        <f>(ROUND(((((AJ262+AJ263+AJ268)+(AI262+AI263+AI268)+(AH262+AH263+AH268)+(AF262+AF263+AF268))/4)/(AJ36+AI36+AH36+AF36+AJ208+AI208+AH208+AF208)),0))&amp;"x"</f>
        <v>2x</v>
      </c>
      <c r="AK306" s="275" t="str">
        <f>(ROUND(((((AK262+AK263+AK268)+(AJ262+AJ263+AJ268)+(AI262+AI263+AI268)+(AH262+AH263+AH268))/4)/(AK36+AJ36+AI36+AH36+AK208+AJ208+AI208+AH208)),0))&amp;"x"</f>
        <v>2x</v>
      </c>
      <c r="AL306" s="308" t="str">
        <f>(ROUND(((((AK262+AK263+AK268)+(AJ262+AJ263+AJ268)+(AI262+AI263+AI268)+(AH262+AH263+AH268))/4)/(AL36+AL208)),0))&amp;"x"</f>
        <v>2x</v>
      </c>
      <c r="AM306" s="275" t="str">
        <f>(ROUND(((((AM262+AM263+AM268)+(AK262+AK263+AK268)+(AJ262+AJ263+AJ268)+(AI262+AI263+AI268))/4)/(AM36+AK36+AJ36+AI36+AM208+AK208+AJ208+AI208)),0))&amp;"x"</f>
        <v>2x</v>
      </c>
      <c r="AN306" s="275" t="str">
        <f>(ROUND(((((AN262+AN263+AN268)+(AM262+AM263+AM268)+(AK262+AK263+AK268)+(AJ262+AJ263+AJ268))/4)/(AN36+AM36+AK36+AJ36+AN208+AM208+AK208+AJ208)),0))&amp;"x"</f>
        <v>2x</v>
      </c>
      <c r="AO306" s="275" t="str">
        <f>(ROUND(((((AO262+AO263+AO268)+(AN262+AN263+AN268)+(AM262+AM263+AM268)+(AK262+AK263+AK268))/4)/(AO36+AN36+AM36+AK36+AO208+AN208+AM208+AK208)),0))&amp;"x"</f>
        <v>3x</v>
      </c>
      <c r="AP306" s="275" t="str">
        <f>(ROUND(((((AP262+AP263+AP268)+(AO262+AO263+AO268)+(AN262+AN263+AN268)+(AM262+AM263+AM268))/4)/(AP36+AO36+AN36+AM36+AP208+AO208+AN208+AM208)),0))&amp;"x"</f>
        <v>3x</v>
      </c>
      <c r="AQ306" s="308" t="str">
        <f>(ROUND(((((AP262+AP263+AP268)+(AO262+AO263+AO268)+(AN262+AN263+AN268)+(AM262+AM263+AM268))/4)/(AQ36+AQ208)),0))&amp;"x"</f>
        <v>3x</v>
      </c>
    </row>
    <row r="307" spans="2:43" x14ac:dyDescent="0.3">
      <c r="B307" s="52"/>
      <c r="C307" s="52"/>
      <c r="D307" s="64"/>
      <c r="H307" s="79"/>
      <c r="M307" s="37"/>
      <c r="N307" s="37"/>
      <c r="O307" s="80"/>
      <c r="S307" s="64"/>
    </row>
    <row r="308" spans="2:43" ht="15.6" x14ac:dyDescent="0.3">
      <c r="B308" s="705" t="s">
        <v>112</v>
      </c>
      <c r="C308" s="713"/>
      <c r="D308" s="90" t="s">
        <v>120</v>
      </c>
      <c r="E308" s="90" t="s">
        <v>121</v>
      </c>
      <c r="F308" s="90" t="s">
        <v>122</v>
      </c>
      <c r="G308" s="90" t="s">
        <v>123</v>
      </c>
      <c r="H308" s="403" t="s">
        <v>123</v>
      </c>
      <c r="I308" s="90" t="s">
        <v>124</v>
      </c>
      <c r="J308" s="90" t="s">
        <v>125</v>
      </c>
      <c r="K308" s="90" t="s">
        <v>126</v>
      </c>
      <c r="L308" s="90" t="s">
        <v>127</v>
      </c>
      <c r="M308" s="403" t="s">
        <v>127</v>
      </c>
      <c r="N308" s="90" t="s">
        <v>128</v>
      </c>
      <c r="O308" s="90" t="s">
        <v>129</v>
      </c>
      <c r="P308" s="90" t="s">
        <v>130</v>
      </c>
      <c r="Q308" s="90" t="s">
        <v>131</v>
      </c>
      <c r="R308" s="403" t="s">
        <v>131</v>
      </c>
      <c r="S308" s="90" t="s">
        <v>132</v>
      </c>
      <c r="T308" s="92" t="s">
        <v>133</v>
      </c>
      <c r="U308" s="92" t="s">
        <v>134</v>
      </c>
      <c r="V308" s="92" t="s">
        <v>135</v>
      </c>
      <c r="W308" s="407" t="s">
        <v>135</v>
      </c>
      <c r="X308" s="92" t="s">
        <v>136</v>
      </c>
      <c r="Y308" s="92" t="s">
        <v>137</v>
      </c>
      <c r="Z308" s="92" t="s">
        <v>138</v>
      </c>
      <c r="AA308" s="92" t="s">
        <v>139</v>
      </c>
      <c r="AB308" s="407" t="s">
        <v>139</v>
      </c>
      <c r="AC308" s="92" t="s">
        <v>140</v>
      </c>
      <c r="AD308" s="92" t="s">
        <v>141</v>
      </c>
      <c r="AE308" s="92" t="s">
        <v>142</v>
      </c>
      <c r="AF308" s="92" t="s">
        <v>143</v>
      </c>
      <c r="AG308" s="407" t="s">
        <v>143</v>
      </c>
      <c r="AH308" s="92" t="s">
        <v>144</v>
      </c>
      <c r="AI308" s="92" t="s">
        <v>145</v>
      </c>
      <c r="AJ308" s="92" t="s">
        <v>146</v>
      </c>
      <c r="AK308" s="92" t="s">
        <v>147</v>
      </c>
      <c r="AL308" s="407" t="s">
        <v>147</v>
      </c>
      <c r="AM308" s="92" t="s">
        <v>148</v>
      </c>
      <c r="AN308" s="92" t="s">
        <v>149</v>
      </c>
      <c r="AO308" s="92" t="s">
        <v>150</v>
      </c>
      <c r="AP308" s="92" t="s">
        <v>151</v>
      </c>
      <c r="AQ308" s="407" t="s">
        <v>151</v>
      </c>
    </row>
    <row r="309" spans="2:43" ht="16.2" x14ac:dyDescent="0.45">
      <c r="B309" s="293" t="s">
        <v>3</v>
      </c>
      <c r="C309" s="409"/>
      <c r="D309" s="91" t="s">
        <v>71</v>
      </c>
      <c r="E309" s="91" t="s">
        <v>74</v>
      </c>
      <c r="F309" s="91" t="s">
        <v>75</v>
      </c>
      <c r="G309" s="91" t="s">
        <v>78</v>
      </c>
      <c r="H309" s="404" t="s">
        <v>79</v>
      </c>
      <c r="I309" s="91" t="s">
        <v>80</v>
      </c>
      <c r="J309" s="91" t="s">
        <v>91</v>
      </c>
      <c r="K309" s="91" t="s">
        <v>109</v>
      </c>
      <c r="L309" s="91" t="s">
        <v>113</v>
      </c>
      <c r="M309" s="404" t="s">
        <v>114</v>
      </c>
      <c r="N309" s="91" t="s">
        <v>115</v>
      </c>
      <c r="O309" s="91" t="s">
        <v>116</v>
      </c>
      <c r="P309" s="91" t="s">
        <v>117</v>
      </c>
      <c r="Q309" s="91" t="s">
        <v>118</v>
      </c>
      <c r="R309" s="404" t="s">
        <v>119</v>
      </c>
      <c r="S309" s="91" t="s">
        <v>511</v>
      </c>
      <c r="T309" s="89" t="s">
        <v>377</v>
      </c>
      <c r="U309" s="89" t="s">
        <v>378</v>
      </c>
      <c r="V309" s="89" t="s">
        <v>379</v>
      </c>
      <c r="W309" s="408" t="s">
        <v>380</v>
      </c>
      <c r="X309" s="89" t="s">
        <v>381</v>
      </c>
      <c r="Y309" s="89" t="s">
        <v>382</v>
      </c>
      <c r="Z309" s="89" t="s">
        <v>383</v>
      </c>
      <c r="AA309" s="89" t="s">
        <v>384</v>
      </c>
      <c r="AB309" s="408" t="s">
        <v>385</v>
      </c>
      <c r="AC309" s="89" t="s">
        <v>386</v>
      </c>
      <c r="AD309" s="89" t="s">
        <v>387</v>
      </c>
      <c r="AE309" s="89" t="s">
        <v>388</v>
      </c>
      <c r="AF309" s="89" t="s">
        <v>389</v>
      </c>
      <c r="AG309" s="408" t="s">
        <v>390</v>
      </c>
      <c r="AH309" s="89" t="s">
        <v>391</v>
      </c>
      <c r="AI309" s="89" t="s">
        <v>392</v>
      </c>
      <c r="AJ309" s="89" t="s">
        <v>393</v>
      </c>
      <c r="AK309" s="89" t="s">
        <v>394</v>
      </c>
      <c r="AL309" s="408" t="s">
        <v>395</v>
      </c>
      <c r="AM309" s="89" t="s">
        <v>396</v>
      </c>
      <c r="AN309" s="89" t="s">
        <v>397</v>
      </c>
      <c r="AO309" s="89" t="s">
        <v>398</v>
      </c>
      <c r="AP309" s="89" t="s">
        <v>399</v>
      </c>
      <c r="AQ309" s="408" t="s">
        <v>400</v>
      </c>
    </row>
    <row r="310" spans="2:43" outlineLevel="1" x14ac:dyDescent="0.3">
      <c r="B310" s="718" t="s">
        <v>13</v>
      </c>
      <c r="C310" s="719"/>
      <c r="D310" s="72"/>
      <c r="E310" s="72"/>
      <c r="F310" s="72"/>
      <c r="G310" s="72"/>
      <c r="H310" s="43"/>
      <c r="I310" s="72"/>
      <c r="J310" s="93"/>
      <c r="K310" s="72"/>
      <c r="L310" s="72"/>
      <c r="M310" s="43"/>
      <c r="N310" s="72"/>
      <c r="O310" s="72"/>
      <c r="P310" s="72"/>
      <c r="Q310" s="72"/>
      <c r="R310" s="43"/>
      <c r="S310" s="72"/>
      <c r="T310" s="72"/>
      <c r="U310" s="72"/>
      <c r="V310" s="72"/>
      <c r="W310" s="43"/>
      <c r="X310" s="72"/>
      <c r="Y310" s="72"/>
      <c r="Z310" s="72"/>
      <c r="AA310" s="72"/>
      <c r="AB310" s="43"/>
      <c r="AC310" s="72"/>
      <c r="AD310" s="72"/>
      <c r="AE310" s="72"/>
      <c r="AF310" s="72"/>
      <c r="AG310" s="43"/>
      <c r="AH310" s="72"/>
      <c r="AI310" s="72"/>
      <c r="AJ310" s="72"/>
      <c r="AK310" s="72"/>
      <c r="AL310" s="43"/>
      <c r="AM310" s="72"/>
      <c r="AN310" s="72"/>
      <c r="AO310" s="72"/>
      <c r="AP310" s="72"/>
      <c r="AQ310" s="43"/>
    </row>
    <row r="311" spans="2:43" outlineLevel="1" x14ac:dyDescent="0.3">
      <c r="B311" s="720" t="s">
        <v>14</v>
      </c>
      <c r="C311" s="721"/>
      <c r="D311" s="93">
        <f t="shared" ref="D311:AQ311" si="109">D38</f>
        <v>692</v>
      </c>
      <c r="E311" s="93">
        <f t="shared" si="109"/>
        <v>691</v>
      </c>
      <c r="F311" s="93">
        <f t="shared" si="109"/>
        <v>507</v>
      </c>
      <c r="G311" s="93">
        <f t="shared" si="109"/>
        <v>-70</v>
      </c>
      <c r="H311" s="94">
        <f t="shared" si="109"/>
        <v>1820</v>
      </c>
      <c r="I311" s="93">
        <f t="shared" si="109"/>
        <v>715</v>
      </c>
      <c r="J311" s="93">
        <f t="shared" si="109"/>
        <v>700</v>
      </c>
      <c r="K311" s="93">
        <f t="shared" si="109"/>
        <v>562</v>
      </c>
      <c r="L311" s="93">
        <f t="shared" si="109"/>
        <v>1020</v>
      </c>
      <c r="M311" s="94">
        <f t="shared" si="109"/>
        <v>2997</v>
      </c>
      <c r="N311" s="93">
        <f t="shared" si="109"/>
        <v>596</v>
      </c>
      <c r="O311" s="93">
        <f t="shared" si="109"/>
        <v>775</v>
      </c>
      <c r="P311" s="93">
        <f t="shared" si="109"/>
        <v>2074</v>
      </c>
      <c r="Q311" s="93">
        <f t="shared" si="109"/>
        <v>1127.1257859999969</v>
      </c>
      <c r="R311" s="94">
        <f t="shared" si="109"/>
        <v>4572.1257859999969</v>
      </c>
      <c r="S311" s="93">
        <f t="shared" si="109"/>
        <v>835</v>
      </c>
      <c r="T311" s="93">
        <f t="shared" si="109"/>
        <v>989.86041045509705</v>
      </c>
      <c r="U311" s="93">
        <f t="shared" si="109"/>
        <v>950.30207024016181</v>
      </c>
      <c r="V311" s="93">
        <f t="shared" si="109"/>
        <v>1717.8094542571287</v>
      </c>
      <c r="W311" s="94">
        <f t="shared" si="109"/>
        <v>4492.9719349524021</v>
      </c>
      <c r="X311" s="93">
        <f t="shared" si="109"/>
        <v>1147.6413473631567</v>
      </c>
      <c r="Y311" s="93">
        <f t="shared" si="109"/>
        <v>1180.7587804604782</v>
      </c>
      <c r="Z311" s="93">
        <f t="shared" si="109"/>
        <v>1106.1736503672537</v>
      </c>
      <c r="AA311" s="93">
        <f t="shared" si="109"/>
        <v>1897.8429887854224</v>
      </c>
      <c r="AB311" s="94">
        <f t="shared" si="109"/>
        <v>5332.416766976311</v>
      </c>
      <c r="AC311" s="93">
        <f t="shared" si="109"/>
        <v>1369.3986566715841</v>
      </c>
      <c r="AD311" s="93">
        <f t="shared" si="109"/>
        <v>1387.4794798077735</v>
      </c>
      <c r="AE311" s="93">
        <f t="shared" si="109"/>
        <v>1322.5504232519274</v>
      </c>
      <c r="AF311" s="93">
        <f t="shared" si="109"/>
        <v>2130.8555072061831</v>
      </c>
      <c r="AG311" s="94">
        <f t="shared" si="109"/>
        <v>6210.2840669374764</v>
      </c>
      <c r="AH311" s="93">
        <f t="shared" si="109"/>
        <v>1356.72024901642</v>
      </c>
      <c r="AI311" s="93">
        <f t="shared" si="109"/>
        <v>1354.0491744354301</v>
      </c>
      <c r="AJ311" s="93">
        <f t="shared" si="109"/>
        <v>1291.796236367064</v>
      </c>
      <c r="AK311" s="93">
        <f t="shared" si="109"/>
        <v>2136.3134840930261</v>
      </c>
      <c r="AL311" s="94">
        <f t="shared" si="109"/>
        <v>6138.8791439119295</v>
      </c>
      <c r="AM311" s="93">
        <f t="shared" si="109"/>
        <v>1355.9779981252002</v>
      </c>
      <c r="AN311" s="93">
        <f t="shared" si="109"/>
        <v>1331.1686136042413</v>
      </c>
      <c r="AO311" s="93">
        <f t="shared" si="109"/>
        <v>1271.6883427525397</v>
      </c>
      <c r="AP311" s="93">
        <f t="shared" si="109"/>
        <v>2147.8420717417921</v>
      </c>
      <c r="AQ311" s="94">
        <f t="shared" si="109"/>
        <v>6106.6770262237842</v>
      </c>
    </row>
    <row r="312" spans="2:43" outlineLevel="1" x14ac:dyDescent="0.3">
      <c r="B312" s="720" t="s">
        <v>224</v>
      </c>
      <c r="C312" s="721"/>
      <c r="D312" s="100">
        <v>648</v>
      </c>
      <c r="E312" s="93">
        <f>1301-D312</f>
        <v>653</v>
      </c>
      <c r="F312" s="93">
        <f>1964-E312-D312</f>
        <v>663</v>
      </c>
      <c r="G312" s="93">
        <f>2631-F312-E312-D312</f>
        <v>667</v>
      </c>
      <c r="H312" s="94">
        <f t="shared" ref="H312:H318" si="110">SUM(D312:G312)</f>
        <v>2631</v>
      </c>
      <c r="I312" s="100">
        <v>739</v>
      </c>
      <c r="J312" s="93">
        <f>1479-I312</f>
        <v>740</v>
      </c>
      <c r="K312" s="93">
        <f>2241-J312-I312</f>
        <v>762</v>
      </c>
      <c r="L312" s="93">
        <f>2995-K312-J312-I312</f>
        <v>754</v>
      </c>
      <c r="M312" s="94">
        <f t="shared" ref="M312:M318" si="111">SUM(I312:L312)</f>
        <v>2995</v>
      </c>
      <c r="N312" s="100">
        <v>751</v>
      </c>
      <c r="O312" s="93">
        <f>1507-N312</f>
        <v>756</v>
      </c>
      <c r="P312" s="93">
        <f>2293-O312-N312</f>
        <v>786</v>
      </c>
      <c r="Q312" s="100">
        <f>3095-P312-O312-N312</f>
        <v>802</v>
      </c>
      <c r="R312" s="94">
        <f t="shared" ref="R312:R318" si="112">SUM(N312:Q312)</f>
        <v>3095</v>
      </c>
      <c r="S312" s="100">
        <v>808</v>
      </c>
      <c r="T312" s="100">
        <f>(((S255+T255)/2)*T302)</f>
        <v>743.57794190980576</v>
      </c>
      <c r="U312" s="100">
        <f>(((S255+U255)/2)*U302)</f>
        <v>753.02157618056776</v>
      </c>
      <c r="V312" s="100">
        <f>(((T255+V255)/2)*V302)</f>
        <v>772.39127149366482</v>
      </c>
      <c r="W312" s="94">
        <f t="shared" ref="W312:W318" si="113">SUM(S312:V312)</f>
        <v>3076.9907895840388</v>
      </c>
      <c r="X312" s="100">
        <f>(((V255+X255)/2)*X302)</f>
        <v>801.01841295060035</v>
      </c>
      <c r="Y312" s="100">
        <f>(((X255+Y255)/2)*Y302)</f>
        <v>820.00165148412441</v>
      </c>
      <c r="Z312" s="100">
        <f>(((X255+Z255)/2)*Z302)</f>
        <v>829.88846253359361</v>
      </c>
      <c r="AA312" s="100">
        <f>(((Y255+AA255)/2)*AA302)</f>
        <v>850.00164342296227</v>
      </c>
      <c r="AB312" s="94">
        <f t="shared" ref="AB312:AB318" si="114">SUM(X312:AA312)</f>
        <v>3300.9101703912806</v>
      </c>
      <c r="AC312" s="100">
        <f>(((AA255+AC255)/2)*AC302)</f>
        <v>880.12419082882798</v>
      </c>
      <c r="AD312" s="100">
        <f>(((AC255+AD255)/2)*AD302)</f>
        <v>900.32052048782361</v>
      </c>
      <c r="AE312" s="100">
        <f>(((AC255+AE255)/2)*AE302)</f>
        <v>910.74448980872398</v>
      </c>
      <c r="AF312" s="100">
        <f>(((AD255+AF255)/2)*AF302)</f>
        <v>931.93610238526912</v>
      </c>
      <c r="AG312" s="94">
        <f t="shared" ref="AG312:AG318" si="115">SUM(AC312:AF312)</f>
        <v>3623.1253035106447</v>
      </c>
      <c r="AH312" s="100">
        <f>(((AF255+AH255)/2)*AH302)</f>
        <v>963.73530981789838</v>
      </c>
      <c r="AI312" s="100">
        <f>(((AH255+AI255)/2)*AI302)</f>
        <v>985.01239151026482</v>
      </c>
      <c r="AJ312" s="100">
        <f>(((AH255+AJ255)/2)*AJ302)</f>
        <v>995.9751957691891</v>
      </c>
      <c r="AK312" s="100">
        <f>(((AI255+AK255)/2)*AK302)</f>
        <v>1018.2423932980661</v>
      </c>
      <c r="AL312" s="94">
        <f t="shared" ref="AL312:AL318" si="116">SUM(AH312:AK312)</f>
        <v>3962.9652903954184</v>
      </c>
      <c r="AM312" s="100">
        <f>(((AK255+AM255)/2)*AM302)</f>
        <v>1051.6519641268635</v>
      </c>
      <c r="AN312" s="100">
        <f>(((AM255+AN255)/2)*AN302)</f>
        <v>1073.9498245572713</v>
      </c>
      <c r="AO312" s="100">
        <f>(((AM255+AO255)/2)*AO302)</f>
        <v>1085.4262295188032</v>
      </c>
      <c r="AP312" s="100">
        <f>(((AN255+AP255)/2)*AP302)</f>
        <v>1108.7203713661445</v>
      </c>
      <c r="AQ312" s="94">
        <f t="shared" ref="AQ312:AQ318" si="117">SUM(AM312:AP312)</f>
        <v>4319.7483895690821</v>
      </c>
    </row>
    <row r="313" spans="2:43" outlineLevel="1" x14ac:dyDescent="0.3">
      <c r="B313" s="291" t="s">
        <v>225</v>
      </c>
      <c r="C313" s="292"/>
      <c r="D313" s="100">
        <v>28</v>
      </c>
      <c r="E313" s="93">
        <f>57-D313</f>
        <v>29</v>
      </c>
      <c r="F313" s="93">
        <f>90-E313-D313</f>
        <v>33</v>
      </c>
      <c r="G313" s="93">
        <f>121-F313-E313-D313</f>
        <v>31</v>
      </c>
      <c r="H313" s="94">
        <f t="shared" si="110"/>
        <v>121</v>
      </c>
      <c r="I313" s="100">
        <v>39</v>
      </c>
      <c r="J313" s="93">
        <f>76-I313</f>
        <v>37</v>
      </c>
      <c r="K313" s="93">
        <f>115-J313-I313</f>
        <v>39</v>
      </c>
      <c r="L313" s="93">
        <f>136-K313-J313-I313</f>
        <v>21</v>
      </c>
      <c r="M313" s="94">
        <f t="shared" si="111"/>
        <v>136</v>
      </c>
      <c r="N313" s="100">
        <v>60</v>
      </c>
      <c r="O313" s="93">
        <f>116-N313</f>
        <v>56</v>
      </c>
      <c r="P313" s="93">
        <f>177-O313-N313</f>
        <v>61</v>
      </c>
      <c r="Q313" s="100">
        <f>246-P313-O313-N313</f>
        <v>69</v>
      </c>
      <c r="R313" s="94">
        <f t="shared" si="112"/>
        <v>246</v>
      </c>
      <c r="S313" s="100">
        <v>82</v>
      </c>
      <c r="T313" s="100">
        <f>T356*(S250+S313)</f>
        <v>67.670727360301285</v>
      </c>
      <c r="U313" s="100">
        <f>U356*(T250+T313)</f>
        <v>76.096209811866913</v>
      </c>
      <c r="V313" s="100">
        <f>V356*(U250+U313)</f>
        <v>77.630234387719483</v>
      </c>
      <c r="W313" s="94">
        <f t="shared" si="113"/>
        <v>303.39717155988768</v>
      </c>
      <c r="X313" s="100">
        <f>X356*(V250+V313)</f>
        <v>77.547216027824078</v>
      </c>
      <c r="Y313" s="100">
        <f>Y356*(X250+X313)</f>
        <v>73.092085626604188</v>
      </c>
      <c r="Z313" s="100">
        <f>Z356*(Y250+Y313)</f>
        <v>82.723446766121455</v>
      </c>
      <c r="AA313" s="100">
        <f>AA356*(Z250+Z313)</f>
        <v>80.341497933349004</v>
      </c>
      <c r="AB313" s="94">
        <f t="shared" si="114"/>
        <v>313.70424635389872</v>
      </c>
      <c r="AC313" s="100">
        <f>AC356*(AA250+AA313)</f>
        <v>81.562501931708525</v>
      </c>
      <c r="AD313" s="100">
        <f>AD356*(AC250+AC313)</f>
        <v>77.006016066105886</v>
      </c>
      <c r="AE313" s="100">
        <f>AE356*(AD250+AD313)</f>
        <v>88.260748569013685</v>
      </c>
      <c r="AF313" s="100">
        <f>AF356*(AE250+AE313)</f>
        <v>84.040814990256607</v>
      </c>
      <c r="AG313" s="94">
        <f t="shared" si="115"/>
        <v>330.87008155708469</v>
      </c>
      <c r="AH313" s="100">
        <f>AH356*(AF250+AF313)</f>
        <v>86.846705116413915</v>
      </c>
      <c r="AI313" s="100">
        <f>AI356*(AH250+AH313)</f>
        <v>80.184076306391788</v>
      </c>
      <c r="AJ313" s="100">
        <f>AJ356*(AI250+AI313)</f>
        <v>93.77705998761023</v>
      </c>
      <c r="AK313" s="100">
        <f>AK356*(AJ250+AJ313)</f>
        <v>87.458803408544199</v>
      </c>
      <c r="AL313" s="94">
        <f t="shared" si="116"/>
        <v>348.26664481896017</v>
      </c>
      <c r="AM313" s="100">
        <f>AM356*(AK250+AK313)</f>
        <v>92.06919394857961</v>
      </c>
      <c r="AN313" s="100">
        <f>AN356*(AM250+AM313)</f>
        <v>83.144857066107704</v>
      </c>
      <c r="AO313" s="100">
        <f>AO356*(AN250+AN313)</f>
        <v>99.005076574939054</v>
      </c>
      <c r="AP313" s="100">
        <f>AP356*(AO250+AO313)</f>
        <v>90.714967592419953</v>
      </c>
      <c r="AQ313" s="94">
        <f t="shared" si="117"/>
        <v>364.93409518204629</v>
      </c>
    </row>
    <row r="314" spans="2:43" outlineLevel="1" x14ac:dyDescent="0.3">
      <c r="B314" s="720" t="s">
        <v>226</v>
      </c>
      <c r="C314" s="721"/>
      <c r="D314" s="93">
        <v>53</v>
      </c>
      <c r="E314" s="93">
        <f>86-D314</f>
        <v>33</v>
      </c>
      <c r="F314" s="93">
        <f>115-E314-D314</f>
        <v>29</v>
      </c>
      <c r="G314" s="93">
        <f>144-F314-E314-D314</f>
        <v>29</v>
      </c>
      <c r="H314" s="94">
        <f t="shared" si="110"/>
        <v>144</v>
      </c>
      <c r="I314" s="93">
        <v>57</v>
      </c>
      <c r="J314" s="93">
        <f>93-I314</f>
        <v>36</v>
      </c>
      <c r="K314" s="93">
        <f>123-J314-I314</f>
        <v>30</v>
      </c>
      <c r="L314" s="93">
        <f>154-K314-J314-I314</f>
        <v>31</v>
      </c>
      <c r="M314" s="94">
        <f t="shared" si="111"/>
        <v>154</v>
      </c>
      <c r="N314" s="93">
        <v>62</v>
      </c>
      <c r="O314" s="93">
        <f>103-N314</f>
        <v>41</v>
      </c>
      <c r="P314" s="93">
        <f>135-O314-N314</f>
        <v>32</v>
      </c>
      <c r="Q314" s="93">
        <f>167-P314-O314-N314</f>
        <v>32</v>
      </c>
      <c r="R314" s="94">
        <f t="shared" si="112"/>
        <v>167</v>
      </c>
      <c r="S314" s="100">
        <v>68</v>
      </c>
      <c r="T314" s="93">
        <f>T13*T357</f>
        <v>45.700560015480214</v>
      </c>
      <c r="U314" s="93">
        <f>U13*U357</f>
        <v>46.259392680356015</v>
      </c>
      <c r="V314" s="93">
        <f>V13*V357</f>
        <v>51.372821162419413</v>
      </c>
      <c r="W314" s="94">
        <f t="shared" si="113"/>
        <v>211.33277385825568</v>
      </c>
      <c r="X314" s="93">
        <f>X13*X357</f>
        <v>53.594779380111419</v>
      </c>
      <c r="Y314" s="93">
        <f>Y13*Y357</f>
        <v>50.695177073915083</v>
      </c>
      <c r="Z314" s="93">
        <f>Z13*Z357</f>
        <v>51.979569326638483</v>
      </c>
      <c r="AA314" s="93">
        <f>AA13*AA357</f>
        <v>55.223118387181444</v>
      </c>
      <c r="AB314" s="94">
        <f t="shared" si="114"/>
        <v>211.49264416784644</v>
      </c>
      <c r="AC314" s="93">
        <f>AC13*AC357</f>
        <v>53.516159079892944</v>
      </c>
      <c r="AD314" s="93">
        <f>AD13*AD357</f>
        <v>54.479267343905086</v>
      </c>
      <c r="AE314" s="93">
        <f>AE13*AE357</f>
        <v>55.511395590684302</v>
      </c>
      <c r="AF314" s="93">
        <f>AF13*AF357</f>
        <v>58.258896718136576</v>
      </c>
      <c r="AG314" s="94">
        <f t="shared" si="115"/>
        <v>221.76571873261892</v>
      </c>
      <c r="AH314" s="93">
        <f>AH13*AH357</f>
        <v>55.92130635101568</v>
      </c>
      <c r="AI314" s="93">
        <f>AI13*AI357</f>
        <v>57.559653702617553</v>
      </c>
      <c r="AJ314" s="93">
        <f>AJ13*AJ357</f>
        <v>58.47269003182457</v>
      </c>
      <c r="AK314" s="93">
        <f>AK13*AK357</f>
        <v>61.150353999558348</v>
      </c>
      <c r="AL314" s="94">
        <f t="shared" si="116"/>
        <v>233.10400408501616</v>
      </c>
      <c r="AM314" s="93">
        <f>AM13*AM357</f>
        <v>58.603749968387554</v>
      </c>
      <c r="AN314" s="93">
        <f>AN13*AN357</f>
        <v>60.318045061301945</v>
      </c>
      <c r="AO314" s="93">
        <f>AO13*AO357</f>
        <v>61.215844314308079</v>
      </c>
      <c r="AP314" s="93">
        <f>AP13*AP357</f>
        <v>63.917539597024266</v>
      </c>
      <c r="AQ314" s="94">
        <f t="shared" si="117"/>
        <v>244.05517894102184</v>
      </c>
    </row>
    <row r="315" spans="2:43" outlineLevel="1" x14ac:dyDescent="0.3">
      <c r="B315" s="720" t="s">
        <v>227</v>
      </c>
      <c r="C315" s="721"/>
      <c r="D315" s="93">
        <v>20</v>
      </c>
      <c r="E315" s="93">
        <f>-48-D315</f>
        <v>-68</v>
      </c>
      <c r="F315" s="93">
        <f>288-E315-D315</f>
        <v>336</v>
      </c>
      <c r="G315" s="93">
        <f>31-F315-E315-D315</f>
        <v>-257</v>
      </c>
      <c r="H315" s="94">
        <f t="shared" si="110"/>
        <v>31</v>
      </c>
      <c r="I315" s="93">
        <v>173</v>
      </c>
      <c r="J315" s="93">
        <f>320-I315</f>
        <v>147</v>
      </c>
      <c r="K315" s="93">
        <f>474-J315-I315</f>
        <v>154</v>
      </c>
      <c r="L315" s="93">
        <f>909-K315-J315-I315</f>
        <v>435</v>
      </c>
      <c r="M315" s="94">
        <f t="shared" si="111"/>
        <v>909</v>
      </c>
      <c r="N315" s="93">
        <v>97</v>
      </c>
      <c r="O315" s="93">
        <f>327-N315</f>
        <v>230</v>
      </c>
      <c r="P315" s="93">
        <f>-914-O315-N315</f>
        <v>-1241</v>
      </c>
      <c r="Q315" s="93">
        <f>-231-P315-O315-N315</f>
        <v>683</v>
      </c>
      <c r="R315" s="94">
        <f t="shared" si="112"/>
        <v>-231</v>
      </c>
      <c r="S315" s="100">
        <v>23</v>
      </c>
      <c r="T315" s="93">
        <f>T269-S269</f>
        <v>112.02399999999989</v>
      </c>
      <c r="U315" s="93">
        <f>U269-T269</f>
        <v>116.28091200000017</v>
      </c>
      <c r="V315" s="93">
        <f>V269-U269</f>
        <v>120.69958665600006</v>
      </c>
      <c r="W315" s="94">
        <f t="shared" si="113"/>
        <v>372.00449865600012</v>
      </c>
      <c r="X315" s="93">
        <f>X269-V269</f>
        <v>125.28617094892797</v>
      </c>
      <c r="Y315" s="93">
        <f>Y269-X269</f>
        <v>130.04704544498736</v>
      </c>
      <c r="Z315" s="93">
        <f>Z269-Y269</f>
        <v>134.98883317189711</v>
      </c>
      <c r="AA315" s="93">
        <f>AA269-Z269</f>
        <v>140.11840883242894</v>
      </c>
      <c r="AB315" s="94">
        <f t="shared" si="114"/>
        <v>530.44045839824139</v>
      </c>
      <c r="AC315" s="93">
        <f>AC269-AA269</f>
        <v>145.44290836806113</v>
      </c>
      <c r="AD315" s="93">
        <f>AD269-AC269</f>
        <v>150.96973888604771</v>
      </c>
      <c r="AE315" s="93">
        <f>AE269-AD269</f>
        <v>156.70658896371788</v>
      </c>
      <c r="AF315" s="93">
        <f>AF269-AE269</f>
        <v>162.66143934433876</v>
      </c>
      <c r="AG315" s="94">
        <f t="shared" si="115"/>
        <v>615.78067556216547</v>
      </c>
      <c r="AH315" s="93">
        <f>AH269-AF269</f>
        <v>168.8425740394232</v>
      </c>
      <c r="AI315" s="93">
        <f>AI269-AH269</f>
        <v>175.25859185292211</v>
      </c>
      <c r="AJ315" s="93">
        <f>AJ269-AI269</f>
        <v>181.91841834333263</v>
      </c>
      <c r="AK315" s="93">
        <f>AK269-AJ269</f>
        <v>188.83131824037901</v>
      </c>
      <c r="AL315" s="94">
        <f t="shared" si="116"/>
        <v>714.85090247605694</v>
      </c>
      <c r="AM315" s="93">
        <f>AM269-AK269</f>
        <v>196.00690833351382</v>
      </c>
      <c r="AN315" s="93">
        <f>AN269-AM269</f>
        <v>203.45517085018764</v>
      </c>
      <c r="AO315" s="93">
        <f>AO269-AN269</f>
        <v>211.18646734249432</v>
      </c>
      <c r="AP315" s="93">
        <f>AP269-AO269</f>
        <v>219.21155310150971</v>
      </c>
      <c r="AQ315" s="94">
        <f t="shared" si="117"/>
        <v>829.86009962770549</v>
      </c>
    </row>
    <row r="316" spans="2:43" outlineLevel="1" x14ac:dyDescent="0.3">
      <c r="B316" s="291" t="s">
        <v>160</v>
      </c>
      <c r="C316" s="292"/>
      <c r="D316" s="93">
        <v>0</v>
      </c>
      <c r="E316" s="93">
        <f>0-D316</f>
        <v>0</v>
      </c>
      <c r="F316" s="93">
        <f>0-E316-D316</f>
        <v>0</v>
      </c>
      <c r="G316" s="93">
        <f>0-F316-E316-D316</f>
        <v>0</v>
      </c>
      <c r="H316" s="94">
        <f t="shared" si="110"/>
        <v>0</v>
      </c>
      <c r="I316" s="93"/>
      <c r="J316" s="93">
        <f>0-I316</f>
        <v>0</v>
      </c>
      <c r="K316" s="93">
        <f>0-J316-I316</f>
        <v>0</v>
      </c>
      <c r="L316" s="93">
        <f>0-K316-J316-I316</f>
        <v>0</v>
      </c>
      <c r="M316" s="94">
        <f t="shared" si="111"/>
        <v>0</v>
      </c>
      <c r="N316" s="93">
        <v>0</v>
      </c>
      <c r="O316" s="93">
        <f>0-N316</f>
        <v>0</v>
      </c>
      <c r="P316" s="93">
        <f>0-O316-N316</f>
        <v>0</v>
      </c>
      <c r="Q316" s="93">
        <f>380-P316-O316-N316</f>
        <v>380</v>
      </c>
      <c r="R316" s="94">
        <f t="shared" si="112"/>
        <v>380</v>
      </c>
      <c r="S316" s="100">
        <v>0</v>
      </c>
      <c r="T316" s="93">
        <f t="shared" ref="T316:V317" si="118">+T21</f>
        <v>0</v>
      </c>
      <c r="U316" s="93">
        <f t="shared" si="118"/>
        <v>0</v>
      </c>
      <c r="V316" s="93">
        <f t="shared" si="118"/>
        <v>0</v>
      </c>
      <c r="W316" s="94">
        <f t="shared" si="113"/>
        <v>0</v>
      </c>
      <c r="X316" s="93">
        <f t="shared" ref="X316:AA317" si="119">+X21</f>
        <v>0</v>
      </c>
      <c r="Y316" s="93">
        <f t="shared" si="119"/>
        <v>0</v>
      </c>
      <c r="Z316" s="93">
        <f t="shared" si="119"/>
        <v>0</v>
      </c>
      <c r="AA316" s="93">
        <f t="shared" si="119"/>
        <v>0</v>
      </c>
      <c r="AB316" s="94">
        <f t="shared" si="114"/>
        <v>0</v>
      </c>
      <c r="AC316" s="93">
        <f t="shared" ref="AC316:AF317" si="120">+AC21</f>
        <v>0</v>
      </c>
      <c r="AD316" s="93">
        <f t="shared" si="120"/>
        <v>0</v>
      </c>
      <c r="AE316" s="93">
        <f t="shared" si="120"/>
        <v>0</v>
      </c>
      <c r="AF316" s="93">
        <f t="shared" si="120"/>
        <v>0</v>
      </c>
      <c r="AG316" s="94">
        <f t="shared" si="115"/>
        <v>0</v>
      </c>
      <c r="AH316" s="93">
        <f t="shared" ref="AH316:AK317" si="121">+AH21</f>
        <v>0</v>
      </c>
      <c r="AI316" s="93">
        <f t="shared" si="121"/>
        <v>0</v>
      </c>
      <c r="AJ316" s="93">
        <f t="shared" si="121"/>
        <v>0</v>
      </c>
      <c r="AK316" s="93">
        <f t="shared" si="121"/>
        <v>0</v>
      </c>
      <c r="AL316" s="94">
        <f t="shared" si="116"/>
        <v>0</v>
      </c>
      <c r="AM316" s="93">
        <f t="shared" ref="AM316:AP317" si="122">+AM21</f>
        <v>0</v>
      </c>
      <c r="AN316" s="93">
        <f t="shared" si="122"/>
        <v>0</v>
      </c>
      <c r="AO316" s="93">
        <f t="shared" si="122"/>
        <v>0</v>
      </c>
      <c r="AP316" s="93">
        <f t="shared" si="122"/>
        <v>0</v>
      </c>
      <c r="AQ316" s="94">
        <f t="shared" si="117"/>
        <v>0</v>
      </c>
    </row>
    <row r="317" spans="2:43" outlineLevel="1" x14ac:dyDescent="0.3">
      <c r="B317" s="291" t="s">
        <v>161</v>
      </c>
      <c r="C317" s="292"/>
      <c r="D317" s="93">
        <v>0</v>
      </c>
      <c r="E317" s="93">
        <f>0-D317</f>
        <v>0</v>
      </c>
      <c r="F317" s="93">
        <f>0-E317-D317</f>
        <v>0</v>
      </c>
      <c r="G317" s="93">
        <f>1498-F317-E317-D317</f>
        <v>1498</v>
      </c>
      <c r="H317" s="94">
        <f t="shared" si="110"/>
        <v>1498</v>
      </c>
      <c r="I317" s="93"/>
      <c r="J317" s="93">
        <f>0-I317</f>
        <v>0</v>
      </c>
      <c r="K317" s="93">
        <f>0-J317-I317</f>
        <v>0</v>
      </c>
      <c r="L317" s="93">
        <f>-24-K317-J317-I317</f>
        <v>-24</v>
      </c>
      <c r="M317" s="94">
        <f t="shared" si="111"/>
        <v>-24</v>
      </c>
      <c r="N317" s="93">
        <v>0</v>
      </c>
      <c r="O317" s="93">
        <f>0-N317</f>
        <v>0</v>
      </c>
      <c r="P317" s="93">
        <f>0-O317-N317</f>
        <v>0</v>
      </c>
      <c r="Q317" s="93">
        <f>-10-P317-O317-N317</f>
        <v>-10</v>
      </c>
      <c r="R317" s="94">
        <f t="shared" si="112"/>
        <v>-10</v>
      </c>
      <c r="S317" s="100">
        <v>0</v>
      </c>
      <c r="T317" s="93">
        <f t="shared" si="118"/>
        <v>0</v>
      </c>
      <c r="U317" s="93">
        <f t="shared" si="118"/>
        <v>0</v>
      </c>
      <c r="V317" s="93">
        <f t="shared" si="118"/>
        <v>-227.23050661764719</v>
      </c>
      <c r="W317" s="94">
        <f t="shared" si="113"/>
        <v>-227.23050661764719</v>
      </c>
      <c r="X317" s="93">
        <f t="shared" si="119"/>
        <v>0</v>
      </c>
      <c r="Y317" s="93">
        <f t="shared" si="119"/>
        <v>0</v>
      </c>
      <c r="Z317" s="93">
        <f t="shared" si="119"/>
        <v>0</v>
      </c>
      <c r="AA317" s="100">
        <f t="shared" si="119"/>
        <v>-99.999999999999943</v>
      </c>
      <c r="AB317" s="94">
        <f t="shared" si="114"/>
        <v>-99.999999999999943</v>
      </c>
      <c r="AC317" s="93">
        <f t="shared" si="120"/>
        <v>0</v>
      </c>
      <c r="AD317" s="93">
        <f t="shared" si="120"/>
        <v>0</v>
      </c>
      <c r="AE317" s="93">
        <f t="shared" si="120"/>
        <v>0</v>
      </c>
      <c r="AF317" s="93">
        <f t="shared" si="120"/>
        <v>-55.00000000000005</v>
      </c>
      <c r="AG317" s="94">
        <f t="shared" si="115"/>
        <v>-55.00000000000005</v>
      </c>
      <c r="AH317" s="93">
        <f t="shared" si="121"/>
        <v>0</v>
      </c>
      <c r="AI317" s="93">
        <f t="shared" si="121"/>
        <v>0</v>
      </c>
      <c r="AJ317" s="93">
        <f t="shared" si="121"/>
        <v>0</v>
      </c>
      <c r="AK317" s="93">
        <f t="shared" si="121"/>
        <v>-55.00000000000005</v>
      </c>
      <c r="AL317" s="94">
        <f t="shared" si="116"/>
        <v>-55.00000000000005</v>
      </c>
      <c r="AM317" s="93">
        <f t="shared" si="122"/>
        <v>0</v>
      </c>
      <c r="AN317" s="93">
        <f t="shared" si="122"/>
        <v>0</v>
      </c>
      <c r="AO317" s="93">
        <f t="shared" si="122"/>
        <v>0</v>
      </c>
      <c r="AP317" s="93">
        <f t="shared" si="122"/>
        <v>-55.00000000000005</v>
      </c>
      <c r="AQ317" s="94">
        <f t="shared" si="117"/>
        <v>-55.00000000000005</v>
      </c>
    </row>
    <row r="318" spans="2:43" outlineLevel="1" x14ac:dyDescent="0.3">
      <c r="B318" s="720" t="s">
        <v>228</v>
      </c>
      <c r="C318" s="721"/>
      <c r="D318" s="93">
        <v>0</v>
      </c>
      <c r="E318" s="93">
        <f>0-D318</f>
        <v>0</v>
      </c>
      <c r="F318" s="93">
        <f>0-E318-D318</f>
        <v>0</v>
      </c>
      <c r="G318" s="93">
        <f>0-F318-E318-D318</f>
        <v>0</v>
      </c>
      <c r="H318" s="94">
        <f t="shared" si="110"/>
        <v>0</v>
      </c>
      <c r="I318" s="93"/>
      <c r="J318" s="93">
        <f>-35-I318</f>
        <v>-35</v>
      </c>
      <c r="K318" s="93">
        <f>-35-J318-I318</f>
        <v>0</v>
      </c>
      <c r="L318" s="93">
        <f>-35-K318-J318-I318</f>
        <v>0</v>
      </c>
      <c r="M318" s="94">
        <f t="shared" si="111"/>
        <v>-35</v>
      </c>
      <c r="N318" s="93">
        <v>0</v>
      </c>
      <c r="O318" s="93">
        <f>0-N318</f>
        <v>0</v>
      </c>
      <c r="P318" s="93">
        <f>0-O318-N318</f>
        <v>0</v>
      </c>
      <c r="Q318" s="93">
        <f>-85-P318-O318-N318</f>
        <v>-85</v>
      </c>
      <c r="R318" s="94">
        <f t="shared" si="112"/>
        <v>-85</v>
      </c>
      <c r="S318" s="100">
        <v>0</v>
      </c>
      <c r="T318" s="244">
        <v>0</v>
      </c>
      <c r="U318" s="244">
        <v>0</v>
      </c>
      <c r="V318" s="244">
        <v>0</v>
      </c>
      <c r="W318" s="94">
        <f t="shared" si="113"/>
        <v>0</v>
      </c>
      <c r="X318" s="244">
        <v>0</v>
      </c>
      <c r="Y318" s="244">
        <v>0</v>
      </c>
      <c r="Z318" s="244">
        <v>0</v>
      </c>
      <c r="AA318" s="244">
        <v>0</v>
      </c>
      <c r="AB318" s="94">
        <f t="shared" si="114"/>
        <v>0</v>
      </c>
      <c r="AC318" s="244">
        <v>0</v>
      </c>
      <c r="AD318" s="244">
        <v>0</v>
      </c>
      <c r="AE318" s="244">
        <v>0</v>
      </c>
      <c r="AF318" s="244">
        <v>0</v>
      </c>
      <c r="AG318" s="94">
        <f t="shared" si="115"/>
        <v>0</v>
      </c>
      <c r="AH318" s="244">
        <v>0</v>
      </c>
      <c r="AI318" s="244">
        <v>0</v>
      </c>
      <c r="AJ318" s="244">
        <v>0</v>
      </c>
      <c r="AK318" s="244">
        <v>0</v>
      </c>
      <c r="AL318" s="94">
        <f t="shared" si="116"/>
        <v>0</v>
      </c>
      <c r="AM318" s="244">
        <v>0</v>
      </c>
      <c r="AN318" s="244">
        <v>0</v>
      </c>
      <c r="AO318" s="244">
        <v>0</v>
      </c>
      <c r="AP318" s="244">
        <v>0</v>
      </c>
      <c r="AQ318" s="94">
        <f t="shared" si="117"/>
        <v>0</v>
      </c>
    </row>
    <row r="319" spans="2:43" outlineLevel="1" x14ac:dyDescent="0.3">
      <c r="B319" s="714" t="s">
        <v>229</v>
      </c>
      <c r="C319" s="715"/>
      <c r="D319" s="374"/>
      <c r="E319" s="374"/>
      <c r="F319" s="374"/>
      <c r="G319" s="374"/>
      <c r="H319" s="375"/>
      <c r="I319" s="374"/>
      <c r="J319" s="374"/>
      <c r="K319" s="374"/>
      <c r="L319" s="374"/>
      <c r="M319" s="375"/>
      <c r="N319" s="374"/>
      <c r="O319" s="374"/>
      <c r="P319" s="374"/>
      <c r="Q319" s="374"/>
      <c r="R319" s="375"/>
      <c r="S319" s="376"/>
      <c r="T319" s="376"/>
      <c r="U319" s="376"/>
      <c r="V319" s="376"/>
      <c r="W319" s="375"/>
      <c r="X319" s="376"/>
      <c r="Y319" s="376"/>
      <c r="Z319" s="376"/>
      <c r="AA319" s="376"/>
      <c r="AB319" s="375"/>
      <c r="AC319" s="376"/>
      <c r="AD319" s="376"/>
      <c r="AE319" s="376"/>
      <c r="AF319" s="376"/>
      <c r="AG319" s="375"/>
      <c r="AH319" s="376"/>
      <c r="AI319" s="376"/>
      <c r="AJ319" s="376"/>
      <c r="AK319" s="376"/>
      <c r="AL319" s="375"/>
      <c r="AM319" s="376"/>
      <c r="AN319" s="376"/>
      <c r="AO319" s="376"/>
      <c r="AP319" s="376"/>
      <c r="AQ319" s="375"/>
    </row>
    <row r="320" spans="2:43" outlineLevel="1" x14ac:dyDescent="0.3">
      <c r="B320" s="724" t="s">
        <v>230</v>
      </c>
      <c r="C320" s="725"/>
      <c r="D320" s="377">
        <v>50</v>
      </c>
      <c r="E320" s="377">
        <f>-263-D320</f>
        <v>-313</v>
      </c>
      <c r="F320" s="377">
        <f>-78-E320-D320</f>
        <v>185</v>
      </c>
      <c r="G320" s="377">
        <f>-199-F320-E320-D320</f>
        <v>-121</v>
      </c>
      <c r="H320" s="378">
        <f>SUM(D320:G320)</f>
        <v>-199</v>
      </c>
      <c r="I320" s="377">
        <v>20</v>
      </c>
      <c r="J320" s="377">
        <f>-513-I320</f>
        <v>-533</v>
      </c>
      <c r="K320" s="377">
        <f>-340-J320-I320</f>
        <v>173</v>
      </c>
      <c r="L320" s="377">
        <f>-556-K320-J320-I320</f>
        <v>-216</v>
      </c>
      <c r="M320" s="378">
        <f>SUM(I320:L320)</f>
        <v>-556</v>
      </c>
      <c r="N320" s="377">
        <v>-271</v>
      </c>
      <c r="O320" s="377">
        <f>-983-N320</f>
        <v>-712</v>
      </c>
      <c r="P320" s="377">
        <f>-986-O320-N320</f>
        <v>-3</v>
      </c>
      <c r="Q320" s="377">
        <f>-1049-P320-O320-N320</f>
        <v>-63</v>
      </c>
      <c r="R320" s="378">
        <f>SUM(N320:Q320)</f>
        <v>-1049</v>
      </c>
      <c r="S320" s="377">
        <v>-380</v>
      </c>
      <c r="T320" s="377">
        <f>-(T250-S250)-T313</f>
        <v>-787.30577302940105</v>
      </c>
      <c r="U320" s="377">
        <f>-(U250-T250)-U313</f>
        <v>40.402684624479832</v>
      </c>
      <c r="V320" s="377">
        <f>-(V250-U250)-V313</f>
        <v>-0.89074461908408864</v>
      </c>
      <c r="W320" s="378">
        <f>SUM(S320:V320)</f>
        <v>-1127.7938330240052</v>
      </c>
      <c r="X320" s="377">
        <f>-(X250-V250)-X313</f>
        <v>185.74400626705213</v>
      </c>
      <c r="Y320" s="377">
        <f>-(Y250-X250)-Y313</f>
        <v>-1152.0223217738805</v>
      </c>
      <c r="Z320" s="377">
        <f>-(Z250-Y250)-Z313</f>
        <v>265.97478393417668</v>
      </c>
      <c r="AA320" s="377">
        <f>-(AA250-Z250)-AA313</f>
        <v>-249.12944029840463</v>
      </c>
      <c r="AB320" s="378">
        <f>SUM(X320:AA320)</f>
        <v>-949.43297187105645</v>
      </c>
      <c r="AC320" s="377">
        <f>-(AC250-AA250)-AC313</f>
        <v>438.46503909524836</v>
      </c>
      <c r="AD320" s="377">
        <f>-(AD250-AC250)-AD313</f>
        <v>-1432.380502311099</v>
      </c>
      <c r="AE320" s="377">
        <f>-(AE250-AD250)-AE313</f>
        <v>443.37564942165727</v>
      </c>
      <c r="AF320" s="377">
        <f>-(AF250-AE250)-AF313</f>
        <v>-438.19113222443292</v>
      </c>
      <c r="AG320" s="378">
        <f>SUM(AC320:AF320)</f>
        <v>-988.73094601862635</v>
      </c>
      <c r="AH320" s="377">
        <f>-(AH250-AF250)-AH313</f>
        <v>726.90904335212463</v>
      </c>
      <c r="AI320" s="377">
        <f>-(AI250-AH250)-AI313</f>
        <v>-1743.8239124380414</v>
      </c>
      <c r="AJ320" s="377">
        <f>-(AJ250-AI250)-AJ313</f>
        <v>692.07197780140552</v>
      </c>
      <c r="AK320" s="377">
        <f>-(AK250-AJ250)-AK313</f>
        <v>-659.08366562350204</v>
      </c>
      <c r="AL320" s="378">
        <f>SUM(AH320:AK320)</f>
        <v>-983.92655690801325</v>
      </c>
      <c r="AM320" s="377">
        <f>-(AM250-AK250)-AM313</f>
        <v>1003.7938241490165</v>
      </c>
      <c r="AN320" s="377">
        <f>-(AN250-AM250)-AN313</f>
        <v>-2030.609789097768</v>
      </c>
      <c r="AO320" s="377">
        <f>-(AO250-AN250)-AO313</f>
        <v>930.3191377357191</v>
      </c>
      <c r="AP320" s="377">
        <f>-(AP250-AO250)-AP313</f>
        <v>-865.78753759245296</v>
      </c>
      <c r="AQ320" s="378">
        <f>SUM(AM320:AP320)</f>
        <v>-962.28436480548544</v>
      </c>
    </row>
    <row r="321" spans="2:43" outlineLevel="1" x14ac:dyDescent="0.3">
      <c r="B321" s="724" t="s">
        <v>9</v>
      </c>
      <c r="C321" s="725"/>
      <c r="D321" s="377">
        <v>-89</v>
      </c>
      <c r="E321" s="377">
        <f>-113-D321</f>
        <v>-24</v>
      </c>
      <c r="F321" s="377">
        <f>-322-E321-D321</f>
        <v>-209</v>
      </c>
      <c r="G321" s="377">
        <f>-234-F321-E321-D321</f>
        <v>88</v>
      </c>
      <c r="H321" s="378">
        <f>SUM(D321:G321)</f>
        <v>-234</v>
      </c>
      <c r="I321" s="377">
        <v>-4</v>
      </c>
      <c r="J321" s="377">
        <f>-250-I321</f>
        <v>-246</v>
      </c>
      <c r="K321" s="377">
        <f>-235-J321-I321</f>
        <v>15</v>
      </c>
      <c r="L321" s="377">
        <f>78-K321-J321-I321</f>
        <v>313</v>
      </c>
      <c r="M321" s="378">
        <f>SUM(I321:L321)</f>
        <v>78</v>
      </c>
      <c r="N321" s="377">
        <v>-142</v>
      </c>
      <c r="O321" s="377">
        <f>-338-N321</f>
        <v>-196</v>
      </c>
      <c r="P321" s="377">
        <f>-151-O321-N321</f>
        <v>187</v>
      </c>
      <c r="Q321" s="377">
        <f>-135-P321-O321-N321</f>
        <v>16</v>
      </c>
      <c r="R321" s="378">
        <f>SUM(N321:Q321)</f>
        <v>-135</v>
      </c>
      <c r="S321" s="377">
        <v>-120</v>
      </c>
      <c r="T321" s="377">
        <f>-(T252-S252)-(T253-S253)-(T251-S251)</f>
        <v>-146.61328511211821</v>
      </c>
      <c r="U321" s="377">
        <f>-(U252-T252)-(U253-T253)-(U251-T251)</f>
        <v>-63.605666327508175</v>
      </c>
      <c r="V321" s="377">
        <f>-(V252-U252)-(V253-U253)-(V251-U251)</f>
        <v>84.296351460510891</v>
      </c>
      <c r="W321" s="378">
        <f>SUM(S321:V321)</f>
        <v>-245.92259997911549</v>
      </c>
      <c r="X321" s="377">
        <f>-(X252-V252)-(X253-V253)-(X251-V251)</f>
        <v>-29.198978889297791</v>
      </c>
      <c r="Y321" s="377">
        <f>-(Y252-X252)-(Y253-X253)-(Y251-X251)</f>
        <v>-39.536134907027304</v>
      </c>
      <c r="Z321" s="377">
        <f>-(Z252-Y252)-(Z253-Y253)-(Z251-Y251)</f>
        <v>-12.255202669278788</v>
      </c>
      <c r="AA321" s="377">
        <f>-(AA252-Z252)-(AA253-Z253)-(AA251-Z251)</f>
        <v>-3.8148522173855781E-2</v>
      </c>
      <c r="AB321" s="378">
        <f>SUM(X321:AA321)</f>
        <v>-81.028464987777738</v>
      </c>
      <c r="AC321" s="377">
        <f>-(AC252-AA252)-(AC253-AA253)-(AC251-AA251)</f>
        <v>-20.436573579037145</v>
      </c>
      <c r="AD321" s="377">
        <f>-(AD252-AC252)-(AD253-AC253)-(AD251-AC251)</f>
        <v>-18.560468284559647</v>
      </c>
      <c r="AE321" s="377">
        <f>-(AE252-AD252)-(AE253-AD253)-(AE251-AD251)</f>
        <v>-13.255805167465951</v>
      </c>
      <c r="AF321" s="377">
        <f>-(AF252-AE252)-(AF253-AE253)-(AF251-AE251)</f>
        <v>-14.046630615327786</v>
      </c>
      <c r="AG321" s="378">
        <f>SUM(AC321:AF321)</f>
        <v>-66.299477646390528</v>
      </c>
      <c r="AH321" s="377">
        <f>-(AH252-AF252)-(AH253-AF253)-(AH251-AF251)</f>
        <v>-16.711334916295755</v>
      </c>
      <c r="AI321" s="377">
        <f>-(AI252-AH252)-(AI253-AH253)-(AI251-AH251)</f>
        <v>-16.063407003798261</v>
      </c>
      <c r="AJ321" s="377">
        <f>-(AJ252-AI252)-(AJ253-AI253)-(AJ251-AI251)</f>
        <v>-15.466275311856748</v>
      </c>
      <c r="AK321" s="377">
        <f>-(AK252-AJ252)-(AK253-AJ253)-(AK251-AJ251)</f>
        <v>-16.555255852650816</v>
      </c>
      <c r="AL321" s="378">
        <f>SUM(AH321:AK321)</f>
        <v>-64.79627308460158</v>
      </c>
      <c r="AM321" s="377">
        <f>-(AM252-AK252)-(AM253-AK253)-(AM251-AK251)</f>
        <v>-16.289976261816491</v>
      </c>
      <c r="AN321" s="377">
        <f>-(AN252-AM252)-(AN253-AM253)-(AN251-AM251)</f>
        <v>-16.468647596441201</v>
      </c>
      <c r="AO321" s="377">
        <f>-(AO252-AN252)-(AO253-AN253)-(AO251-AN251)</f>
        <v>-16.625504140878661</v>
      </c>
      <c r="AP321" s="377">
        <f>-(AP252-AO252)-(AP253-AO253)-(AP251-AO251)</f>
        <v>-17.467422028809438</v>
      </c>
      <c r="AQ321" s="378">
        <f>SUM(AM321:AP321)</f>
        <v>-66.851550027945791</v>
      </c>
    </row>
    <row r="322" spans="2:43" outlineLevel="1" x14ac:dyDescent="0.3">
      <c r="B322" s="178" t="s">
        <v>231</v>
      </c>
      <c r="C322" s="128"/>
      <c r="D322" s="377">
        <v>0</v>
      </c>
      <c r="E322" s="377">
        <f>0-D322</f>
        <v>0</v>
      </c>
      <c r="F322" s="377">
        <f>0-E322-D322</f>
        <v>0</v>
      </c>
      <c r="G322" s="377">
        <f>-346-F322-E322-D322</f>
        <v>-346</v>
      </c>
      <c r="H322" s="378">
        <f>SUM(D322:G322)</f>
        <v>-346</v>
      </c>
      <c r="I322" s="377">
        <v>0</v>
      </c>
      <c r="J322" s="377">
        <f>0-I322</f>
        <v>0</v>
      </c>
      <c r="K322" s="377">
        <f>0-J322-I322</f>
        <v>0</v>
      </c>
      <c r="L322" s="377">
        <f>-1688-K322-J322-I322</f>
        <v>-1688</v>
      </c>
      <c r="M322" s="378">
        <f>SUM(I322:L322)</f>
        <v>-1688</v>
      </c>
      <c r="N322" s="377">
        <v>0</v>
      </c>
      <c r="O322" s="377">
        <f>0-N322</f>
        <v>0</v>
      </c>
      <c r="P322" s="377">
        <f>0-O322-N322</f>
        <v>0</v>
      </c>
      <c r="Q322" s="377">
        <f>-2345-P322-O322-N322</f>
        <v>-2345</v>
      </c>
      <c r="R322" s="378">
        <f>SUM(N322:Q322)</f>
        <v>-2345</v>
      </c>
      <c r="S322" s="377">
        <v>0</v>
      </c>
      <c r="T322" s="377">
        <f>+U191-P191</f>
        <v>0</v>
      </c>
      <c r="U322" s="377">
        <f>+V191-Q191</f>
        <v>0</v>
      </c>
      <c r="V322" s="377">
        <f>+W191-R191</f>
        <v>383.62000000000262</v>
      </c>
      <c r="W322" s="378">
        <f>SUM(S322:V322)</f>
        <v>383.62000000000262</v>
      </c>
      <c r="X322" s="377">
        <f>+Y191-T191</f>
        <v>0</v>
      </c>
      <c r="Y322" s="377">
        <f>+Z191-U191</f>
        <v>0</v>
      </c>
      <c r="Z322" s="377">
        <f>+AA191-V191</f>
        <v>0</v>
      </c>
      <c r="AA322" s="377">
        <f>+AB191-W191</f>
        <v>-154.48470000000088</v>
      </c>
      <c r="AB322" s="378">
        <f>SUM(X322:AA322)</f>
        <v>-154.48470000000088</v>
      </c>
      <c r="AC322" s="377">
        <f>+AD191-Y191</f>
        <v>0</v>
      </c>
      <c r="AD322" s="377">
        <f>+AE191-Z191</f>
        <v>0</v>
      </c>
      <c r="AE322" s="377">
        <f>+AF191-AA191</f>
        <v>0</v>
      </c>
      <c r="AF322" s="377">
        <f>+AG191-AB191</f>
        <v>52.279471000001649</v>
      </c>
      <c r="AG322" s="378">
        <f>SUM(AC322:AF322)</f>
        <v>52.279471000001649</v>
      </c>
      <c r="AH322" s="377">
        <f>+AI191-AD191</f>
        <v>0</v>
      </c>
      <c r="AI322" s="377">
        <f>+AJ191-AE191</f>
        <v>0</v>
      </c>
      <c r="AJ322" s="377">
        <f>+AK191-AF191</f>
        <v>0</v>
      </c>
      <c r="AK322" s="377">
        <f>+AL191-AG191</f>
        <v>46.93903397000031</v>
      </c>
      <c r="AL322" s="378">
        <f>SUM(AH322:AK322)</f>
        <v>46.93903397000031</v>
      </c>
      <c r="AM322" s="377">
        <f>+AN191-AI191</f>
        <v>0</v>
      </c>
      <c r="AN322" s="377">
        <f>+AO191-AJ191</f>
        <v>0</v>
      </c>
      <c r="AO322" s="377">
        <f>+AP191-AK191</f>
        <v>0</v>
      </c>
      <c r="AP322" s="377">
        <f>+AQ191-AL191</f>
        <v>48.224766347902914</v>
      </c>
      <c r="AQ322" s="378">
        <f>SUM(AM322:AP322)</f>
        <v>48.224766347902914</v>
      </c>
    </row>
    <row r="323" spans="2:43" outlineLevel="1" x14ac:dyDescent="0.3">
      <c r="B323" s="724" t="s">
        <v>232</v>
      </c>
      <c r="C323" s="725"/>
      <c r="D323" s="377">
        <v>-151</v>
      </c>
      <c r="E323" s="377">
        <f>66-D323</f>
        <v>217</v>
      </c>
      <c r="F323" s="377">
        <f>-146-E323-D323</f>
        <v>-212</v>
      </c>
      <c r="G323" s="377">
        <f>467-F323-E323-D323</f>
        <v>613</v>
      </c>
      <c r="H323" s="378">
        <f>SUM(D323:G323)</f>
        <v>467</v>
      </c>
      <c r="I323" s="377">
        <v>-753</v>
      </c>
      <c r="J323" s="377">
        <f>67-I323</f>
        <v>820</v>
      </c>
      <c r="K323" s="377">
        <f>-1642-J323-I323</f>
        <v>-1709</v>
      </c>
      <c r="L323" s="377">
        <f>103-K323-J323-I323</f>
        <v>1745</v>
      </c>
      <c r="M323" s="378">
        <f>SUM(I323:L323)</f>
        <v>103</v>
      </c>
      <c r="N323" s="377">
        <v>-540</v>
      </c>
      <c r="O323" s="377">
        <f>-564-N323</f>
        <v>-24</v>
      </c>
      <c r="P323" s="377">
        <f>-2781-O323-N323</f>
        <v>-2217</v>
      </c>
      <c r="Q323" s="377">
        <f>141-P323-O323-N323</f>
        <v>2922</v>
      </c>
      <c r="R323" s="378">
        <f>SUM(N323:Q323)</f>
        <v>141</v>
      </c>
      <c r="S323" s="377">
        <v>-584</v>
      </c>
      <c r="T323" s="377">
        <f>T265-S265</f>
        <v>445.98067741531304</v>
      </c>
      <c r="U323" s="377">
        <f>U265-T265</f>
        <v>-334.64757805176941</v>
      </c>
      <c r="V323" s="377">
        <f>V265-U265</f>
        <v>169.13863101186598</v>
      </c>
      <c r="W323" s="378">
        <f>SUM(S323:V323)</f>
        <v>-303.52826962459039</v>
      </c>
      <c r="X323" s="377">
        <f>X265-V265</f>
        <v>-385.42112868616186</v>
      </c>
      <c r="Y323" s="377">
        <f>Y265-X265</f>
        <v>906.48011085123017</v>
      </c>
      <c r="Z323" s="377">
        <f>Z265-Y265</f>
        <v>-759.37537987348696</v>
      </c>
      <c r="AA323" s="377">
        <f>AA265-Z265</f>
        <v>588.13952189932661</v>
      </c>
      <c r="AB323" s="378">
        <f>SUM(X323:AA323)</f>
        <v>349.82312419090795</v>
      </c>
      <c r="AC323" s="377">
        <f>AC265-AA265</f>
        <v>-840.1080883772338</v>
      </c>
      <c r="AD323" s="377">
        <f>AD265-AC265</f>
        <v>1383.9105138469249</v>
      </c>
      <c r="AE323" s="377">
        <f>AE265-AD265</f>
        <v>-1215.6347603858203</v>
      </c>
      <c r="AF323" s="377">
        <f>AF265-AE265</f>
        <v>1034.2454427483481</v>
      </c>
      <c r="AG323" s="378">
        <f>SUM(AC323:AF323)</f>
        <v>362.41310783221888</v>
      </c>
      <c r="AH323" s="377">
        <f>AH265-AF265</f>
        <v>-1204.2674676353363</v>
      </c>
      <c r="AI323" s="377">
        <f>AI265-AH265</f>
        <v>1778.0952101934354</v>
      </c>
      <c r="AJ323" s="377">
        <f>AJ265-AI265</f>
        <v>-1600.2344870265106</v>
      </c>
      <c r="AK323" s="377">
        <f>AK265-AJ265</f>
        <v>1399.0434421485807</v>
      </c>
      <c r="AL323" s="378">
        <f>SUM(AH323:AK323)</f>
        <v>372.63669768016916</v>
      </c>
      <c r="AM323" s="377">
        <f>AM265-AK265</f>
        <v>-1597.6861420957021</v>
      </c>
      <c r="AN323" s="377">
        <f>AN265-AM265</f>
        <v>2196.7830217551864</v>
      </c>
      <c r="AO323" s="377">
        <f>AO265-AN265</f>
        <v>-2014.2856047498017</v>
      </c>
      <c r="AP323" s="377">
        <f>AP265-AO265</f>
        <v>1793.02544176632</v>
      </c>
      <c r="AQ323" s="378">
        <f>SUM(AM323:AP323)</f>
        <v>377.83671667600265</v>
      </c>
    </row>
    <row r="324" spans="2:43" ht="16.2" outlineLevel="1" x14ac:dyDescent="0.45">
      <c r="B324" s="724" t="s">
        <v>233</v>
      </c>
      <c r="C324" s="725"/>
      <c r="D324" s="379">
        <v>-10</v>
      </c>
      <c r="E324" s="379">
        <f>-15-D324</f>
        <v>-5</v>
      </c>
      <c r="F324" s="379">
        <f>-5-E324-D324</f>
        <v>10</v>
      </c>
      <c r="G324" s="379">
        <f>-225-F324-E324-D324</f>
        <v>-220</v>
      </c>
      <c r="H324" s="380">
        <f>SUM(D324:G324)</f>
        <v>-225</v>
      </c>
      <c r="I324" s="379">
        <v>-15</v>
      </c>
      <c r="J324" s="379">
        <f>-17-I324</f>
        <v>-2</v>
      </c>
      <c r="K324" s="379">
        <f>-33-J324-I324</f>
        <v>-16</v>
      </c>
      <c r="L324" s="379">
        <f>-139-K324-J324-I324</f>
        <v>-106</v>
      </c>
      <c r="M324" s="380">
        <f>SUM(I324:L324)</f>
        <v>-139</v>
      </c>
      <c r="N324" s="379">
        <v>-23</v>
      </c>
      <c r="O324" s="379">
        <f>-41-N324</f>
        <v>-18</v>
      </c>
      <c r="P324" s="379">
        <f>-56-O324-N324</f>
        <v>-15</v>
      </c>
      <c r="Q324" s="379">
        <f>-72-P324-O324-N324</f>
        <v>-16</v>
      </c>
      <c r="R324" s="380">
        <f>SUM(N324:Q324)</f>
        <v>-72</v>
      </c>
      <c r="S324" s="379">
        <v>-31</v>
      </c>
      <c r="T324" s="379">
        <f>(T266-S266)+(T274-S274)+(T271-S271)+(T272-S272)+(T273-S273)-(T259-S259)+(T264-S264)+(T270-S270)+T196</f>
        <v>305.12535234785145</v>
      </c>
      <c r="U324" s="379">
        <f>(U266-T266)+(U274-T274)+(U271-T271)+(U272-T272)+(U273-T273)-(U259-T259)+(U264-T264)+(U270-T270)+U196</f>
        <v>-243.10152386379377</v>
      </c>
      <c r="V324" s="379">
        <f>(V266-U266)+(V274-U274)+(V271-U271)+(V272-U272)+(V273-U273)-(V259-U259)+(V264-U264)+(V270-U270)+V196-V208-(W191-R191)</f>
        <v>21.460391885958416</v>
      </c>
      <c r="W324" s="380">
        <f>SUM(S324:V324)</f>
        <v>52.484220370016089</v>
      </c>
      <c r="X324" s="379">
        <f>(X266-V266)+(X274-V274)+(X271-V271)+(X272-V272)+(X273-V273)-(X259-V259)+(X264-V264)+(X270-V270)+X196</f>
        <v>-22.994611823920025</v>
      </c>
      <c r="Y324" s="379">
        <f>(Y266-X266)+(Y274-X274)+(Y271-X271)+(Y272-X272)+(Y273-X273)-(Y259-X259)+(Y264-X264)+(Y270-X270)+Y196</f>
        <v>-12.61942470198403</v>
      </c>
      <c r="Z324" s="379">
        <f>(Z266-Y266)+(Z274-Y274)+(Z271-Y271)+(Z272-Y272)+(Z273-Y273)-(Z259-Y259)+(Z264-Y264)+(Z270-Y270)+Z196</f>
        <v>180.73194878962536</v>
      </c>
      <c r="AA324" s="379">
        <f>(AA266-Z266)+(AA274-Z274)+(AA271-Z271)+(AA272-Z272)+(AA273-Z273)-(AA259-Z259)+(AA264-Z264)+(AA270-Z270)+AA196-AA208-(AB191-W191)</f>
        <v>274.58040503334678</v>
      </c>
      <c r="AB324" s="380">
        <f>SUM(X324:AA324)</f>
        <v>419.69831729706812</v>
      </c>
      <c r="AC324" s="379">
        <f>(AC266-AA266)+(AC274-AA274)+(AC271-AA271)+(AC272-AA272)+(AC273-AA273)-(AC259-AA259)+(AC264-AA264)+(AC270-AA270)+AC196</f>
        <v>36.060570658851248</v>
      </c>
      <c r="AD324" s="379">
        <f>(AD266-AC266)+(AD274-AC274)+(AD271-AC271)+(AD272-AC272)+(AD273-AC273)-(AD259-AC259)+(AD264-AC264)+(AD270-AC270)+AD196</f>
        <v>-150.90453555174423</v>
      </c>
      <c r="AE324" s="379">
        <f>(AE266-AD266)+(AE274-AD274)+(AE271-AD271)+(AE272-AD272)+(AE273-AD273)-(AE259-AD259)+(AE264-AD264)+(AE270-AD270)+AE196</f>
        <v>250.76846603258821</v>
      </c>
      <c r="AF324" s="379">
        <f>(AF266-AE266)+(AF274-AE274)+(AF271-AE271)+(AF272-AE272)+(AF273-AE273)-(AF259-AE259)+(AF264-AE264)+(AF270-AE270)+AF196-AF208-(AG191-AB191)</f>
        <v>-120.72177705146802</v>
      </c>
      <c r="AG324" s="380">
        <f>SUM(AC324:AF324)</f>
        <v>15.2027240882272</v>
      </c>
      <c r="AH324" s="379">
        <f>(AH266-AF266)+(AH274-AF274)+(AH271-AF271)+(AH272-AF272)+(AH273-AF273)-(AH259-AF259)+(AH264-AF264)+(AH270-AF270)+AH196</f>
        <v>141.63803832808128</v>
      </c>
      <c r="AI324" s="379">
        <f>(AI266-AH266)+(AI274-AH274)+(AI271-AH271)+(AI272-AH272)+(AI273-AH273)-(AI259-AH259)+(AI264-AH264)+(AI270-AH270)+AI196</f>
        <v>-243.5242306880757</v>
      </c>
      <c r="AJ324" s="379">
        <f>(AJ266-AI266)+(AJ274-AI274)+(AJ271-AI271)+(AJ272-AI272)+(AJ273-AI273)-(AJ259-AI259)+(AJ264-AI264)+(AJ270-AI270)+AJ196</f>
        <v>360.93006793504162</v>
      </c>
      <c r="AK324" s="379">
        <f>(AK266-AJ266)+(AK274-AJ274)+(AK271-AJ271)+(AK272-AJ272)+(AK273-AJ273)-(AK259-AJ259)+(AK264-AJ264)+(AK270-AJ270)+AK196-AK208-(AL191-AG191)</f>
        <v>-213.70403474826253</v>
      </c>
      <c r="AL324" s="380">
        <f>SUM(AH324:AK324)</f>
        <v>45.339840826784666</v>
      </c>
      <c r="AM324" s="379">
        <f>(AM266-AK266)+(AM274-AK274)+(AM271-AK271)+(AM272-AK272)+(AM273-AK273)-(AM259-AK259)+(AM264-AK264)+(AM270-AK270)+AM196</f>
        <v>239.99903609766301</v>
      </c>
      <c r="AN324" s="379">
        <f>(AN266-AM266)+(AN274-AM274)+(AN271-AM271)+(AN272-AM272)+(AN273-AM273)-(AN259-AM259)+(AN264-AM264)+(AN270-AM270)+AN196</f>
        <v>-351.17083903346952</v>
      </c>
      <c r="AO324" s="379">
        <f>(AO266-AN266)+(AO274-AN274)+(AO271-AN271)+(AO272-AN272)+(AO273-AN273)-(AO259-AN259)+(AO264-AN264)+(AO270-AN270)+AO196</f>
        <v>466.91342916554009</v>
      </c>
      <c r="AP324" s="379">
        <f>(AP266-AO266)+(AP274-AO274)+(AP271-AO271)+(AP272-AO272)+(AP273-AO273)-(AP259-AO259)+(AP264-AO264)+(AP270-AO270)+AP196-AP208-(AQ191-AL191)</f>
        <v>-326.94082073275507</v>
      </c>
      <c r="AQ324" s="380">
        <f>SUM(AM324:AP324)</f>
        <v>28.800805496978512</v>
      </c>
    </row>
    <row r="325" spans="2:43" outlineLevel="1" x14ac:dyDescent="0.3">
      <c r="B325" s="722" t="s">
        <v>15</v>
      </c>
      <c r="C325" s="723"/>
      <c r="D325" s="363">
        <f t="shared" ref="D325:AQ325" si="123">D311+SUM(D312:D324)</f>
        <v>1241</v>
      </c>
      <c r="E325" s="363">
        <f t="shared" si="123"/>
        <v>1213</v>
      </c>
      <c r="F325" s="363">
        <f t="shared" si="123"/>
        <v>1342</v>
      </c>
      <c r="G325" s="363">
        <f t="shared" si="123"/>
        <v>1912</v>
      </c>
      <c r="H325" s="364">
        <f t="shared" si="123"/>
        <v>5708</v>
      </c>
      <c r="I325" s="363">
        <f t="shared" si="123"/>
        <v>971</v>
      </c>
      <c r="J325" s="363">
        <f t="shared" si="123"/>
        <v>1664</v>
      </c>
      <c r="K325" s="363">
        <f t="shared" si="123"/>
        <v>10</v>
      </c>
      <c r="L325" s="363">
        <f t="shared" si="123"/>
        <v>2285</v>
      </c>
      <c r="M325" s="364">
        <f t="shared" si="123"/>
        <v>4930</v>
      </c>
      <c r="N325" s="363">
        <f t="shared" si="123"/>
        <v>590</v>
      </c>
      <c r="O325" s="363">
        <f t="shared" si="123"/>
        <v>908</v>
      </c>
      <c r="P325" s="363">
        <f t="shared" si="123"/>
        <v>-336</v>
      </c>
      <c r="Q325" s="363">
        <f t="shared" si="123"/>
        <v>3512.1257859999969</v>
      </c>
      <c r="R325" s="364">
        <f t="shared" si="123"/>
        <v>4674.1257859999969</v>
      </c>
      <c r="S325" s="363">
        <f t="shared" si="123"/>
        <v>701</v>
      </c>
      <c r="T325" s="363">
        <f t="shared" si="123"/>
        <v>1776.0206113623294</v>
      </c>
      <c r="U325" s="363">
        <f t="shared" si="123"/>
        <v>1341.0080772943611</v>
      </c>
      <c r="V325" s="363">
        <f t="shared" si="123"/>
        <v>3170.2974910785388</v>
      </c>
      <c r="W325" s="364">
        <f t="shared" si="123"/>
        <v>6988.3261797352443</v>
      </c>
      <c r="X325" s="363">
        <f t="shared" si="123"/>
        <v>1953.2172135382928</v>
      </c>
      <c r="Y325" s="363">
        <f t="shared" si="123"/>
        <v>1956.8969695584474</v>
      </c>
      <c r="Z325" s="363">
        <f t="shared" si="123"/>
        <v>1880.8301123465408</v>
      </c>
      <c r="AA325" s="363">
        <f t="shared" si="123"/>
        <v>3382.5952954734385</v>
      </c>
      <c r="AB325" s="364">
        <f t="shared" si="123"/>
        <v>9173.53959091672</v>
      </c>
      <c r="AC325" s="363">
        <f t="shared" si="123"/>
        <v>2144.0253646779038</v>
      </c>
      <c r="AD325" s="363">
        <f t="shared" si="123"/>
        <v>2352.3200302911778</v>
      </c>
      <c r="AE325" s="363">
        <f t="shared" si="123"/>
        <v>1999.0271960850264</v>
      </c>
      <c r="AF325" s="363">
        <f t="shared" si="123"/>
        <v>3826.3181345013054</v>
      </c>
      <c r="AG325" s="364">
        <f t="shared" si="123"/>
        <v>10321.69072555542</v>
      </c>
      <c r="AH325" s="363">
        <f t="shared" si="123"/>
        <v>2279.6344234697449</v>
      </c>
      <c r="AI325" s="363">
        <f t="shared" si="123"/>
        <v>2426.7475478711467</v>
      </c>
      <c r="AJ325" s="363">
        <f t="shared" si="123"/>
        <v>2059.2408838971005</v>
      </c>
      <c r="AK325" s="363">
        <f t="shared" si="123"/>
        <v>3993.6358729337394</v>
      </c>
      <c r="AL325" s="364">
        <f t="shared" si="123"/>
        <v>10759.258728171721</v>
      </c>
      <c r="AM325" s="363">
        <f t="shared" si="123"/>
        <v>2384.1265563917059</v>
      </c>
      <c r="AN325" s="363">
        <f t="shared" si="123"/>
        <v>2550.5702571666179</v>
      </c>
      <c r="AO325" s="363">
        <f t="shared" si="123"/>
        <v>2094.843418513663</v>
      </c>
      <c r="AP325" s="363">
        <f t="shared" si="123"/>
        <v>4206.4609311590957</v>
      </c>
      <c r="AQ325" s="364">
        <f t="shared" si="123"/>
        <v>11236.001163231093</v>
      </c>
    </row>
    <row r="326" spans="2:43" outlineLevel="1" x14ac:dyDescent="0.3">
      <c r="B326" s="707" t="s">
        <v>16</v>
      </c>
      <c r="C326" s="708"/>
      <c r="D326" s="372"/>
      <c r="E326" s="372"/>
      <c r="F326" s="372"/>
      <c r="G326" s="372"/>
      <c r="H326" s="400"/>
      <c r="I326" s="372"/>
      <c r="J326" s="372"/>
      <c r="K326" s="372"/>
      <c r="L326" s="372"/>
      <c r="M326" s="400"/>
      <c r="N326" s="372"/>
      <c r="O326" s="372"/>
      <c r="P326" s="372"/>
      <c r="Q326" s="372"/>
      <c r="R326" s="400"/>
      <c r="S326" s="401"/>
      <c r="T326" s="401"/>
      <c r="U326" s="401"/>
      <c r="V326" s="401"/>
      <c r="W326" s="400"/>
      <c r="X326" s="401"/>
      <c r="Y326" s="401"/>
      <c r="Z326" s="401"/>
      <c r="AA326" s="401"/>
      <c r="AB326" s="400"/>
      <c r="AC326" s="401"/>
      <c r="AD326" s="401"/>
      <c r="AE326" s="401"/>
      <c r="AF326" s="401"/>
      <c r="AG326" s="400"/>
      <c r="AH326" s="401"/>
      <c r="AI326" s="401"/>
      <c r="AJ326" s="401"/>
      <c r="AK326" s="401"/>
      <c r="AL326" s="400"/>
      <c r="AM326" s="401"/>
      <c r="AN326" s="401"/>
      <c r="AO326" s="401"/>
      <c r="AP326" s="401"/>
      <c r="AQ326" s="400"/>
    </row>
    <row r="327" spans="2:43" outlineLevel="1" x14ac:dyDescent="0.3">
      <c r="B327" s="703" t="s">
        <v>234</v>
      </c>
      <c r="C327" s="704"/>
      <c r="D327" s="100">
        <v>-1209</v>
      </c>
      <c r="E327" s="100">
        <f>-2562-D327</f>
        <v>-1353</v>
      </c>
      <c r="F327" s="93">
        <f>-3562-E327-D327</f>
        <v>-1000</v>
      </c>
      <c r="G327" s="100">
        <f>-4818-F327-E327-D327</f>
        <v>-1256</v>
      </c>
      <c r="H327" s="112">
        <f>SUM(D327:G327)</f>
        <v>-4818</v>
      </c>
      <c r="I327" s="100">
        <v>-1215</v>
      </c>
      <c r="J327" s="100">
        <f>-2681-I327</f>
        <v>-1466</v>
      </c>
      <c r="K327" s="93">
        <f>-3790-J327-I327</f>
        <v>-1109</v>
      </c>
      <c r="L327" s="100">
        <f>-5116-K327-J327-I327</f>
        <v>-1326</v>
      </c>
      <c r="M327" s="112">
        <f>SUM(I327:L327)</f>
        <v>-5116</v>
      </c>
      <c r="N327" s="100">
        <v>-1044</v>
      </c>
      <c r="O327" s="100">
        <f>-2621-N327</f>
        <v>-1577</v>
      </c>
      <c r="P327" s="93">
        <f>-3994-O327-N327</f>
        <v>-1373</v>
      </c>
      <c r="Q327" s="100">
        <f>-5663-P327-O327-N327</f>
        <v>-1669</v>
      </c>
      <c r="R327" s="112">
        <f>SUM(N327:Q327)</f>
        <v>-5663</v>
      </c>
      <c r="S327" s="100">
        <v>-1179</v>
      </c>
      <c r="T327" s="100">
        <f>-T13*T359</f>
        <v>-1439.5725</v>
      </c>
      <c r="U327" s="100">
        <f>-U13*U359</f>
        <v>-1448.9928</v>
      </c>
      <c r="V327" s="100">
        <f>-V13*V359</f>
        <v>-1532.4346999999996</v>
      </c>
      <c r="W327" s="426">
        <f>SUM(S327:V327)</f>
        <v>-5600</v>
      </c>
      <c r="X327" s="100">
        <f>-X13*X359</f>
        <v>-1411.0045517268563</v>
      </c>
      <c r="Y327" s="100">
        <f>-Y13*Y359</f>
        <v>-1501.7062931775054</v>
      </c>
      <c r="Z327" s="100">
        <f>-Z13*Z359</f>
        <v>-1516.9920408708485</v>
      </c>
      <c r="AA327" s="100">
        <f>-AA13*AA359</f>
        <v>-1584.3783071149508</v>
      </c>
      <c r="AB327" s="112">
        <f>SUM(X327:AA327)</f>
        <v>-6014.0811928901612</v>
      </c>
      <c r="AC327" s="100">
        <f>-AC13*AC359</f>
        <v>-1520.510705147811</v>
      </c>
      <c r="AD327" s="100">
        <f>-AD13*AD359</f>
        <v>-1578.3319038798522</v>
      </c>
      <c r="AE327" s="100">
        <f>-AE13*AE359</f>
        <v>-1599.4114194118342</v>
      </c>
      <c r="AF327" s="100">
        <f>-AF13*AF359</f>
        <v>-1673.2228644864304</v>
      </c>
      <c r="AG327" s="112">
        <f>SUM(AC327:AF327)</f>
        <v>-6371.476892925928</v>
      </c>
      <c r="AH327" s="100">
        <f>-AH13*AH359</f>
        <v>-1606.5066585080183</v>
      </c>
      <c r="AI327" s="100">
        <f>-AI13*AI359</f>
        <v>-1658.1621430680088</v>
      </c>
      <c r="AJ327" s="100">
        <f>-AJ13*AJ359</f>
        <v>-1682.0880588495238</v>
      </c>
      <c r="AK327" s="100">
        <f>-AK13*AK359</f>
        <v>-1758.4260019657995</v>
      </c>
      <c r="AL327" s="112">
        <f>SUM(AH327:AK327)</f>
        <v>-6705.1828623913507</v>
      </c>
      <c r="AM327" s="100">
        <f>-AM13*AM359</f>
        <v>-1685.7144857409753</v>
      </c>
      <c r="AN327" s="100">
        <f>-AN13*AN359</f>
        <v>-1735.5784500833117</v>
      </c>
      <c r="AO327" s="100">
        <f>-AO13*AO359</f>
        <v>-1760.8928599266585</v>
      </c>
      <c r="AP327" s="100">
        <f>-AP13*AP359</f>
        <v>-1838.5798507604086</v>
      </c>
      <c r="AQ327" s="112">
        <f>SUM(AM327:AP327)</f>
        <v>-7020.7656465113541</v>
      </c>
    </row>
    <row r="328" spans="2:43" outlineLevel="1" x14ac:dyDescent="0.3">
      <c r="B328" s="703" t="s">
        <v>235</v>
      </c>
      <c r="C328" s="704"/>
      <c r="D328" s="100">
        <v>0</v>
      </c>
      <c r="E328" s="100">
        <f>0-D328</f>
        <v>0</v>
      </c>
      <c r="F328" s="93">
        <f>0-E328-D328</f>
        <v>0</v>
      </c>
      <c r="G328" s="100">
        <f>-4618-F328-E328-D328</f>
        <v>-4618</v>
      </c>
      <c r="H328" s="112">
        <f>SUM(D328:G328)</f>
        <v>-4618</v>
      </c>
      <c r="I328" s="100">
        <v>0</v>
      </c>
      <c r="J328" s="100">
        <f>0-I328</f>
        <v>0</v>
      </c>
      <c r="K328" s="93">
        <f>0-J328-I328</f>
        <v>0</v>
      </c>
      <c r="L328" s="100">
        <f>0-K328-J328-I328</f>
        <v>0</v>
      </c>
      <c r="M328" s="112">
        <f>SUM(I328:L328)</f>
        <v>0</v>
      </c>
      <c r="N328" s="100">
        <v>0</v>
      </c>
      <c r="O328" s="100">
        <f>-44-N328</f>
        <v>-44</v>
      </c>
      <c r="P328" s="93">
        <f>-44-O328-N328</f>
        <v>0</v>
      </c>
      <c r="Q328" s="100">
        <f>-179-P328-O328-N328</f>
        <v>-135</v>
      </c>
      <c r="R328" s="112">
        <f>SUM(N328:Q328)</f>
        <v>-179</v>
      </c>
      <c r="S328" s="100">
        <v>0</v>
      </c>
      <c r="T328" s="244">
        <v>0</v>
      </c>
      <c r="U328" s="244">
        <v>0</v>
      </c>
      <c r="V328" s="244">
        <v>0</v>
      </c>
      <c r="W328" s="112">
        <f>SUM(S328:V328)</f>
        <v>0</v>
      </c>
      <c r="X328" s="244">
        <v>0</v>
      </c>
      <c r="Y328" s="244">
        <v>0</v>
      </c>
      <c r="Z328" s="244">
        <v>0</v>
      </c>
      <c r="AA328" s="244">
        <v>0</v>
      </c>
      <c r="AB328" s="112">
        <f>SUM(X328:AA328)</f>
        <v>0</v>
      </c>
      <c r="AC328" s="244">
        <v>0</v>
      </c>
      <c r="AD328" s="244">
        <v>0</v>
      </c>
      <c r="AE328" s="244">
        <v>0</v>
      </c>
      <c r="AF328" s="244">
        <v>0</v>
      </c>
      <c r="AG328" s="112">
        <f>SUM(AC328:AF328)</f>
        <v>0</v>
      </c>
      <c r="AH328" s="244">
        <v>0</v>
      </c>
      <c r="AI328" s="244">
        <v>0</v>
      </c>
      <c r="AJ328" s="244">
        <v>0</v>
      </c>
      <c r="AK328" s="244">
        <v>0</v>
      </c>
      <c r="AL328" s="112">
        <f>SUM(AH328:AK328)</f>
        <v>0</v>
      </c>
      <c r="AM328" s="244">
        <v>0</v>
      </c>
      <c r="AN328" s="244">
        <v>0</v>
      </c>
      <c r="AO328" s="244">
        <v>0</v>
      </c>
      <c r="AP328" s="244">
        <v>0</v>
      </c>
      <c r="AQ328" s="112">
        <f>SUM(AM328:AP328)</f>
        <v>0</v>
      </c>
    </row>
    <row r="329" spans="2:43" ht="16.2" outlineLevel="1" x14ac:dyDescent="0.45">
      <c r="B329" s="703" t="s">
        <v>236</v>
      </c>
      <c r="C329" s="704"/>
      <c r="D329" s="101">
        <v>10</v>
      </c>
      <c r="E329" s="101">
        <f>12-D329</f>
        <v>2</v>
      </c>
      <c r="F329" s="98">
        <f>-17-E329-D329</f>
        <v>-29</v>
      </c>
      <c r="G329" s="101">
        <f>-10-F329-E329-D329</f>
        <v>7</v>
      </c>
      <c r="H329" s="153">
        <f>SUM(D329:G329)</f>
        <v>-10</v>
      </c>
      <c r="I329" s="101">
        <v>9</v>
      </c>
      <c r="J329" s="101">
        <f>100-I329</f>
        <v>91</v>
      </c>
      <c r="K329" s="98">
        <f>123-J329-I329</f>
        <v>23</v>
      </c>
      <c r="L329" s="101">
        <f>135-K329-J329-I329</f>
        <v>12</v>
      </c>
      <c r="M329" s="153">
        <f>SUM(I329:L329)</f>
        <v>135</v>
      </c>
      <c r="N329" s="101">
        <v>6</v>
      </c>
      <c r="O329" s="101">
        <f>12-N329</f>
        <v>6</v>
      </c>
      <c r="P329" s="98">
        <f>21-O329-N329</f>
        <v>9</v>
      </c>
      <c r="Q329" s="101">
        <f>123+42-P329-O329-N329</f>
        <v>144</v>
      </c>
      <c r="R329" s="153">
        <f>SUM(N329:Q329)</f>
        <v>165</v>
      </c>
      <c r="S329" s="101">
        <v>78</v>
      </c>
      <c r="T329" s="101">
        <f>-(T258-S258)</f>
        <v>-34.344999999999345</v>
      </c>
      <c r="U329" s="101">
        <f>-(U258-T258)</f>
        <v>-34.516724999999497</v>
      </c>
      <c r="V329" s="101">
        <f>-(V258-U258)</f>
        <v>-34.689308624999285</v>
      </c>
      <c r="W329" s="153">
        <f>SUM(S329:V329)</f>
        <v>-25.551033624998126</v>
      </c>
      <c r="X329" s="101">
        <f>-(X258-V258)</f>
        <v>-34.86275516812384</v>
      </c>
      <c r="Y329" s="101">
        <f>-(Y258-X258)</f>
        <v>-35.037068943965096</v>
      </c>
      <c r="Z329" s="101">
        <f>-(Z258-Y258)</f>
        <v>-35.212254288684562</v>
      </c>
      <c r="AA329" s="101">
        <f>-(AA258-Z258)</f>
        <v>-35.388315560127921</v>
      </c>
      <c r="AB329" s="153">
        <f>SUM(X329:AA329)</f>
        <v>-140.50039396090142</v>
      </c>
      <c r="AC329" s="101">
        <f>-(AC258-AA258)</f>
        <v>-35.565257137928711</v>
      </c>
      <c r="AD329" s="101">
        <f>-(AD258-AC258)</f>
        <v>-35.743083423618373</v>
      </c>
      <c r="AE329" s="101">
        <f>-(AE258-AD258)</f>
        <v>-35.921798840736301</v>
      </c>
      <c r="AF329" s="101">
        <f>-(AF258-AE258)</f>
        <v>-36.101407834939891</v>
      </c>
      <c r="AG329" s="153">
        <f>SUM(AC329:AF329)</f>
        <v>-143.33154723722328</v>
      </c>
      <c r="AH329" s="101">
        <f>-(AH258-AF258)</f>
        <v>-36.281914874114591</v>
      </c>
      <c r="AI329" s="101">
        <f>-(AI258-AH258)</f>
        <v>-36.463324448485764</v>
      </c>
      <c r="AJ329" s="101">
        <f>-(AJ258-AI258)</f>
        <v>-36.645641070727834</v>
      </c>
      <c r="AK329" s="101">
        <f>-(AK258-AJ258)</f>
        <v>-36.828869276081605</v>
      </c>
      <c r="AL329" s="153">
        <f>SUM(AH329:AK329)</f>
        <v>-146.21974966940979</v>
      </c>
      <c r="AM329" s="101">
        <f>-(AM258-AK258)</f>
        <v>-37.013013622461585</v>
      </c>
      <c r="AN329" s="101">
        <f>-(AN258-AM258)</f>
        <v>-37.198078690574221</v>
      </c>
      <c r="AO329" s="101">
        <f>-(AO258-AN258)</f>
        <v>-37.384069084027033</v>
      </c>
      <c r="AP329" s="101">
        <f>-(AP258-AO258)</f>
        <v>-37.570989429446854</v>
      </c>
      <c r="AQ329" s="153">
        <f>SUM(AM329:AP329)</f>
        <v>-149.16615082650969</v>
      </c>
    </row>
    <row r="330" spans="2:43" outlineLevel="1" x14ac:dyDescent="0.3">
      <c r="B330" s="716" t="s">
        <v>17</v>
      </c>
      <c r="C330" s="717"/>
      <c r="D330" s="109">
        <f>SUM(D326:D329)</f>
        <v>-1199</v>
      </c>
      <c r="E330" s="109">
        <f>SUM(E326:E329)</f>
        <v>-1351</v>
      </c>
      <c r="F330" s="109">
        <f>SUM(F326:F329)</f>
        <v>-1029</v>
      </c>
      <c r="G330" s="109">
        <f>SUM(G326:G329)</f>
        <v>-5867</v>
      </c>
      <c r="H330" s="110">
        <f>SUM(H327:H329)</f>
        <v>-9446</v>
      </c>
      <c r="I330" s="109">
        <f>SUM(I326:I329)</f>
        <v>-1206</v>
      </c>
      <c r="J330" s="109">
        <f>SUM(J326:J329)</f>
        <v>-1375</v>
      </c>
      <c r="K330" s="109">
        <f>SUM(K326:K329)</f>
        <v>-1086</v>
      </c>
      <c r="L330" s="109">
        <f>SUM(L326:L329)</f>
        <v>-1314</v>
      </c>
      <c r="M330" s="110">
        <f>SUM(M327:M329)</f>
        <v>-4981</v>
      </c>
      <c r="N330" s="109">
        <f>SUM(N326:N329)</f>
        <v>-1038</v>
      </c>
      <c r="O330" s="109">
        <f>SUM(O326:O329)</f>
        <v>-1615</v>
      </c>
      <c r="P330" s="109">
        <f>SUM(P326:P329)</f>
        <v>-1364</v>
      </c>
      <c r="Q330" s="109">
        <f>SUM(Q326:Q329)</f>
        <v>-1660</v>
      </c>
      <c r="R330" s="110">
        <f>SUM(R327:R329)</f>
        <v>-5677</v>
      </c>
      <c r="S330" s="109">
        <f>SUM(S326:S329)</f>
        <v>-1101</v>
      </c>
      <c r="T330" s="109">
        <f>SUM(T326:T329)</f>
        <v>-1473.9174999999993</v>
      </c>
      <c r="U330" s="109">
        <f>SUM(U326:U329)</f>
        <v>-1483.5095249999995</v>
      </c>
      <c r="V330" s="109">
        <f>SUM(V326:V329)</f>
        <v>-1567.1240086249989</v>
      </c>
      <c r="W330" s="110">
        <f>SUM(W327:W329)</f>
        <v>-5625.5510336249981</v>
      </c>
      <c r="X330" s="109">
        <f>SUM(X326:X329)</f>
        <v>-1445.8673068949802</v>
      </c>
      <c r="Y330" s="109">
        <f>SUM(Y326:Y329)</f>
        <v>-1536.7433621214705</v>
      </c>
      <c r="Z330" s="109">
        <f>SUM(Z326:Z329)</f>
        <v>-1552.2042951595331</v>
      </c>
      <c r="AA330" s="109">
        <f>SUM(AA326:AA329)</f>
        <v>-1619.7666226750787</v>
      </c>
      <c r="AB330" s="110">
        <f>SUM(AB327:AB329)</f>
        <v>-6154.5815868510626</v>
      </c>
      <c r="AC330" s="109">
        <f>SUM(AC326:AC329)</f>
        <v>-1556.0759622857397</v>
      </c>
      <c r="AD330" s="109">
        <f>SUM(AD326:AD329)</f>
        <v>-1614.0749873034706</v>
      </c>
      <c r="AE330" s="109">
        <f>SUM(AE326:AE329)</f>
        <v>-1635.3332182525705</v>
      </c>
      <c r="AF330" s="109">
        <f>SUM(AF326:AF329)</f>
        <v>-1709.3242723213702</v>
      </c>
      <c r="AG330" s="110">
        <f>SUM(AG327:AG329)</f>
        <v>-6514.8084401631513</v>
      </c>
      <c r="AH330" s="109">
        <f>SUM(AH326:AH329)</f>
        <v>-1642.7885733821329</v>
      </c>
      <c r="AI330" s="109">
        <f>SUM(AI326:AI329)</f>
        <v>-1694.6254675164946</v>
      </c>
      <c r="AJ330" s="109">
        <f>SUM(AJ326:AJ329)</f>
        <v>-1718.7336999202516</v>
      </c>
      <c r="AK330" s="109">
        <f>SUM(AK326:AK329)</f>
        <v>-1795.2548712418811</v>
      </c>
      <c r="AL330" s="110">
        <f>SUM(AL327:AL329)</f>
        <v>-6851.4026120607605</v>
      </c>
      <c r="AM330" s="109">
        <f>SUM(AM326:AM329)</f>
        <v>-1722.7274993634369</v>
      </c>
      <c r="AN330" s="109">
        <f>SUM(AN326:AN329)</f>
        <v>-1772.776528773886</v>
      </c>
      <c r="AO330" s="109">
        <f>SUM(AO326:AO329)</f>
        <v>-1798.2769290106855</v>
      </c>
      <c r="AP330" s="109">
        <f>SUM(AP326:AP329)</f>
        <v>-1876.1508401898554</v>
      </c>
      <c r="AQ330" s="110">
        <f>SUM(AQ327:AQ329)</f>
        <v>-7169.9317973378638</v>
      </c>
    </row>
    <row r="331" spans="2:43" outlineLevel="1" x14ac:dyDescent="0.3">
      <c r="B331" s="714" t="s">
        <v>18</v>
      </c>
      <c r="C331" s="715"/>
      <c r="D331" s="374"/>
      <c r="E331" s="374"/>
      <c r="F331" s="374"/>
      <c r="G331" s="374"/>
      <c r="H331" s="375"/>
      <c r="I331" s="374"/>
      <c r="J331" s="374"/>
      <c r="K331" s="374"/>
      <c r="L331" s="374"/>
      <c r="M331" s="375"/>
      <c r="N331" s="374"/>
      <c r="O331" s="374"/>
      <c r="P331" s="374"/>
      <c r="Q331" s="374"/>
      <c r="R331" s="375"/>
      <c r="S331" s="376"/>
      <c r="T331" s="376"/>
      <c r="U331" s="376"/>
      <c r="V331" s="376"/>
      <c r="W331" s="375"/>
      <c r="X331" s="376"/>
      <c r="Y331" s="376"/>
      <c r="Z331" s="376"/>
      <c r="AA331" s="376"/>
      <c r="AB331" s="375"/>
      <c r="AC331" s="376"/>
      <c r="AD331" s="376"/>
      <c r="AE331" s="376"/>
      <c r="AF331" s="376"/>
      <c r="AG331" s="375"/>
      <c r="AH331" s="376"/>
      <c r="AI331" s="376"/>
      <c r="AJ331" s="376"/>
      <c r="AK331" s="376"/>
      <c r="AL331" s="375"/>
      <c r="AM331" s="376"/>
      <c r="AN331" s="376"/>
      <c r="AO331" s="376"/>
      <c r="AP331" s="376"/>
      <c r="AQ331" s="375"/>
    </row>
    <row r="332" spans="2:43" outlineLevel="1" x14ac:dyDescent="0.3">
      <c r="B332" s="724" t="s">
        <v>237</v>
      </c>
      <c r="C332" s="725"/>
      <c r="D332" s="377">
        <v>0</v>
      </c>
      <c r="E332" s="377">
        <f>0-D332</f>
        <v>0</v>
      </c>
      <c r="F332" s="377">
        <f>0-E332-D332</f>
        <v>0</v>
      </c>
      <c r="G332" s="377">
        <f>0-F332-E332-D332</f>
        <v>0</v>
      </c>
      <c r="H332" s="378">
        <f t="shared" ref="H332:H339" si="124">SUM(D332:G332)</f>
        <v>0</v>
      </c>
      <c r="I332" s="377">
        <v>0</v>
      </c>
      <c r="J332" s="377">
        <f>0-I332</f>
        <v>0</v>
      </c>
      <c r="K332" s="377">
        <f>0-J332-I332</f>
        <v>0</v>
      </c>
      <c r="L332" s="377">
        <f>0-K332-J332-I332</f>
        <v>0</v>
      </c>
      <c r="M332" s="378">
        <f t="shared" ref="M332:M339" si="125">SUM(I332:L332)</f>
        <v>0</v>
      </c>
      <c r="N332" s="377">
        <v>0</v>
      </c>
      <c r="O332" s="377">
        <f>250-N332</f>
        <v>250</v>
      </c>
      <c r="P332" s="377">
        <f>797-O332-N332</f>
        <v>547</v>
      </c>
      <c r="Q332" s="377">
        <f>0-P332-O332-N332</f>
        <v>-797</v>
      </c>
      <c r="R332" s="378">
        <f t="shared" ref="R332:R339" si="126">SUM(N332:Q332)</f>
        <v>0</v>
      </c>
      <c r="S332" s="377">
        <v>299</v>
      </c>
      <c r="T332" s="377">
        <f t="shared" ref="T332:V333" si="127">T262-S262</f>
        <v>9.9912673480724834</v>
      </c>
      <c r="U332" s="377">
        <f t="shared" si="127"/>
        <v>9.3784097322339335</v>
      </c>
      <c r="V332" s="377">
        <f t="shared" si="127"/>
        <v>22.977592024982698</v>
      </c>
      <c r="W332" s="378">
        <f t="shared" ref="W332:W339" si="128">SUM(S332:V332)</f>
        <v>341.34726910528912</v>
      </c>
      <c r="X332" s="377">
        <f>X262-V262</f>
        <v>10.614206346789501</v>
      </c>
      <c r="Y332" s="377">
        <f t="shared" ref="Y332:AA333" si="129">Y262-X262</f>
        <v>12.417762458284358</v>
      </c>
      <c r="Z332" s="377">
        <f t="shared" si="129"/>
        <v>11.286459345716537</v>
      </c>
      <c r="AA332" s="377">
        <f t="shared" si="129"/>
        <v>23.699224627124067</v>
      </c>
      <c r="AB332" s="378">
        <f t="shared" ref="AB332:AB339" si="130">SUM(X332:AA332)</f>
        <v>58.017652777914464</v>
      </c>
      <c r="AC332" s="377">
        <f>AC262-AA262</f>
        <v>14.212372433989856</v>
      </c>
      <c r="AD332" s="377">
        <f t="shared" ref="AD332:AF333" si="131">AD262-AC262</f>
        <v>14.756069030798187</v>
      </c>
      <c r="AE332" s="377">
        <f t="shared" si="131"/>
        <v>13.735336055857829</v>
      </c>
      <c r="AF332" s="377">
        <f t="shared" si="131"/>
        <v>26.350695817796122</v>
      </c>
      <c r="AG332" s="378">
        <f t="shared" ref="AG332:AG339" si="132">SUM(AC332:AF332)</f>
        <v>69.054473338441994</v>
      </c>
      <c r="AH332" s="377">
        <f>AH262-AF262</f>
        <v>11.769494047741262</v>
      </c>
      <c r="AI332" s="377">
        <f t="shared" ref="AI332:AK333" si="133">AI262-AH262</f>
        <v>11.905269299237204</v>
      </c>
      <c r="AJ332" s="377">
        <f t="shared" si="133"/>
        <v>11.129612332780425</v>
      </c>
      <c r="AK332" s="377">
        <f t="shared" si="133"/>
        <v>24.301138731690116</v>
      </c>
      <c r="AL332" s="378">
        <f t="shared" ref="AL332:AL339" si="134">SUM(AH332:AK332)</f>
        <v>59.105514411449008</v>
      </c>
      <c r="AM332" s="377">
        <f>AM262-AK262</f>
        <v>11.888003234725943</v>
      </c>
      <c r="AN332" s="377">
        <f t="shared" ref="AN332:AP333" si="135">AN262-AM262</f>
        <v>11.750748404280444</v>
      </c>
      <c r="AO332" s="377">
        <f t="shared" si="135"/>
        <v>11.103219880657093</v>
      </c>
      <c r="AP332" s="377">
        <f t="shared" si="135"/>
        <v>24.443892392332486</v>
      </c>
      <c r="AQ332" s="378">
        <f t="shared" ref="AQ332:AQ339" si="136">SUM(AM332:AP332)</f>
        <v>59.185863911995966</v>
      </c>
    </row>
    <row r="333" spans="2:43" outlineLevel="1" x14ac:dyDescent="0.3">
      <c r="B333" s="178" t="s">
        <v>238</v>
      </c>
      <c r="C333" s="128"/>
      <c r="D333" s="377">
        <v>-15</v>
      </c>
      <c r="E333" s="377">
        <f>-17-D333</f>
        <v>-2</v>
      </c>
      <c r="F333" s="377">
        <f>-28-E333-D333</f>
        <v>-11</v>
      </c>
      <c r="G333" s="377">
        <f>-41-F333-E333-D333</f>
        <v>-13</v>
      </c>
      <c r="H333" s="378">
        <f t="shared" si="124"/>
        <v>-41</v>
      </c>
      <c r="I333" s="377">
        <v>-12</v>
      </c>
      <c r="J333" s="377">
        <f>-43-I333</f>
        <v>-31</v>
      </c>
      <c r="K333" s="377">
        <f>-49-J333-I333</f>
        <v>-6</v>
      </c>
      <c r="L333" s="377">
        <f>-82-K333-J333-I333</f>
        <v>-33</v>
      </c>
      <c r="M333" s="378">
        <f t="shared" si="125"/>
        <v>-82</v>
      </c>
      <c r="N333" s="377">
        <v>-12</v>
      </c>
      <c r="O333" s="377">
        <f>-28-N333</f>
        <v>-16</v>
      </c>
      <c r="P333" s="377">
        <f>-31-O333-N333</f>
        <v>-3</v>
      </c>
      <c r="Q333" s="377">
        <f>-38-P333-O333-N333</f>
        <v>-7</v>
      </c>
      <c r="R333" s="378">
        <f t="shared" si="126"/>
        <v>-38</v>
      </c>
      <c r="S333" s="377">
        <v>-2</v>
      </c>
      <c r="T333" s="377">
        <f t="shared" si="127"/>
        <v>46.915516243122966</v>
      </c>
      <c r="U333" s="377">
        <f t="shared" si="127"/>
        <v>44.037750047011514</v>
      </c>
      <c r="V333" s="377">
        <f t="shared" si="127"/>
        <v>107.894779943397</v>
      </c>
      <c r="W333" s="378">
        <f t="shared" si="128"/>
        <v>196.84804623353148</v>
      </c>
      <c r="X333" s="377">
        <f>X263-V263</f>
        <v>49.840621106663775</v>
      </c>
      <c r="Y333" s="377">
        <f t="shared" si="129"/>
        <v>58.309493282378753</v>
      </c>
      <c r="Z333" s="377">
        <f t="shared" si="129"/>
        <v>52.997287362494944</v>
      </c>
      <c r="AA333" s="377">
        <f t="shared" si="129"/>
        <v>111.28331564040877</v>
      </c>
      <c r="AB333" s="378">
        <f t="shared" si="130"/>
        <v>272.43071739194625</v>
      </c>
      <c r="AC333" s="377">
        <f>AC263-AA263</f>
        <v>66.736357516126191</v>
      </c>
      <c r="AD333" s="377">
        <f t="shared" si="131"/>
        <v>69.289367622878444</v>
      </c>
      <c r="AE333" s="377">
        <f t="shared" si="131"/>
        <v>64.496360610115062</v>
      </c>
      <c r="AF333" s="377">
        <f t="shared" si="131"/>
        <v>123.73370210095572</v>
      </c>
      <c r="AG333" s="378">
        <f t="shared" si="132"/>
        <v>324.25578785007542</v>
      </c>
      <c r="AH333" s="377">
        <f>AH263-AF263</f>
        <v>55.265450311132554</v>
      </c>
      <c r="AI333" s="377">
        <f t="shared" si="133"/>
        <v>55.903003665983761</v>
      </c>
      <c r="AJ333" s="377">
        <f t="shared" si="133"/>
        <v>52.260788345229685</v>
      </c>
      <c r="AK333" s="377">
        <f t="shared" si="133"/>
        <v>114.10969491402284</v>
      </c>
      <c r="AL333" s="378">
        <f t="shared" si="134"/>
        <v>277.53893723636884</v>
      </c>
      <c r="AM333" s="377">
        <f>AM263-AK263</f>
        <v>55.82192823262676</v>
      </c>
      <c r="AN333" s="377">
        <f t="shared" si="135"/>
        <v>55.177427289664138</v>
      </c>
      <c r="AO333" s="377">
        <f t="shared" si="135"/>
        <v>52.136858570042477</v>
      </c>
      <c r="AP333" s="377">
        <f t="shared" si="135"/>
        <v>114.78001645095264</v>
      </c>
      <c r="AQ333" s="378">
        <f t="shared" si="136"/>
        <v>277.91623054328602</v>
      </c>
    </row>
    <row r="334" spans="2:43" outlineLevel="1" x14ac:dyDescent="0.3">
      <c r="B334" s="724" t="s">
        <v>239</v>
      </c>
      <c r="C334" s="725"/>
      <c r="D334" s="377">
        <v>0</v>
      </c>
      <c r="E334" s="377">
        <f>1238-D334</f>
        <v>1238</v>
      </c>
      <c r="F334" s="377">
        <f>1238-E334-D334</f>
        <v>0</v>
      </c>
      <c r="G334" s="377">
        <f>6519-F334-E334-D334</f>
        <v>5281</v>
      </c>
      <c r="H334" s="378">
        <f t="shared" si="124"/>
        <v>6519</v>
      </c>
      <c r="I334" s="377">
        <v>0</v>
      </c>
      <c r="J334" s="377">
        <f>0-I334</f>
        <v>0</v>
      </c>
      <c r="K334" s="377">
        <f>1190-J334-I334</f>
        <v>1190</v>
      </c>
      <c r="L334" s="377">
        <f>1190-K334-J334-I334</f>
        <v>0</v>
      </c>
      <c r="M334" s="378">
        <f t="shared" si="125"/>
        <v>1190</v>
      </c>
      <c r="N334" s="377">
        <v>0</v>
      </c>
      <c r="O334" s="377">
        <f>0-N334</f>
        <v>0</v>
      </c>
      <c r="P334" s="377">
        <f>1481-O334-N334</f>
        <v>1481</v>
      </c>
      <c r="Q334" s="377">
        <f>1480-P334-O334-N334</f>
        <v>-1</v>
      </c>
      <c r="R334" s="378">
        <f t="shared" si="126"/>
        <v>1480</v>
      </c>
      <c r="S334" s="377">
        <v>0</v>
      </c>
      <c r="T334" s="377">
        <f>T268-S268</f>
        <v>509.28730987281597</v>
      </c>
      <c r="U334" s="377">
        <f>U268-T268</f>
        <v>478.04796899323628</v>
      </c>
      <c r="V334" s="377">
        <f>V268-U268</f>
        <v>1171.2424082032157</v>
      </c>
      <c r="W334" s="378">
        <f t="shared" si="128"/>
        <v>2158.577687069268</v>
      </c>
      <c r="X334" s="377">
        <f>X268-V268</f>
        <v>541.04053154320718</v>
      </c>
      <c r="Y334" s="377">
        <f>Y268-X268</f>
        <v>632.97363754752951</v>
      </c>
      <c r="Z334" s="377">
        <f>Z268-Y268</f>
        <v>575.30744778617373</v>
      </c>
      <c r="AA334" s="377">
        <f>AA268-Z268</f>
        <v>1208.0263630167137</v>
      </c>
      <c r="AB334" s="378">
        <f t="shared" si="130"/>
        <v>2957.3479798936241</v>
      </c>
      <c r="AC334" s="377">
        <f>AC268-AA268</f>
        <v>724.45072998809337</v>
      </c>
      <c r="AD334" s="377">
        <f>AD268-AC268</f>
        <v>752.16470935917823</v>
      </c>
      <c r="AE334" s="377">
        <f>AE268-AD268</f>
        <v>700.13463821849655</v>
      </c>
      <c r="AF334" s="377">
        <f>AF268-AE268</f>
        <v>1343.1804513679926</v>
      </c>
      <c r="AG334" s="378">
        <f t="shared" si="132"/>
        <v>3519.9305289337608</v>
      </c>
      <c r="AH334" s="377">
        <f>AH268-AF268</f>
        <v>599.92929358402762</v>
      </c>
      <c r="AI334" s="377">
        <f>AI268-AH268</f>
        <v>606.85019862767513</v>
      </c>
      <c r="AJ334" s="377">
        <f>AJ268-AI268</f>
        <v>567.31244670202796</v>
      </c>
      <c r="AK334" s="377">
        <f>AK268-AJ268</f>
        <v>1238.7078776243761</v>
      </c>
      <c r="AL334" s="378">
        <f t="shared" si="134"/>
        <v>3012.7998165381068</v>
      </c>
      <c r="AM334" s="377">
        <f>AM268-AK268</f>
        <v>605.97009130588049</v>
      </c>
      <c r="AN334" s="377">
        <f>AN268-AM268</f>
        <v>598.97376732320481</v>
      </c>
      <c r="AO334" s="377">
        <f>AO268-AN268</f>
        <v>565.96713779630591</v>
      </c>
      <c r="AP334" s="377">
        <f>AP268-AO268</f>
        <v>1245.9844948212049</v>
      </c>
      <c r="AQ334" s="378">
        <f t="shared" si="136"/>
        <v>3016.8954912465961</v>
      </c>
    </row>
    <row r="335" spans="2:43" outlineLevel="1" x14ac:dyDescent="0.3">
      <c r="B335" s="724" t="s">
        <v>240</v>
      </c>
      <c r="C335" s="725"/>
      <c r="D335" s="377">
        <v>46</v>
      </c>
      <c r="E335" s="377">
        <f>62-D335</f>
        <v>16</v>
      </c>
      <c r="F335" s="377">
        <f>79-E335-D335</f>
        <v>17</v>
      </c>
      <c r="G335" s="377">
        <f>183-F335-E335-D335</f>
        <v>104</v>
      </c>
      <c r="H335" s="378">
        <f t="shared" si="124"/>
        <v>183</v>
      </c>
      <c r="I335" s="377">
        <v>40</v>
      </c>
      <c r="J335" s="377">
        <f>164-I335</f>
        <v>124</v>
      </c>
      <c r="K335" s="377">
        <f>265-J335-I335</f>
        <v>101</v>
      </c>
      <c r="L335" s="377">
        <f>337-K335-J335-I335</f>
        <v>72</v>
      </c>
      <c r="M335" s="378">
        <f t="shared" si="125"/>
        <v>337</v>
      </c>
      <c r="N335" s="377">
        <v>150</v>
      </c>
      <c r="O335" s="377">
        <f>205-N335</f>
        <v>55</v>
      </c>
      <c r="P335" s="377">
        <f>284-O335-N335</f>
        <v>79</v>
      </c>
      <c r="Q335" s="377">
        <f>327-P335-O335-N335</f>
        <v>43</v>
      </c>
      <c r="R335" s="378">
        <f t="shared" si="126"/>
        <v>327</v>
      </c>
      <c r="S335" s="377">
        <v>25</v>
      </c>
      <c r="T335" s="244">
        <v>0</v>
      </c>
      <c r="U335" s="244">
        <v>0</v>
      </c>
      <c r="V335" s="244">
        <v>0</v>
      </c>
      <c r="W335" s="378">
        <f t="shared" si="128"/>
        <v>25</v>
      </c>
      <c r="X335" s="244">
        <v>0</v>
      </c>
      <c r="Y335" s="244">
        <v>0</v>
      </c>
      <c r="Z335" s="244">
        <v>0</v>
      </c>
      <c r="AA335" s="244">
        <v>0</v>
      </c>
      <c r="AB335" s="378">
        <f t="shared" si="130"/>
        <v>0</v>
      </c>
      <c r="AC335" s="244">
        <v>0</v>
      </c>
      <c r="AD335" s="244">
        <v>0</v>
      </c>
      <c r="AE335" s="244">
        <v>0</v>
      </c>
      <c r="AF335" s="244">
        <v>0</v>
      </c>
      <c r="AG335" s="378">
        <f t="shared" si="132"/>
        <v>0</v>
      </c>
      <c r="AH335" s="244">
        <v>0</v>
      </c>
      <c r="AI335" s="244">
        <v>0</v>
      </c>
      <c r="AJ335" s="244">
        <v>0</v>
      </c>
      <c r="AK335" s="244">
        <v>0</v>
      </c>
      <c r="AL335" s="378">
        <f t="shared" si="134"/>
        <v>0</v>
      </c>
      <c r="AM335" s="244">
        <v>0</v>
      </c>
      <c r="AN335" s="244">
        <v>0</v>
      </c>
      <c r="AO335" s="244">
        <v>0</v>
      </c>
      <c r="AP335" s="244">
        <v>0</v>
      </c>
      <c r="AQ335" s="378">
        <f t="shared" si="136"/>
        <v>0</v>
      </c>
    </row>
    <row r="336" spans="2:43" outlineLevel="1" x14ac:dyDescent="0.3">
      <c r="B336" s="724" t="s">
        <v>51</v>
      </c>
      <c r="C336" s="725"/>
      <c r="D336" s="377">
        <v>-71</v>
      </c>
      <c r="E336" s="377">
        <f>-141-D336</f>
        <v>-70</v>
      </c>
      <c r="F336" s="377">
        <f>-210-E336-D336</f>
        <v>-69</v>
      </c>
      <c r="G336" s="377">
        <f>-277-F336-E336-D336</f>
        <v>-67</v>
      </c>
      <c r="H336" s="378">
        <f t="shared" si="124"/>
        <v>-277</v>
      </c>
      <c r="I336" s="377">
        <v>-106</v>
      </c>
      <c r="J336" s="377">
        <f>-213-I336</f>
        <v>-107</v>
      </c>
      <c r="K336" s="377">
        <f>-319-J336-I336</f>
        <v>-106</v>
      </c>
      <c r="L336" s="377">
        <f>-426-K336-J336-I336</f>
        <v>-107</v>
      </c>
      <c r="M336" s="378">
        <f t="shared" si="125"/>
        <v>-426</v>
      </c>
      <c r="N336" s="377">
        <v>-134</v>
      </c>
      <c r="O336" s="377">
        <f>-268-N336</f>
        <v>-134</v>
      </c>
      <c r="P336" s="377">
        <f>-402-O336-N336</f>
        <v>-134</v>
      </c>
      <c r="Q336" s="377">
        <f>-535-P336-O336-N336</f>
        <v>-133</v>
      </c>
      <c r="R336" s="378">
        <f t="shared" si="126"/>
        <v>-535</v>
      </c>
      <c r="S336" s="377">
        <v>-173</v>
      </c>
      <c r="T336" s="377">
        <f>-T46*T41</f>
        <v>-172.63348262913235</v>
      </c>
      <c r="U336" s="377">
        <f>-U46*U41</f>
        <v>-172.9327010605808</v>
      </c>
      <c r="V336" s="377">
        <f>-V46*V41</f>
        <v>-173.52300486772782</v>
      </c>
      <c r="W336" s="378">
        <f t="shared" si="128"/>
        <v>-692.08918855744105</v>
      </c>
      <c r="X336" s="377">
        <f>-X46*X41</f>
        <v>-217.02213188709456</v>
      </c>
      <c r="Y336" s="377">
        <f>-Y46*Y41</f>
        <v>-217.45455776370557</v>
      </c>
      <c r="Z336" s="377">
        <f>-Z46*Z41</f>
        <v>-217.8750990956961</v>
      </c>
      <c r="AA336" s="377">
        <f>-AA46*AA41</f>
        <v>-218.30733817545914</v>
      </c>
      <c r="AB336" s="378">
        <f t="shared" si="130"/>
        <v>-870.65912692195536</v>
      </c>
      <c r="AC336" s="377">
        <f>-AC46*AC41</f>
        <v>-273.32899219041275</v>
      </c>
      <c r="AD336" s="377">
        <f>-AD46*AD41</f>
        <v>-273.84807593569286</v>
      </c>
      <c r="AE336" s="377">
        <f>-AE46*AE41</f>
        <v>-274.36179567576056</v>
      </c>
      <c r="AF336" s="377">
        <f>-AF46*AF41</f>
        <v>-274.87256924656731</v>
      </c>
      <c r="AG336" s="378">
        <f t="shared" si="132"/>
        <v>-1096.4114330484335</v>
      </c>
      <c r="AH336" s="377">
        <f>-AH46*AH41</f>
        <v>-330.83372616109824</v>
      </c>
      <c r="AI336" s="377">
        <f>-AI46*AI41</f>
        <v>-331.9355336515344</v>
      </c>
      <c r="AJ336" s="377">
        <f>-AJ46*AJ41</f>
        <v>-333.15901866475656</v>
      </c>
      <c r="AK336" s="377">
        <f>-AK46*AK41</f>
        <v>-334.53623032631475</v>
      </c>
      <c r="AL336" s="378">
        <f t="shared" si="134"/>
        <v>-1330.4645088037039</v>
      </c>
      <c r="AM336" s="377">
        <f>-AM46*AM41</f>
        <v>-386.52246374843668</v>
      </c>
      <c r="AN336" s="377">
        <f>-AN46*AN41</f>
        <v>-388.45227004304576</v>
      </c>
      <c r="AO336" s="377">
        <f>-AO46*AO41</f>
        <v>-390.39162910326735</v>
      </c>
      <c r="AP336" s="377">
        <f>-AP46*AP41</f>
        <v>-392.34074248254376</v>
      </c>
      <c r="AQ336" s="378">
        <f t="shared" si="136"/>
        <v>-1557.7071053772934</v>
      </c>
    </row>
    <row r="337" spans="2:44" outlineLevel="1" x14ac:dyDescent="0.3">
      <c r="B337" s="724" t="s">
        <v>241</v>
      </c>
      <c r="C337" s="725"/>
      <c r="D337" s="377">
        <v>-190</v>
      </c>
      <c r="E337" s="377">
        <f>-1101-D337</f>
        <v>-911</v>
      </c>
      <c r="F337" s="377">
        <f>-2133-E337-D337</f>
        <v>-1032</v>
      </c>
      <c r="G337" s="377">
        <f>-2722-F337-E337-D337</f>
        <v>-589</v>
      </c>
      <c r="H337" s="378">
        <f t="shared" si="124"/>
        <v>-2722</v>
      </c>
      <c r="I337" s="377">
        <v>-222</v>
      </c>
      <c r="J337" s="377">
        <f>-334-I337</f>
        <v>-112</v>
      </c>
      <c r="K337" s="377">
        <f>-358-J337-I337</f>
        <v>-24</v>
      </c>
      <c r="L337" s="377">
        <f>-509-K337-J337-I337</f>
        <v>-151</v>
      </c>
      <c r="M337" s="378">
        <f t="shared" si="125"/>
        <v>-509</v>
      </c>
      <c r="N337" s="377">
        <v>-86</v>
      </c>
      <c r="O337" s="377">
        <f>-270-N337</f>
        <v>-184</v>
      </c>
      <c r="P337" s="377">
        <f>-558-O337-N337</f>
        <v>-288</v>
      </c>
      <c r="Q337" s="377">
        <f>-1017-P337-O337-N337</f>
        <v>-459</v>
      </c>
      <c r="R337" s="378">
        <f t="shared" si="126"/>
        <v>-1017</v>
      </c>
      <c r="S337" s="377">
        <v>-625</v>
      </c>
      <c r="T337" s="377">
        <f>-T233</f>
        <v>-200</v>
      </c>
      <c r="U337" s="377">
        <f>-U233</f>
        <v>-200</v>
      </c>
      <c r="V337" s="377">
        <f>-V233</f>
        <v>-100</v>
      </c>
      <c r="W337" s="378">
        <f t="shared" si="128"/>
        <v>-1125</v>
      </c>
      <c r="X337" s="377">
        <f>-X233</f>
        <v>-281.15382499999998</v>
      </c>
      <c r="Y337" s="377">
        <f>-Y233</f>
        <v>-195.28845625</v>
      </c>
      <c r="Z337" s="377">
        <f>-Z233</f>
        <v>-194.11057031249999</v>
      </c>
      <c r="AA337" s="377">
        <f>-AA233</f>
        <v>-192.638212890625</v>
      </c>
      <c r="AB337" s="378">
        <f t="shared" si="130"/>
        <v>-863.19106445312491</v>
      </c>
      <c r="AC337" s="377">
        <f>-AC233</f>
        <v>-215.79776611328123</v>
      </c>
      <c r="AD337" s="377">
        <f>-AD233</f>
        <v>-199.45875139160157</v>
      </c>
      <c r="AE337" s="377">
        <f>-AE233</f>
        <v>-200.50132517700195</v>
      </c>
      <c r="AF337" s="377">
        <f>-AF233</f>
        <v>-202.09901389312745</v>
      </c>
      <c r="AG337" s="378">
        <f t="shared" si="132"/>
        <v>-817.85685657501222</v>
      </c>
      <c r="AH337" s="377">
        <f>-AH233</f>
        <v>-129.46421414375305</v>
      </c>
      <c r="AI337" s="377">
        <f>-AI233</f>
        <v>-107.880826151371</v>
      </c>
      <c r="AJ337" s="377">
        <f>-AJ233</f>
        <v>-84.986344841313354</v>
      </c>
      <c r="AK337" s="377">
        <f>-AK233</f>
        <v>-56.107599757391199</v>
      </c>
      <c r="AL337" s="378">
        <f t="shared" si="134"/>
        <v>-378.4389848938286</v>
      </c>
      <c r="AM337" s="377">
        <f>-AM233</f>
        <v>-19.609746223457151</v>
      </c>
      <c r="AN337" s="377">
        <f>-AN233</f>
        <v>7.8538707566168284</v>
      </c>
      <c r="AO337" s="377">
        <f>-AO233</f>
        <v>36.787544983613785</v>
      </c>
      <c r="AP337" s="377">
        <f>-AP233</f>
        <v>67.231017439845573</v>
      </c>
      <c r="AQ337" s="378">
        <f t="shared" si="136"/>
        <v>92.262686956619035</v>
      </c>
    </row>
    <row r="338" spans="2:44" outlineLevel="1" x14ac:dyDescent="0.3">
      <c r="B338" s="178" t="s">
        <v>243</v>
      </c>
      <c r="C338" s="128"/>
      <c r="D338" s="377"/>
      <c r="E338" s="377"/>
      <c r="F338" s="377"/>
      <c r="G338" s="377"/>
      <c r="H338" s="378">
        <f t="shared" si="124"/>
        <v>0</v>
      </c>
      <c r="I338" s="377"/>
      <c r="J338" s="377">
        <f>0-I338</f>
        <v>0</v>
      </c>
      <c r="K338" s="377">
        <f>0-J338-I338</f>
        <v>0</v>
      </c>
      <c r="L338" s="377">
        <f>0-K338-J338-I338</f>
        <v>0</v>
      </c>
      <c r="M338" s="378">
        <f t="shared" si="125"/>
        <v>0</v>
      </c>
      <c r="N338" s="377"/>
      <c r="O338" s="377"/>
      <c r="P338" s="377"/>
      <c r="Q338" s="377">
        <f>0-P338-O338-N338</f>
        <v>0</v>
      </c>
      <c r="R338" s="378">
        <f t="shared" si="126"/>
        <v>0</v>
      </c>
      <c r="S338" s="377">
        <v>0</v>
      </c>
      <c r="T338" s="244">
        <v>0</v>
      </c>
      <c r="U338" s="244">
        <v>0</v>
      </c>
      <c r="V338" s="244">
        <v>0</v>
      </c>
      <c r="W338" s="378">
        <f t="shared" si="128"/>
        <v>0</v>
      </c>
      <c r="X338" s="244">
        <v>0</v>
      </c>
      <c r="Y338" s="244">
        <v>0</v>
      </c>
      <c r="Z338" s="244">
        <v>0</v>
      </c>
      <c r="AA338" s="244">
        <v>0</v>
      </c>
      <c r="AB338" s="378">
        <f t="shared" si="130"/>
        <v>0</v>
      </c>
      <c r="AC338" s="244">
        <v>0</v>
      </c>
      <c r="AD338" s="244">
        <v>0</v>
      </c>
      <c r="AE338" s="244">
        <v>0</v>
      </c>
      <c r="AF338" s="244">
        <v>0</v>
      </c>
      <c r="AG338" s="378">
        <f t="shared" si="132"/>
        <v>0</v>
      </c>
      <c r="AH338" s="244">
        <v>0</v>
      </c>
      <c r="AI338" s="244">
        <v>0</v>
      </c>
      <c r="AJ338" s="244">
        <v>0</v>
      </c>
      <c r="AK338" s="244">
        <v>0</v>
      </c>
      <c r="AL338" s="378">
        <f t="shared" si="134"/>
        <v>0</v>
      </c>
      <c r="AM338" s="244">
        <v>0</v>
      </c>
      <c r="AN338" s="244">
        <v>0</v>
      </c>
      <c r="AO338" s="244">
        <v>0</v>
      </c>
      <c r="AP338" s="244">
        <v>0</v>
      </c>
      <c r="AQ338" s="378">
        <f t="shared" si="136"/>
        <v>0</v>
      </c>
    </row>
    <row r="339" spans="2:44" ht="16.2" outlineLevel="1" x14ac:dyDescent="0.45">
      <c r="B339" s="724" t="s">
        <v>233</v>
      </c>
      <c r="C339" s="725"/>
      <c r="D339" s="379">
        <v>6</v>
      </c>
      <c r="E339" s="379">
        <f>-8-D339</f>
        <v>-14</v>
      </c>
      <c r="F339" s="379">
        <f>-16+9-E339-D339</f>
        <v>1</v>
      </c>
      <c r="G339" s="379">
        <f>3-54-F339-E339-D339</f>
        <v>-44</v>
      </c>
      <c r="H339" s="380">
        <f t="shared" si="124"/>
        <v>-51</v>
      </c>
      <c r="I339" s="379">
        <f>-15+2</f>
        <v>-13</v>
      </c>
      <c r="J339" s="379">
        <f>-5-I339</f>
        <v>8</v>
      </c>
      <c r="K339" s="379">
        <f>2-J339-I339</f>
        <v>7</v>
      </c>
      <c r="L339" s="379">
        <f>18-K339-J339-I339</f>
        <v>16</v>
      </c>
      <c r="M339" s="380">
        <f t="shared" si="125"/>
        <v>18</v>
      </c>
      <c r="N339" s="379">
        <v>-6</v>
      </c>
      <c r="O339" s="379">
        <f>3-N339</f>
        <v>9</v>
      </c>
      <c r="P339" s="379">
        <f>6-O339-N339</f>
        <v>3</v>
      </c>
      <c r="Q339" s="379">
        <f>10-P339-O339-N339</f>
        <v>4</v>
      </c>
      <c r="R339" s="380">
        <f t="shared" si="126"/>
        <v>10</v>
      </c>
      <c r="S339" s="379">
        <v>4</v>
      </c>
      <c r="T339" s="242">
        <v>0</v>
      </c>
      <c r="U339" s="242">
        <v>0</v>
      </c>
      <c r="V339" s="242">
        <v>0</v>
      </c>
      <c r="W339" s="380">
        <f t="shared" si="128"/>
        <v>4</v>
      </c>
      <c r="X339" s="242">
        <v>0</v>
      </c>
      <c r="Y339" s="242">
        <v>0</v>
      </c>
      <c r="Z339" s="242">
        <v>0</v>
      </c>
      <c r="AA339" s="242">
        <v>0</v>
      </c>
      <c r="AB339" s="380">
        <f t="shared" si="130"/>
        <v>0</v>
      </c>
      <c r="AC339" s="242">
        <v>0</v>
      </c>
      <c r="AD339" s="242">
        <v>0</v>
      </c>
      <c r="AE339" s="242">
        <v>0</v>
      </c>
      <c r="AF339" s="242">
        <v>0</v>
      </c>
      <c r="AG339" s="380">
        <f t="shared" si="132"/>
        <v>0</v>
      </c>
      <c r="AH339" s="242">
        <v>0</v>
      </c>
      <c r="AI339" s="242">
        <v>0</v>
      </c>
      <c r="AJ339" s="242">
        <v>0</v>
      </c>
      <c r="AK339" s="242">
        <v>0</v>
      </c>
      <c r="AL339" s="380">
        <f t="shared" si="134"/>
        <v>0</v>
      </c>
      <c r="AM339" s="242">
        <v>0</v>
      </c>
      <c r="AN339" s="242">
        <v>0</v>
      </c>
      <c r="AO339" s="242">
        <v>0</v>
      </c>
      <c r="AP339" s="242">
        <v>0</v>
      </c>
      <c r="AQ339" s="380">
        <f t="shared" si="136"/>
        <v>0</v>
      </c>
    </row>
    <row r="340" spans="2:44" outlineLevel="1" x14ac:dyDescent="0.3">
      <c r="B340" s="722" t="s">
        <v>19</v>
      </c>
      <c r="C340" s="723"/>
      <c r="D340" s="363">
        <f t="shared" ref="D340:AQ340" si="137">SUM(D332:D339)</f>
        <v>-224</v>
      </c>
      <c r="E340" s="363">
        <f t="shared" si="137"/>
        <v>257</v>
      </c>
      <c r="F340" s="363">
        <f t="shared" si="137"/>
        <v>-1094</v>
      </c>
      <c r="G340" s="363">
        <f t="shared" si="137"/>
        <v>4672</v>
      </c>
      <c r="H340" s="364">
        <f t="shared" si="137"/>
        <v>3611</v>
      </c>
      <c r="I340" s="363">
        <f t="shared" si="137"/>
        <v>-313</v>
      </c>
      <c r="J340" s="363">
        <f t="shared" si="137"/>
        <v>-118</v>
      </c>
      <c r="K340" s="363">
        <f t="shared" si="137"/>
        <v>1162</v>
      </c>
      <c r="L340" s="363">
        <f t="shared" si="137"/>
        <v>-203</v>
      </c>
      <c r="M340" s="364">
        <f t="shared" si="137"/>
        <v>528</v>
      </c>
      <c r="N340" s="363">
        <f t="shared" si="137"/>
        <v>-88</v>
      </c>
      <c r="O340" s="363">
        <f t="shared" si="137"/>
        <v>-20</v>
      </c>
      <c r="P340" s="363">
        <f t="shared" si="137"/>
        <v>1685</v>
      </c>
      <c r="Q340" s="363">
        <f t="shared" si="137"/>
        <v>-1350</v>
      </c>
      <c r="R340" s="364">
        <f t="shared" si="137"/>
        <v>227</v>
      </c>
      <c r="S340" s="363">
        <f t="shared" si="137"/>
        <v>-472</v>
      </c>
      <c r="T340" s="363">
        <f t="shared" si="137"/>
        <v>193.56061083487907</v>
      </c>
      <c r="U340" s="363">
        <f t="shared" si="137"/>
        <v>158.53142771190085</v>
      </c>
      <c r="V340" s="363">
        <f t="shared" si="137"/>
        <v>1028.5917753038675</v>
      </c>
      <c r="W340" s="364">
        <f t="shared" si="137"/>
        <v>908.68381385064731</v>
      </c>
      <c r="X340" s="363">
        <f t="shared" si="137"/>
        <v>103.31940210956589</v>
      </c>
      <c r="Y340" s="363">
        <f t="shared" si="137"/>
        <v>290.95787927448714</v>
      </c>
      <c r="Z340" s="363">
        <f t="shared" si="137"/>
        <v>227.60552508618917</v>
      </c>
      <c r="AA340" s="363">
        <f t="shared" si="137"/>
        <v>932.06335221816244</v>
      </c>
      <c r="AB340" s="364">
        <f t="shared" si="137"/>
        <v>1553.9461586884049</v>
      </c>
      <c r="AC340" s="363">
        <f t="shared" si="137"/>
        <v>316.27270163451556</v>
      </c>
      <c r="AD340" s="363">
        <f t="shared" si="137"/>
        <v>362.90331868556052</v>
      </c>
      <c r="AE340" s="363">
        <f t="shared" si="137"/>
        <v>303.50321403170693</v>
      </c>
      <c r="AF340" s="363">
        <f t="shared" si="137"/>
        <v>1016.2932661470497</v>
      </c>
      <c r="AG340" s="364">
        <f t="shared" si="137"/>
        <v>1998.9725004988325</v>
      </c>
      <c r="AH340" s="363">
        <f t="shared" si="137"/>
        <v>206.6662976380502</v>
      </c>
      <c r="AI340" s="363">
        <f t="shared" si="137"/>
        <v>234.84211178999075</v>
      </c>
      <c r="AJ340" s="363">
        <f t="shared" si="137"/>
        <v>212.55748387396815</v>
      </c>
      <c r="AK340" s="363">
        <f t="shared" si="137"/>
        <v>986.47488118638307</v>
      </c>
      <c r="AL340" s="364">
        <f t="shared" si="137"/>
        <v>1640.5407744883921</v>
      </c>
      <c r="AM340" s="363">
        <f t="shared" si="137"/>
        <v>267.54781280133938</v>
      </c>
      <c r="AN340" s="363">
        <f t="shared" si="137"/>
        <v>285.30354373072043</v>
      </c>
      <c r="AO340" s="363">
        <f t="shared" si="137"/>
        <v>275.6031321273519</v>
      </c>
      <c r="AP340" s="363">
        <f t="shared" si="137"/>
        <v>1060.0986786217918</v>
      </c>
      <c r="AQ340" s="364">
        <f t="shared" si="137"/>
        <v>1888.5531672812037</v>
      </c>
    </row>
    <row r="341" spans="2:44" outlineLevel="1" x14ac:dyDescent="0.3">
      <c r="B341" s="299" t="s">
        <v>242</v>
      </c>
      <c r="C341" s="300"/>
      <c r="D341" s="278">
        <v>-38</v>
      </c>
      <c r="E341" s="278">
        <f>-53-D341</f>
        <v>-15</v>
      </c>
      <c r="F341" s="278">
        <f>-78-E341-D341</f>
        <v>-25</v>
      </c>
      <c r="G341" s="278">
        <f>-102-F341-E341-D341</f>
        <v>-24</v>
      </c>
      <c r="H341" s="400">
        <f>SUM(D341:G341)</f>
        <v>-102</v>
      </c>
      <c r="I341" s="278">
        <v>3</v>
      </c>
      <c r="J341" s="278">
        <f>-98-I341</f>
        <v>-101</v>
      </c>
      <c r="K341" s="278">
        <f>-70-J341-I341</f>
        <v>28</v>
      </c>
      <c r="L341" s="278">
        <f>-42-K341-J341-I341</f>
        <v>28</v>
      </c>
      <c r="M341" s="400">
        <f>SUM(I341:L341)</f>
        <v>-42</v>
      </c>
      <c r="N341" s="278">
        <v>70</v>
      </c>
      <c r="O341" s="278">
        <f>62-N341</f>
        <v>-8</v>
      </c>
      <c r="P341" s="278">
        <f>98-O341-N341</f>
        <v>36</v>
      </c>
      <c r="Q341" s="278">
        <f>72-P341-O341-N341</f>
        <v>-26</v>
      </c>
      <c r="R341" s="373">
        <f>SUM(N341:Q341)</f>
        <v>72</v>
      </c>
      <c r="S341" s="372">
        <v>-24</v>
      </c>
      <c r="T341" s="402">
        <v>0</v>
      </c>
      <c r="U341" s="402">
        <v>0</v>
      </c>
      <c r="V341" s="402">
        <v>0</v>
      </c>
      <c r="W341" s="400">
        <f>SUM(S341:V341)</f>
        <v>-24</v>
      </c>
      <c r="X341" s="402">
        <v>0</v>
      </c>
      <c r="Y341" s="402">
        <v>0</v>
      </c>
      <c r="Z341" s="402">
        <v>0</v>
      </c>
      <c r="AA341" s="402">
        <v>0</v>
      </c>
      <c r="AB341" s="400">
        <f>SUM(X341:AA341)</f>
        <v>0</v>
      </c>
      <c r="AC341" s="402">
        <v>0</v>
      </c>
      <c r="AD341" s="402">
        <v>0</v>
      </c>
      <c r="AE341" s="402">
        <v>0</v>
      </c>
      <c r="AF341" s="402">
        <v>0</v>
      </c>
      <c r="AG341" s="400">
        <f>SUM(AC341:AF341)</f>
        <v>0</v>
      </c>
      <c r="AH341" s="402">
        <v>0</v>
      </c>
      <c r="AI341" s="402">
        <v>0</v>
      </c>
      <c r="AJ341" s="402">
        <v>0</v>
      </c>
      <c r="AK341" s="402">
        <v>0</v>
      </c>
      <c r="AL341" s="400">
        <f>SUM(AH341:AK341)</f>
        <v>0</v>
      </c>
      <c r="AM341" s="402">
        <v>0</v>
      </c>
      <c r="AN341" s="402">
        <v>0</v>
      </c>
      <c r="AO341" s="402">
        <v>0</v>
      </c>
      <c r="AP341" s="402">
        <v>0</v>
      </c>
      <c r="AQ341" s="400">
        <f>SUM(AM341:AP341)</f>
        <v>0</v>
      </c>
    </row>
    <row r="342" spans="2:44" outlineLevel="1" x14ac:dyDescent="0.3">
      <c r="B342" s="703" t="s">
        <v>20</v>
      </c>
      <c r="C342" s="704"/>
      <c r="D342" s="93">
        <f t="shared" ref="D342:AQ342" si="138">D340+D330+D325+D341</f>
        <v>-220</v>
      </c>
      <c r="E342" s="93">
        <f t="shared" si="138"/>
        <v>104</v>
      </c>
      <c r="F342" s="93">
        <f t="shared" si="138"/>
        <v>-806</v>
      </c>
      <c r="G342" s="93">
        <f t="shared" si="138"/>
        <v>693</v>
      </c>
      <c r="H342" s="94">
        <f t="shared" si="138"/>
        <v>-229</v>
      </c>
      <c r="I342" s="93">
        <f t="shared" si="138"/>
        <v>-545</v>
      </c>
      <c r="J342" s="93">
        <f t="shared" si="138"/>
        <v>70</v>
      </c>
      <c r="K342" s="93">
        <f t="shared" si="138"/>
        <v>114</v>
      </c>
      <c r="L342" s="93">
        <f t="shared" si="138"/>
        <v>796</v>
      </c>
      <c r="M342" s="94">
        <f t="shared" si="138"/>
        <v>435</v>
      </c>
      <c r="N342" s="93">
        <f t="shared" si="138"/>
        <v>-466</v>
      </c>
      <c r="O342" s="93">
        <f t="shared" si="138"/>
        <v>-735</v>
      </c>
      <c r="P342" s="93">
        <f t="shared" si="138"/>
        <v>21</v>
      </c>
      <c r="Q342" s="93">
        <f t="shared" si="138"/>
        <v>476.12578599999688</v>
      </c>
      <c r="R342" s="94">
        <f t="shared" si="138"/>
        <v>-703.87421400000312</v>
      </c>
      <c r="S342" s="100">
        <f t="shared" si="138"/>
        <v>-896</v>
      </c>
      <c r="T342" s="93">
        <f t="shared" si="138"/>
        <v>495.66372219720915</v>
      </c>
      <c r="U342" s="93">
        <f t="shared" si="138"/>
        <v>16.029980006262576</v>
      </c>
      <c r="V342" s="93">
        <f t="shared" si="138"/>
        <v>2631.7652577574072</v>
      </c>
      <c r="W342" s="94">
        <f t="shared" si="138"/>
        <v>2247.4589599608935</v>
      </c>
      <c r="X342" s="93">
        <f t="shared" si="138"/>
        <v>610.66930875287858</v>
      </c>
      <c r="Y342" s="93">
        <f t="shared" si="138"/>
        <v>711.11148671146407</v>
      </c>
      <c r="Z342" s="93">
        <f t="shared" si="138"/>
        <v>556.23134227319679</v>
      </c>
      <c r="AA342" s="93">
        <f t="shared" si="138"/>
        <v>2694.892025016522</v>
      </c>
      <c r="AB342" s="94">
        <f t="shared" si="138"/>
        <v>4572.9041627540628</v>
      </c>
      <c r="AC342" s="93">
        <f t="shared" si="138"/>
        <v>904.22210402667952</v>
      </c>
      <c r="AD342" s="93">
        <f t="shared" si="138"/>
        <v>1101.1483616732676</v>
      </c>
      <c r="AE342" s="93">
        <f t="shared" si="138"/>
        <v>667.19719186416273</v>
      </c>
      <c r="AF342" s="93">
        <f t="shared" si="138"/>
        <v>3133.2871283269851</v>
      </c>
      <c r="AG342" s="94">
        <f t="shared" si="138"/>
        <v>5805.8547858911006</v>
      </c>
      <c r="AH342" s="93">
        <f t="shared" si="138"/>
        <v>843.51214772566209</v>
      </c>
      <c r="AI342" s="93">
        <f t="shared" si="138"/>
        <v>966.96419214464277</v>
      </c>
      <c r="AJ342" s="93">
        <f t="shared" si="138"/>
        <v>553.06466785081693</v>
      </c>
      <c r="AK342" s="93">
        <f t="shared" si="138"/>
        <v>3184.8558828782416</v>
      </c>
      <c r="AL342" s="94">
        <f t="shared" si="138"/>
        <v>5548.3968905993524</v>
      </c>
      <c r="AM342" s="93">
        <f t="shared" si="138"/>
        <v>928.94686982960843</v>
      </c>
      <c r="AN342" s="93">
        <f t="shared" si="138"/>
        <v>1063.0972721234525</v>
      </c>
      <c r="AO342" s="93">
        <f t="shared" si="138"/>
        <v>572.1696216303294</v>
      </c>
      <c r="AP342" s="93">
        <f t="shared" si="138"/>
        <v>3390.4087695910321</v>
      </c>
      <c r="AQ342" s="94">
        <f t="shared" si="138"/>
        <v>5954.6225331744326</v>
      </c>
    </row>
    <row r="343" spans="2:44" ht="16.2" outlineLevel="1" x14ac:dyDescent="0.45">
      <c r="B343" s="703" t="s">
        <v>21</v>
      </c>
      <c r="C343" s="704"/>
      <c r="D343" s="98">
        <v>3763</v>
      </c>
      <c r="E343" s="98">
        <f>D344</f>
        <v>3543</v>
      </c>
      <c r="F343" s="98">
        <f>E344</f>
        <v>3647</v>
      </c>
      <c r="G343" s="98">
        <f>F344</f>
        <v>2841</v>
      </c>
      <c r="H343" s="99">
        <v>3763</v>
      </c>
      <c r="I343" s="98">
        <f>H344</f>
        <v>3534</v>
      </c>
      <c r="J343" s="98">
        <f>I344</f>
        <v>2989</v>
      </c>
      <c r="K343" s="98">
        <f>J344</f>
        <v>3059</v>
      </c>
      <c r="L343" s="98">
        <f>K344</f>
        <v>3173</v>
      </c>
      <c r="M343" s="99">
        <f>H344</f>
        <v>3534</v>
      </c>
      <c r="N343" s="98">
        <f>M344</f>
        <v>3969</v>
      </c>
      <c r="O343" s="98">
        <f>N344</f>
        <v>3503</v>
      </c>
      <c r="P343" s="98">
        <f>O344</f>
        <v>2768</v>
      </c>
      <c r="Q343" s="98">
        <f>P344</f>
        <v>2789</v>
      </c>
      <c r="R343" s="99">
        <f>M344</f>
        <v>3969</v>
      </c>
      <c r="S343" s="101">
        <f>R344</f>
        <v>3265.1257859999969</v>
      </c>
      <c r="T343" s="98">
        <f>S344</f>
        <v>2369.1257859999969</v>
      </c>
      <c r="U343" s="98">
        <f>T344</f>
        <v>2864.789508197206</v>
      </c>
      <c r="V343" s="98">
        <f>U344</f>
        <v>2880.8194882034686</v>
      </c>
      <c r="W343" s="99">
        <f>R344</f>
        <v>3265.1257859999969</v>
      </c>
      <c r="X343" s="98">
        <f>W344</f>
        <v>5512.5847459608904</v>
      </c>
      <c r="Y343" s="98">
        <f>X344</f>
        <v>6123.2540547137687</v>
      </c>
      <c r="Z343" s="98">
        <f>Y344</f>
        <v>6834.3655414252325</v>
      </c>
      <c r="AA343" s="98">
        <f>Z344</f>
        <v>7390.5968836984293</v>
      </c>
      <c r="AB343" s="99">
        <f>W344</f>
        <v>5512.5847459608904</v>
      </c>
      <c r="AC343" s="98">
        <f>AB344</f>
        <v>10085.488908714953</v>
      </c>
      <c r="AD343" s="98">
        <f>AC344</f>
        <v>10989.711012741633</v>
      </c>
      <c r="AE343" s="98">
        <f>AD344</f>
        <v>12090.8593744149</v>
      </c>
      <c r="AF343" s="98">
        <f>AE344</f>
        <v>12758.056566279063</v>
      </c>
      <c r="AG343" s="99">
        <f>AB344</f>
        <v>10085.488908714953</v>
      </c>
      <c r="AH343" s="98">
        <f>AG344</f>
        <v>15891.343694606054</v>
      </c>
      <c r="AI343" s="98">
        <f>AH344</f>
        <v>16734.855842331715</v>
      </c>
      <c r="AJ343" s="98">
        <f>AI344</f>
        <v>17701.820034476357</v>
      </c>
      <c r="AK343" s="98">
        <f>AJ344</f>
        <v>18254.884702327174</v>
      </c>
      <c r="AL343" s="99">
        <f>AG344</f>
        <v>15891.343694606054</v>
      </c>
      <c r="AM343" s="98">
        <f>AL344</f>
        <v>21439.740585205407</v>
      </c>
      <c r="AN343" s="98">
        <f>AM344</f>
        <v>22368.687455035015</v>
      </c>
      <c r="AO343" s="98">
        <f>AN344</f>
        <v>23431.784727158469</v>
      </c>
      <c r="AP343" s="98">
        <f>AO344</f>
        <v>24003.954348788797</v>
      </c>
      <c r="AQ343" s="99">
        <f>AL344</f>
        <v>21439.740585205407</v>
      </c>
    </row>
    <row r="344" spans="2:44" outlineLevel="1" x14ac:dyDescent="0.3">
      <c r="B344" s="753" t="s">
        <v>22</v>
      </c>
      <c r="C344" s="754"/>
      <c r="D344" s="107">
        <f>D343+D342</f>
        <v>3543</v>
      </c>
      <c r="E344" s="107">
        <f>E343+E342</f>
        <v>3647</v>
      </c>
      <c r="F344" s="107">
        <f>F343+F342</f>
        <v>2841</v>
      </c>
      <c r="G344" s="107">
        <f>G343+G342</f>
        <v>3534</v>
      </c>
      <c r="H344" s="108">
        <f>G344</f>
        <v>3534</v>
      </c>
      <c r="I344" s="107">
        <f t="shared" ref="I344:AQ344" si="139">I343+I342</f>
        <v>2989</v>
      </c>
      <c r="J344" s="107">
        <f t="shared" si="139"/>
        <v>3059</v>
      </c>
      <c r="K344" s="107">
        <f t="shared" si="139"/>
        <v>3173</v>
      </c>
      <c r="L344" s="107">
        <f t="shared" si="139"/>
        <v>3969</v>
      </c>
      <c r="M344" s="108">
        <f t="shared" si="139"/>
        <v>3969</v>
      </c>
      <c r="N344" s="107">
        <f t="shared" si="139"/>
        <v>3503</v>
      </c>
      <c r="O344" s="107">
        <f t="shared" si="139"/>
        <v>2768</v>
      </c>
      <c r="P344" s="107">
        <f t="shared" si="139"/>
        <v>2789</v>
      </c>
      <c r="Q344" s="107">
        <f t="shared" si="139"/>
        <v>3265.1257859999969</v>
      </c>
      <c r="R344" s="108">
        <f t="shared" si="139"/>
        <v>3265.1257859999969</v>
      </c>
      <c r="S344" s="109">
        <f t="shared" si="139"/>
        <v>2369.1257859999969</v>
      </c>
      <c r="T344" s="107">
        <f t="shared" si="139"/>
        <v>2864.789508197206</v>
      </c>
      <c r="U344" s="107">
        <f t="shared" si="139"/>
        <v>2880.8194882034686</v>
      </c>
      <c r="V344" s="107">
        <f t="shared" si="139"/>
        <v>5512.5847459608758</v>
      </c>
      <c r="W344" s="108">
        <f t="shared" si="139"/>
        <v>5512.5847459608904</v>
      </c>
      <c r="X344" s="107">
        <f t="shared" si="139"/>
        <v>6123.2540547137687</v>
      </c>
      <c r="Y344" s="107">
        <f t="shared" si="139"/>
        <v>6834.3655414252325</v>
      </c>
      <c r="Z344" s="107">
        <f t="shared" si="139"/>
        <v>7390.5968836984293</v>
      </c>
      <c r="AA344" s="107">
        <f t="shared" si="139"/>
        <v>10085.488908714951</v>
      </c>
      <c r="AB344" s="108">
        <f t="shared" si="139"/>
        <v>10085.488908714953</v>
      </c>
      <c r="AC344" s="107">
        <f t="shared" si="139"/>
        <v>10989.711012741633</v>
      </c>
      <c r="AD344" s="107">
        <f t="shared" si="139"/>
        <v>12090.8593744149</v>
      </c>
      <c r="AE344" s="107">
        <f t="shared" si="139"/>
        <v>12758.056566279063</v>
      </c>
      <c r="AF344" s="107">
        <f t="shared" si="139"/>
        <v>15891.343694606048</v>
      </c>
      <c r="AG344" s="108">
        <f t="shared" si="139"/>
        <v>15891.343694606054</v>
      </c>
      <c r="AH344" s="107">
        <f t="shared" si="139"/>
        <v>16734.855842331715</v>
      </c>
      <c r="AI344" s="107">
        <f t="shared" si="139"/>
        <v>17701.820034476357</v>
      </c>
      <c r="AJ344" s="107">
        <f t="shared" si="139"/>
        <v>18254.884702327174</v>
      </c>
      <c r="AK344" s="107">
        <f t="shared" si="139"/>
        <v>21439.740585205414</v>
      </c>
      <c r="AL344" s="108">
        <f t="shared" si="139"/>
        <v>21439.740585205407</v>
      </c>
      <c r="AM344" s="107">
        <f t="shared" si="139"/>
        <v>22368.687455035015</v>
      </c>
      <c r="AN344" s="107">
        <f t="shared" si="139"/>
        <v>23431.784727158469</v>
      </c>
      <c r="AO344" s="107">
        <f t="shared" si="139"/>
        <v>24003.954348788797</v>
      </c>
      <c r="AP344" s="107">
        <f t="shared" si="139"/>
        <v>27394.363118379828</v>
      </c>
      <c r="AQ344" s="108">
        <f t="shared" si="139"/>
        <v>27394.363118379839</v>
      </c>
    </row>
    <row r="345" spans="2:44" s="111" customFormat="1" outlineLevel="1" x14ac:dyDescent="0.3">
      <c r="B345" s="730" t="s">
        <v>342</v>
      </c>
      <c r="C345" s="731"/>
      <c r="D345" s="374"/>
      <c r="E345" s="374"/>
      <c r="F345" s="374"/>
      <c r="G345" s="374"/>
      <c r="H345" s="375">
        <f>H325-(-H327)+((-H29)*(1-$C$386))</f>
        <v>1142</v>
      </c>
      <c r="I345" s="374"/>
      <c r="J345" s="374"/>
      <c r="K345" s="374"/>
      <c r="L345" s="374"/>
      <c r="M345" s="375">
        <f>M325-(-M327)+((-M29)*(1-$C$386))</f>
        <v>198</v>
      </c>
      <c r="N345" s="374"/>
      <c r="O345" s="374"/>
      <c r="P345" s="374"/>
      <c r="Q345" s="374"/>
      <c r="R345" s="375">
        <f>R325-(-R327)+((-R29)*(1-$C$386))</f>
        <v>-570.37421400000312</v>
      </c>
      <c r="S345" s="374"/>
      <c r="T345" s="374"/>
      <c r="U345" s="374"/>
      <c r="V345" s="374"/>
      <c r="W345" s="375">
        <f>W325-(-W327)+((-W29)*(1-$C$386))</f>
        <v>1885.0802105570287</v>
      </c>
      <c r="X345" s="374"/>
      <c r="Y345" s="374"/>
      <c r="Z345" s="374"/>
      <c r="AA345" s="374"/>
      <c r="AB345" s="375">
        <f>AB325-(-AB327)+((-AB29)*(1-$C$386))</f>
        <v>3726.3668742127056</v>
      </c>
      <c r="AC345" s="374"/>
      <c r="AD345" s="374"/>
      <c r="AE345" s="374"/>
      <c r="AF345" s="374"/>
      <c r="AG345" s="375">
        <f>AG325-(-AG327)+((-AG29)*(1-$C$386))</f>
        <v>4605.9642155004285</v>
      </c>
      <c r="AH345" s="374"/>
      <c r="AI345" s="374"/>
      <c r="AJ345" s="374"/>
      <c r="AK345" s="374"/>
      <c r="AL345" s="375">
        <f>AL325-(-AL327)+((-AL29)*(1-$C$386))</f>
        <v>4801.7436699236132</v>
      </c>
      <c r="AM345" s="374"/>
      <c r="AN345" s="374"/>
      <c r="AO345" s="374"/>
      <c r="AP345" s="374"/>
      <c r="AQ345" s="375">
        <f>AQ325-(-AQ327)+((-AQ29)*(1-$C$386))</f>
        <v>5048.3518461024269</v>
      </c>
      <c r="AR345" s="511"/>
    </row>
    <row r="346" spans="2:44" s="111" customFormat="1" outlineLevel="1" x14ac:dyDescent="0.3">
      <c r="B346" s="178" t="s">
        <v>61</v>
      </c>
      <c r="C346" s="128"/>
      <c r="D346" s="377"/>
      <c r="E346" s="377"/>
      <c r="F346" s="377"/>
      <c r="G346" s="377"/>
      <c r="H346" s="378">
        <v>0</v>
      </c>
      <c r="I346" s="377"/>
      <c r="J346" s="377"/>
      <c r="K346" s="377"/>
      <c r="L346" s="377"/>
      <c r="M346" s="378">
        <v>0</v>
      </c>
      <c r="N346" s="377"/>
      <c r="O346" s="377"/>
      <c r="P346" s="377"/>
      <c r="Q346" s="377"/>
      <c r="R346" s="378">
        <v>0</v>
      </c>
      <c r="S346" s="377"/>
      <c r="T346" s="377"/>
      <c r="U346" s="377"/>
      <c r="V346" s="377"/>
      <c r="W346" s="378">
        <f>R346+1</f>
        <v>1</v>
      </c>
      <c r="X346" s="377"/>
      <c r="Y346" s="377"/>
      <c r="Z346" s="377"/>
      <c r="AA346" s="377"/>
      <c r="AB346" s="378">
        <f>W346+1</f>
        <v>2</v>
      </c>
      <c r="AC346" s="377"/>
      <c r="AD346" s="377"/>
      <c r="AE346" s="377"/>
      <c r="AF346" s="377"/>
      <c r="AG346" s="378">
        <f>AB346+1</f>
        <v>3</v>
      </c>
      <c r="AH346" s="377"/>
      <c r="AI346" s="377"/>
      <c r="AJ346" s="377"/>
      <c r="AK346" s="377"/>
      <c r="AL346" s="378">
        <f>AG346+1</f>
        <v>4</v>
      </c>
      <c r="AM346" s="377"/>
      <c r="AN346" s="377"/>
      <c r="AO346" s="377"/>
      <c r="AP346" s="377"/>
      <c r="AQ346" s="378">
        <f>AL346+1</f>
        <v>5</v>
      </c>
    </row>
    <row r="347" spans="2:44" s="111" customFormat="1" outlineLevel="1" x14ac:dyDescent="0.3">
      <c r="B347" s="747" t="s">
        <v>31</v>
      </c>
      <c r="C347" s="748"/>
      <c r="D347" s="385"/>
      <c r="E347" s="385"/>
      <c r="F347" s="385"/>
      <c r="G347" s="385"/>
      <c r="H347" s="386">
        <f>H345/(1+$C$388)^H346</f>
        <v>1142</v>
      </c>
      <c r="I347" s="385"/>
      <c r="J347" s="385"/>
      <c r="K347" s="385"/>
      <c r="L347" s="385"/>
      <c r="M347" s="386">
        <f>M345/(1+$C$388)^M346</f>
        <v>198</v>
      </c>
      <c r="N347" s="385"/>
      <c r="O347" s="385"/>
      <c r="P347" s="385"/>
      <c r="Q347" s="385"/>
      <c r="R347" s="386">
        <f>R345/(1+$C$388)^R346</f>
        <v>-570.37421400000312</v>
      </c>
      <c r="S347" s="385"/>
      <c r="T347" s="385"/>
      <c r="U347" s="385"/>
      <c r="V347" s="385"/>
      <c r="W347" s="386">
        <f>W345/(1+$C$388)^W346</f>
        <v>1753.0577318124799</v>
      </c>
      <c r="X347" s="385"/>
      <c r="Y347" s="385"/>
      <c r="Z347" s="385"/>
      <c r="AA347" s="385"/>
      <c r="AB347" s="386">
        <f>AB345/(1+$C$388)^AB346</f>
        <v>3222.6888693474648</v>
      </c>
      <c r="AC347" s="385"/>
      <c r="AD347" s="385"/>
      <c r="AE347" s="385"/>
      <c r="AF347" s="385"/>
      <c r="AG347" s="386">
        <f>AG345/(1+$C$388)^AG346</f>
        <v>3704.4156679683097</v>
      </c>
      <c r="AH347" s="385"/>
      <c r="AI347" s="385"/>
      <c r="AJ347" s="385"/>
      <c r="AK347" s="385"/>
      <c r="AL347" s="386">
        <f>AL345/(1+$C$388)^AL346</f>
        <v>3591.4060480025714</v>
      </c>
      <c r="AM347" s="385"/>
      <c r="AN347" s="385"/>
      <c r="AO347" s="385"/>
      <c r="AP347" s="385"/>
      <c r="AQ347" s="386">
        <f>AQ345/(1+$C$388)^AQ346</f>
        <v>3511.4099626304655</v>
      </c>
    </row>
    <row r="348" spans="2:44" outlineLevel="1" x14ac:dyDescent="0.3">
      <c r="B348" s="257" t="s">
        <v>81</v>
      </c>
      <c r="C348" s="314"/>
      <c r="D348" s="278"/>
      <c r="E348" s="73"/>
      <c r="F348" s="73"/>
      <c r="G348" s="73"/>
      <c r="H348" s="74"/>
      <c r="I348" s="73"/>
      <c r="J348" s="73"/>
      <c r="K348" s="73"/>
      <c r="L348" s="73"/>
      <c r="M348" s="74"/>
      <c r="N348" s="73"/>
      <c r="O348" s="73"/>
      <c r="P348" s="73"/>
      <c r="Q348" s="73"/>
      <c r="R348" s="74"/>
      <c r="S348" s="73"/>
      <c r="T348" s="73"/>
      <c r="U348" s="73"/>
      <c r="V348" s="73"/>
      <c r="W348" s="74"/>
      <c r="X348" s="73"/>
      <c r="Y348" s="73"/>
      <c r="Z348" s="73"/>
      <c r="AA348" s="73"/>
      <c r="AB348" s="74"/>
      <c r="AC348" s="73"/>
      <c r="AD348" s="73"/>
      <c r="AE348" s="73"/>
      <c r="AF348" s="73"/>
      <c r="AG348" s="74"/>
      <c r="AH348" s="73"/>
      <c r="AI348" s="73"/>
      <c r="AJ348" s="73"/>
      <c r="AK348" s="73"/>
      <c r="AL348" s="74"/>
      <c r="AM348" s="73"/>
      <c r="AN348" s="73"/>
      <c r="AO348" s="73"/>
      <c r="AP348" s="73"/>
      <c r="AQ348" s="74"/>
    </row>
    <row r="349" spans="2:44" outlineLevel="1" x14ac:dyDescent="0.3">
      <c r="B349" s="286" t="s">
        <v>344</v>
      </c>
      <c r="C349" s="287"/>
      <c r="D349" s="93">
        <f t="shared" ref="D349:AQ349" si="140">+D249</f>
        <v>3543</v>
      </c>
      <c r="E349" s="93">
        <f t="shared" si="140"/>
        <v>3647</v>
      </c>
      <c r="F349" s="93">
        <f t="shared" si="140"/>
        <v>2841</v>
      </c>
      <c r="G349" s="93">
        <f t="shared" si="140"/>
        <v>3534</v>
      </c>
      <c r="H349" s="94">
        <f t="shared" si="140"/>
        <v>3534</v>
      </c>
      <c r="I349" s="93">
        <f t="shared" si="140"/>
        <v>2989</v>
      </c>
      <c r="J349" s="93">
        <f t="shared" si="140"/>
        <v>3059</v>
      </c>
      <c r="K349" s="93">
        <f t="shared" si="140"/>
        <v>3173</v>
      </c>
      <c r="L349" s="93">
        <f t="shared" si="140"/>
        <v>3969</v>
      </c>
      <c r="M349" s="94">
        <f t="shared" si="140"/>
        <v>3969</v>
      </c>
      <c r="N349" s="93">
        <f t="shared" si="140"/>
        <v>3503</v>
      </c>
      <c r="O349" s="93">
        <f t="shared" si="140"/>
        <v>2768</v>
      </c>
      <c r="P349" s="93">
        <f t="shared" si="140"/>
        <v>2789</v>
      </c>
      <c r="Q349" s="93">
        <f t="shared" si="140"/>
        <v>3265.1257859999969</v>
      </c>
      <c r="R349" s="94">
        <f t="shared" si="140"/>
        <v>3265.1257859999969</v>
      </c>
      <c r="S349" s="93">
        <f t="shared" si="140"/>
        <v>2369.1257859999969</v>
      </c>
      <c r="T349" s="93">
        <f t="shared" si="140"/>
        <v>2864.789508197206</v>
      </c>
      <c r="U349" s="93">
        <f t="shared" si="140"/>
        <v>2880.8194882034686</v>
      </c>
      <c r="V349" s="93">
        <f t="shared" si="140"/>
        <v>5512.5847459608758</v>
      </c>
      <c r="W349" s="94">
        <f t="shared" si="140"/>
        <v>5512.5847459608758</v>
      </c>
      <c r="X349" s="93">
        <f t="shared" si="140"/>
        <v>6123.2540547137687</v>
      </c>
      <c r="Y349" s="93">
        <f t="shared" si="140"/>
        <v>6834.3655414252325</v>
      </c>
      <c r="Z349" s="93">
        <f t="shared" si="140"/>
        <v>7390.5968836984293</v>
      </c>
      <c r="AA349" s="93">
        <f t="shared" si="140"/>
        <v>10085.488908714951</v>
      </c>
      <c r="AB349" s="94">
        <f t="shared" si="140"/>
        <v>10085.488908714951</v>
      </c>
      <c r="AC349" s="93">
        <f t="shared" si="140"/>
        <v>10989.711012741633</v>
      </c>
      <c r="AD349" s="93">
        <f t="shared" si="140"/>
        <v>12090.8593744149</v>
      </c>
      <c r="AE349" s="93">
        <f t="shared" si="140"/>
        <v>12758.056566279063</v>
      </c>
      <c r="AF349" s="93">
        <f t="shared" si="140"/>
        <v>15891.343694606048</v>
      </c>
      <c r="AG349" s="94">
        <f t="shared" si="140"/>
        <v>15891.343694606048</v>
      </c>
      <c r="AH349" s="93">
        <f t="shared" si="140"/>
        <v>16734.855842331715</v>
      </c>
      <c r="AI349" s="93">
        <f t="shared" si="140"/>
        <v>17701.820034476357</v>
      </c>
      <c r="AJ349" s="93">
        <f t="shared" si="140"/>
        <v>18254.884702327174</v>
      </c>
      <c r="AK349" s="93">
        <f t="shared" si="140"/>
        <v>21439.740585205414</v>
      </c>
      <c r="AL349" s="94">
        <f t="shared" si="140"/>
        <v>21439.740585205414</v>
      </c>
      <c r="AM349" s="93">
        <f t="shared" si="140"/>
        <v>22368.687455035015</v>
      </c>
      <c r="AN349" s="93">
        <f t="shared" si="140"/>
        <v>23431.784727158469</v>
      </c>
      <c r="AO349" s="93">
        <f t="shared" si="140"/>
        <v>24003.954348788797</v>
      </c>
      <c r="AP349" s="93">
        <f t="shared" si="140"/>
        <v>27394.363118379828</v>
      </c>
      <c r="AQ349" s="94">
        <f t="shared" si="140"/>
        <v>27394.363118379828</v>
      </c>
    </row>
    <row r="350" spans="2:44" outlineLevel="1" x14ac:dyDescent="0.3">
      <c r="B350" s="286" t="s">
        <v>343</v>
      </c>
      <c r="C350" s="287"/>
      <c r="D350" s="93">
        <f t="shared" ref="D350:AQ350" si="141">-D262-D263-D268</f>
        <v>-7258</v>
      </c>
      <c r="E350" s="93">
        <f t="shared" si="141"/>
        <v>-8495</v>
      </c>
      <c r="F350" s="93">
        <f t="shared" si="141"/>
        <v>-8488</v>
      </c>
      <c r="G350" s="93">
        <f t="shared" si="141"/>
        <v>-13762</v>
      </c>
      <c r="H350" s="94">
        <f t="shared" si="141"/>
        <v>-13762</v>
      </c>
      <c r="I350" s="93">
        <f t="shared" si="141"/>
        <v>-13782</v>
      </c>
      <c r="J350" s="93">
        <f t="shared" si="141"/>
        <v>-13596</v>
      </c>
      <c r="K350" s="93">
        <f t="shared" si="141"/>
        <v>-14758</v>
      </c>
      <c r="L350" s="93">
        <f t="shared" si="141"/>
        <v>-14931</v>
      </c>
      <c r="M350" s="94">
        <f t="shared" si="141"/>
        <v>-14931</v>
      </c>
      <c r="N350" s="93">
        <f t="shared" si="141"/>
        <v>-15156</v>
      </c>
      <c r="O350" s="93">
        <f t="shared" si="141"/>
        <v>-15441</v>
      </c>
      <c r="P350" s="93">
        <f t="shared" si="141"/>
        <v>-17580</v>
      </c>
      <c r="Q350" s="93">
        <f t="shared" si="141"/>
        <v>-16585</v>
      </c>
      <c r="R350" s="94">
        <f t="shared" si="141"/>
        <v>-16585</v>
      </c>
      <c r="S350" s="93">
        <f t="shared" si="141"/>
        <v>-16944</v>
      </c>
      <c r="T350" s="93">
        <f t="shared" si="141"/>
        <v>-17510.194093464012</v>
      </c>
      <c r="U350" s="93">
        <f t="shared" si="141"/>
        <v>-18041.658222236492</v>
      </c>
      <c r="V350" s="93">
        <f t="shared" si="141"/>
        <v>-19343.773002408088</v>
      </c>
      <c r="W350" s="94">
        <f t="shared" si="141"/>
        <v>-19343.773002408088</v>
      </c>
      <c r="X350" s="93">
        <f t="shared" si="141"/>
        <v>-19945.268361404749</v>
      </c>
      <c r="Y350" s="93">
        <f t="shared" si="141"/>
        <v>-20648.969254692944</v>
      </c>
      <c r="Z350" s="93">
        <f t="shared" si="141"/>
        <v>-21288.560449187327</v>
      </c>
      <c r="AA350" s="93">
        <f t="shared" si="141"/>
        <v>-22631.569352471575</v>
      </c>
      <c r="AB350" s="94">
        <f t="shared" si="141"/>
        <v>-22631.569352471575</v>
      </c>
      <c r="AC350" s="93">
        <f t="shared" si="141"/>
        <v>-23436.968812409781</v>
      </c>
      <c r="AD350" s="93">
        <f t="shared" si="141"/>
        <v>-24273.178958422639</v>
      </c>
      <c r="AE350" s="93">
        <f t="shared" si="141"/>
        <v>-25051.545293307106</v>
      </c>
      <c r="AF350" s="93">
        <f t="shared" si="141"/>
        <v>-26544.810142593851</v>
      </c>
      <c r="AG350" s="94">
        <f t="shared" si="141"/>
        <v>-26544.810142593851</v>
      </c>
      <c r="AH350" s="93">
        <f t="shared" si="141"/>
        <v>-27211.774380536754</v>
      </c>
      <c r="AI350" s="93">
        <f t="shared" si="141"/>
        <v>-27886.432852129648</v>
      </c>
      <c r="AJ350" s="93">
        <f t="shared" si="141"/>
        <v>-28517.135699509687</v>
      </c>
      <c r="AK350" s="93">
        <f t="shared" si="141"/>
        <v>-29894.254410779777</v>
      </c>
      <c r="AL350" s="94">
        <f t="shared" si="141"/>
        <v>-29894.254410779777</v>
      </c>
      <c r="AM350" s="93">
        <f t="shared" si="141"/>
        <v>-30567.934433553011</v>
      </c>
      <c r="AN350" s="93">
        <f t="shared" si="141"/>
        <v>-31233.836376570158</v>
      </c>
      <c r="AO350" s="93">
        <f t="shared" si="141"/>
        <v>-31863.043592817165</v>
      </c>
      <c r="AP350" s="93">
        <f t="shared" si="141"/>
        <v>-33248.251996481653</v>
      </c>
      <c r="AQ350" s="94">
        <f t="shared" si="141"/>
        <v>-33248.251996481653</v>
      </c>
    </row>
    <row r="351" spans="2:44" outlineLevel="1" x14ac:dyDescent="0.3">
      <c r="B351" s="751" t="s">
        <v>345</v>
      </c>
      <c r="C351" s="752"/>
      <c r="D351" s="279">
        <f t="shared" ref="D351:AQ351" si="142">(D349+D350)/D42</f>
        <v>-12.98951048951049</v>
      </c>
      <c r="E351" s="279">
        <f t="shared" si="142"/>
        <v>-17.130742049469966</v>
      </c>
      <c r="F351" s="279">
        <f t="shared" si="142"/>
        <v>-20.534545454545455</v>
      </c>
      <c r="G351" s="279">
        <f t="shared" si="142"/>
        <v>-38.022304832713758</v>
      </c>
      <c r="H351" s="280">
        <f t="shared" si="142"/>
        <v>-36.584177015744814</v>
      </c>
      <c r="I351" s="279">
        <f t="shared" si="142"/>
        <v>-40.063103192279144</v>
      </c>
      <c r="J351" s="279">
        <f t="shared" si="142"/>
        <v>-39.025925925925925</v>
      </c>
      <c r="K351" s="279">
        <f t="shared" si="142"/>
        <v>-42.749077490774908</v>
      </c>
      <c r="L351" s="279">
        <f t="shared" si="142"/>
        <v>-40.34596981965403</v>
      </c>
      <c r="M351" s="280">
        <f t="shared" si="142"/>
        <v>-40.489474677232423</v>
      </c>
      <c r="N351" s="279">
        <f t="shared" si="142"/>
        <v>-42.841911764705884</v>
      </c>
      <c r="O351" s="279">
        <f t="shared" si="142"/>
        <v>-46.43939878690918</v>
      </c>
      <c r="P351" s="279">
        <f t="shared" si="142"/>
        <v>-54.179487179487182</v>
      </c>
      <c r="Q351" s="279">
        <f t="shared" si="142"/>
        <v>-49.078386934414162</v>
      </c>
      <c r="R351" s="280">
        <f t="shared" si="142"/>
        <v>-48.916174124127807</v>
      </c>
      <c r="S351" s="279">
        <f t="shared" si="142"/>
        <v>-54.141434673105515</v>
      </c>
      <c r="T351" s="279">
        <f t="shared" si="142"/>
        <v>-54.273162253792627</v>
      </c>
      <c r="U351" s="279">
        <f t="shared" si="142"/>
        <v>-56.119917624908489</v>
      </c>
      <c r="V351" s="279">
        <f t="shared" si="142"/>
        <v>-51.068220743913635</v>
      </c>
      <c r="W351" s="280">
        <f t="shared" si="142"/>
        <v>-51.194481469999673</v>
      </c>
      <c r="X351" s="279">
        <f t="shared" si="142"/>
        <v>-51.060145873680007</v>
      </c>
      <c r="Y351" s="279">
        <f t="shared" si="142"/>
        <v>-50.961502946446636</v>
      </c>
      <c r="Z351" s="279">
        <f t="shared" si="142"/>
        <v>-51.210231189938163</v>
      </c>
      <c r="AA351" s="279">
        <f t="shared" si="142"/>
        <v>-46.175689550083995</v>
      </c>
      <c r="AB351" s="280">
        <f t="shared" si="142"/>
        <v>-46.246975071624874</v>
      </c>
      <c r="AC351" s="279">
        <f t="shared" si="142"/>
        <v>-45.775023421306315</v>
      </c>
      <c r="AD351" s="279">
        <f t="shared" si="142"/>
        <v>-44.749945797181503</v>
      </c>
      <c r="AE351" s="279">
        <f t="shared" si="142"/>
        <v>-45.110111872216194</v>
      </c>
      <c r="AF351" s="279">
        <f t="shared" si="142"/>
        <v>-39.05120890370992</v>
      </c>
      <c r="AG351" s="280">
        <f t="shared" si="142"/>
        <v>-39.106379641617373</v>
      </c>
      <c r="AH351" s="279">
        <f t="shared" si="142"/>
        <v>-38.320766590067102</v>
      </c>
      <c r="AI351" s="279">
        <f t="shared" si="142"/>
        <v>-37.158154153010969</v>
      </c>
      <c r="AJ351" s="279">
        <f t="shared" si="142"/>
        <v>-37.334649558175741</v>
      </c>
      <c r="AK351" s="279">
        <f t="shared" si="142"/>
        <v>-30.656688723469681</v>
      </c>
      <c r="AL351" s="280">
        <f t="shared" si="142"/>
        <v>-30.778376213056081</v>
      </c>
      <c r="AM351" s="279">
        <f t="shared" si="142"/>
        <v>-29.616662400602355</v>
      </c>
      <c r="AN351" s="279">
        <f t="shared" si="142"/>
        <v>-28.065169724675872</v>
      </c>
      <c r="AO351" s="279">
        <f t="shared" si="142"/>
        <v>-28.153241323934626</v>
      </c>
      <c r="AP351" s="279">
        <f t="shared" si="142"/>
        <v>-20.883234086775573</v>
      </c>
      <c r="AQ351" s="280">
        <f t="shared" si="142"/>
        <v>-20.996896208441594</v>
      </c>
    </row>
    <row r="352" spans="2:44" x14ac:dyDescent="0.3">
      <c r="B352" s="746"/>
      <c r="C352" s="746"/>
      <c r="D352" s="82"/>
      <c r="E352" s="81"/>
      <c r="F352" s="81"/>
      <c r="G352" s="82"/>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row>
    <row r="353" spans="2:43" ht="15.6" x14ac:dyDescent="0.3">
      <c r="B353" s="705" t="s">
        <v>27</v>
      </c>
      <c r="C353" s="713"/>
      <c r="D353" s="90" t="s">
        <v>120</v>
      </c>
      <c r="E353" s="90" t="s">
        <v>121</v>
      </c>
      <c r="F353" s="90" t="s">
        <v>122</v>
      </c>
      <c r="G353" s="90" t="s">
        <v>123</v>
      </c>
      <c r="H353" s="403" t="s">
        <v>123</v>
      </c>
      <c r="I353" s="90" t="s">
        <v>124</v>
      </c>
      <c r="J353" s="90" t="s">
        <v>125</v>
      </c>
      <c r="K353" s="90" t="s">
        <v>126</v>
      </c>
      <c r="L353" s="90" t="s">
        <v>127</v>
      </c>
      <c r="M353" s="403" t="s">
        <v>127</v>
      </c>
      <c r="N353" s="90" t="s">
        <v>128</v>
      </c>
      <c r="O353" s="90" t="s">
        <v>129</v>
      </c>
      <c r="P353" s="90" t="s">
        <v>130</v>
      </c>
      <c r="Q353" s="90" t="s">
        <v>131</v>
      </c>
      <c r="R353" s="403" t="s">
        <v>131</v>
      </c>
      <c r="S353" s="90" t="s">
        <v>132</v>
      </c>
      <c r="T353" s="92" t="s">
        <v>133</v>
      </c>
      <c r="U353" s="92" t="s">
        <v>134</v>
      </c>
      <c r="V353" s="92" t="s">
        <v>135</v>
      </c>
      <c r="W353" s="407" t="s">
        <v>135</v>
      </c>
      <c r="X353" s="92" t="s">
        <v>136</v>
      </c>
      <c r="Y353" s="92" t="s">
        <v>137</v>
      </c>
      <c r="Z353" s="92" t="s">
        <v>138</v>
      </c>
      <c r="AA353" s="92" t="s">
        <v>139</v>
      </c>
      <c r="AB353" s="407" t="s">
        <v>139</v>
      </c>
      <c r="AC353" s="92" t="s">
        <v>140</v>
      </c>
      <c r="AD353" s="92" t="s">
        <v>141</v>
      </c>
      <c r="AE353" s="92" t="s">
        <v>142</v>
      </c>
      <c r="AF353" s="92" t="s">
        <v>143</v>
      </c>
      <c r="AG353" s="407" t="s">
        <v>143</v>
      </c>
      <c r="AH353" s="92" t="s">
        <v>144</v>
      </c>
      <c r="AI353" s="92" t="s">
        <v>145</v>
      </c>
      <c r="AJ353" s="92" t="s">
        <v>146</v>
      </c>
      <c r="AK353" s="92" t="s">
        <v>147</v>
      </c>
      <c r="AL353" s="407" t="s">
        <v>147</v>
      </c>
      <c r="AM353" s="92" t="s">
        <v>148</v>
      </c>
      <c r="AN353" s="92" t="s">
        <v>149</v>
      </c>
      <c r="AO353" s="92" t="s">
        <v>150</v>
      </c>
      <c r="AP353" s="92" t="s">
        <v>151</v>
      </c>
      <c r="AQ353" s="407" t="s">
        <v>151</v>
      </c>
    </row>
    <row r="354" spans="2:43" ht="16.2" x14ac:dyDescent="0.45">
      <c r="B354" s="726"/>
      <c r="C354" s="727"/>
      <c r="D354" s="91" t="s">
        <v>71</v>
      </c>
      <c r="E354" s="91" t="s">
        <v>74</v>
      </c>
      <c r="F354" s="91" t="s">
        <v>75</v>
      </c>
      <c r="G354" s="91" t="s">
        <v>78</v>
      </c>
      <c r="H354" s="404" t="s">
        <v>79</v>
      </c>
      <c r="I354" s="91" t="s">
        <v>80</v>
      </c>
      <c r="J354" s="91" t="s">
        <v>91</v>
      </c>
      <c r="K354" s="91" t="s">
        <v>109</v>
      </c>
      <c r="L354" s="91" t="s">
        <v>113</v>
      </c>
      <c r="M354" s="404" t="s">
        <v>114</v>
      </c>
      <c r="N354" s="91" t="s">
        <v>115</v>
      </c>
      <c r="O354" s="91" t="s">
        <v>116</v>
      </c>
      <c r="P354" s="91" t="s">
        <v>117</v>
      </c>
      <c r="Q354" s="91" t="s">
        <v>118</v>
      </c>
      <c r="R354" s="404" t="s">
        <v>119</v>
      </c>
      <c r="S354" s="91" t="s">
        <v>511</v>
      </c>
      <c r="T354" s="89" t="s">
        <v>377</v>
      </c>
      <c r="U354" s="89" t="s">
        <v>378</v>
      </c>
      <c r="V354" s="89" t="s">
        <v>379</v>
      </c>
      <c r="W354" s="408" t="s">
        <v>380</v>
      </c>
      <c r="X354" s="89" t="s">
        <v>381</v>
      </c>
      <c r="Y354" s="89" t="s">
        <v>382</v>
      </c>
      <c r="Z354" s="89" t="s">
        <v>383</v>
      </c>
      <c r="AA354" s="89" t="s">
        <v>384</v>
      </c>
      <c r="AB354" s="408" t="s">
        <v>385</v>
      </c>
      <c r="AC354" s="89" t="s">
        <v>386</v>
      </c>
      <c r="AD354" s="89" t="s">
        <v>387</v>
      </c>
      <c r="AE354" s="89" t="s">
        <v>388</v>
      </c>
      <c r="AF354" s="89" t="s">
        <v>389</v>
      </c>
      <c r="AG354" s="408" t="s">
        <v>390</v>
      </c>
      <c r="AH354" s="89" t="s">
        <v>391</v>
      </c>
      <c r="AI354" s="89" t="s">
        <v>392</v>
      </c>
      <c r="AJ354" s="89" t="s">
        <v>393</v>
      </c>
      <c r="AK354" s="89" t="s">
        <v>394</v>
      </c>
      <c r="AL354" s="408" t="s">
        <v>395</v>
      </c>
      <c r="AM354" s="89" t="s">
        <v>396</v>
      </c>
      <c r="AN354" s="89" t="s">
        <v>397</v>
      </c>
      <c r="AO354" s="89" t="s">
        <v>398</v>
      </c>
      <c r="AP354" s="89" t="s">
        <v>399</v>
      </c>
      <c r="AQ354" s="408" t="s">
        <v>400</v>
      </c>
    </row>
    <row r="355" spans="2:43" ht="16.2" outlineLevel="1" x14ac:dyDescent="0.45">
      <c r="B355" s="718" t="s">
        <v>402</v>
      </c>
      <c r="C355" s="719"/>
      <c r="D355" s="47"/>
      <c r="E355" s="46"/>
      <c r="F355" s="46"/>
      <c r="G355" s="46"/>
      <c r="H355" s="48"/>
      <c r="I355" s="46"/>
      <c r="J355" s="46"/>
      <c r="K355" s="46"/>
      <c r="L355" s="46"/>
      <c r="M355" s="48"/>
      <c r="N355" s="46"/>
      <c r="O355" s="46"/>
      <c r="P355" s="46"/>
      <c r="Q355" s="46"/>
      <c r="R355" s="48"/>
      <c r="S355" s="46"/>
      <c r="T355" s="46"/>
      <c r="U355" s="46"/>
      <c r="V355" s="46"/>
      <c r="W355" s="48"/>
      <c r="X355" s="46"/>
      <c r="Y355" s="46"/>
      <c r="Z355" s="46"/>
      <c r="AA355" s="46"/>
      <c r="AB355" s="48"/>
      <c r="AC355" s="46"/>
      <c r="AD355" s="46"/>
      <c r="AE355" s="46"/>
      <c r="AF355" s="46"/>
      <c r="AG355" s="48"/>
      <c r="AH355" s="46"/>
      <c r="AI355" s="46"/>
      <c r="AJ355" s="46"/>
      <c r="AK355" s="46"/>
      <c r="AL355" s="48"/>
      <c r="AM355" s="46"/>
      <c r="AN355" s="46"/>
      <c r="AO355" s="46"/>
      <c r="AP355" s="46"/>
      <c r="AQ355" s="48"/>
    </row>
    <row r="356" spans="2:43" outlineLevel="1" x14ac:dyDescent="0.3">
      <c r="B356" s="291" t="s">
        <v>401</v>
      </c>
      <c r="C356" s="285"/>
      <c r="D356" s="166">
        <f>D313/(D250+D313)</f>
        <v>4.9601417183348095E-3</v>
      </c>
      <c r="E356" s="166">
        <f>E313/(E250+E313)</f>
        <v>4.9202578893790296E-3</v>
      </c>
      <c r="F356" s="166">
        <f>F313/(F250+F313)</f>
        <v>5.8231868713605082E-3</v>
      </c>
      <c r="G356" s="166">
        <f>G313/(G250+G313)</f>
        <v>4.2564877111080602E-3</v>
      </c>
      <c r="H356" s="307"/>
      <c r="I356" s="166">
        <f>I313/(I250+I313)</f>
        <v>5.3630363036303629E-3</v>
      </c>
      <c r="J356" s="166">
        <f>J313/(J250+J313)</f>
        <v>4.8607461902259591E-3</v>
      </c>
      <c r="K356" s="166">
        <f>K313/(K250+K313)</f>
        <v>5.229985248759555E-3</v>
      </c>
      <c r="L356" s="166">
        <f>L313/(L250+L313)</f>
        <v>2.7559055118110236E-3</v>
      </c>
      <c r="M356" s="307"/>
      <c r="N356" s="166">
        <f>N313/(N250+N313)</f>
        <v>7.4386312918423014E-3</v>
      </c>
      <c r="O356" s="166">
        <f>O313/(O250+O313)</f>
        <v>6.4286534267018712E-3</v>
      </c>
      <c r="P356" s="166">
        <f>P313/(P250+P313)</f>
        <v>6.9857993586807145E-3</v>
      </c>
      <c r="Q356" s="166">
        <f>Q313/(Q250+Q313)</f>
        <v>8.0316610406239095E-3</v>
      </c>
      <c r="R356" s="307"/>
      <c r="S356" s="166">
        <f>S313/(S250+S313)</f>
        <v>9.3203000681973177E-3</v>
      </c>
      <c r="T356" s="246">
        <f>AVERAGE(S356,Q356,P356,O356)</f>
        <v>7.6916034735509536E-3</v>
      </c>
      <c r="U356" s="246">
        <f>AVERAGE(T356,S356,Q356,P356)</f>
        <v>8.0073409852632234E-3</v>
      </c>
      <c r="V356" s="246">
        <f>AVERAGE(U356,T356,S356,Q356)</f>
        <v>8.2627263919088506E-3</v>
      </c>
      <c r="W356" s="76"/>
      <c r="X356" s="246">
        <f>AVERAGE(V356,U356,T356,S356)</f>
        <v>8.3204927297300859E-3</v>
      </c>
      <c r="Y356" s="246">
        <f>AVERAGE(X356,V356,U356,T356)</f>
        <v>8.0705408951132797E-3</v>
      </c>
      <c r="Z356" s="246">
        <f>AVERAGE(Y356,X356,V356,U356)</f>
        <v>8.1652752505038603E-3</v>
      </c>
      <c r="AA356" s="246">
        <f>AVERAGE(Z356,Y356,X356,V356)</f>
        <v>8.2047588168140187E-3</v>
      </c>
      <c r="AB356" s="76"/>
      <c r="AC356" s="246">
        <f>AVERAGE(AA356,Z356,Y356,X356)</f>
        <v>8.1902669230403107E-3</v>
      </c>
      <c r="AD356" s="246">
        <f>AVERAGE(AC356,AA356,Z356,Y356)</f>
        <v>8.1577104713678669E-3</v>
      </c>
      <c r="AE356" s="246">
        <f>AVERAGE(AD356,AC356,AA356,Z356)</f>
        <v>8.1795028654315146E-3</v>
      </c>
      <c r="AF356" s="246">
        <f>AVERAGE(AE356,AD356,AC356,AA356)</f>
        <v>8.1830597691634286E-3</v>
      </c>
      <c r="AG356" s="76"/>
      <c r="AH356" s="246">
        <f>AVERAGE(AF356,AE356,AD356,AC356)</f>
        <v>8.1776350072507806E-3</v>
      </c>
      <c r="AI356" s="246">
        <f>AVERAGE(AH356,AF356,AE356,AD356)</f>
        <v>8.1744770283033973E-3</v>
      </c>
      <c r="AJ356" s="246">
        <f>AVERAGE(AI356,AH356,AF356,AE356)</f>
        <v>8.1786686675372807E-3</v>
      </c>
      <c r="AK356" s="246">
        <f>AVERAGE(AJ356,AI356,AH356,AF356)</f>
        <v>8.1784601180637205E-3</v>
      </c>
      <c r="AL356" s="76"/>
      <c r="AM356" s="246">
        <f>AVERAGE(AK356,AJ356,AI356,AH356)</f>
        <v>8.1773102052887948E-3</v>
      </c>
      <c r="AN356" s="246">
        <f>AVERAGE(AM356,AK356,AJ356,AI356)</f>
        <v>8.1772290047982983E-3</v>
      </c>
      <c r="AO356" s="246">
        <f>AVERAGE(AN356,AM356,AK356,AJ356)</f>
        <v>8.1779169989220236E-3</v>
      </c>
      <c r="AP356" s="246">
        <f>AVERAGE(AO356,AN356,AM356,AK356)</f>
        <v>8.1777290817682084E-3</v>
      </c>
      <c r="AQ356" s="76"/>
    </row>
    <row r="357" spans="2:43" s="111" customFormat="1" outlineLevel="1" x14ac:dyDescent="0.3">
      <c r="B357" s="286" t="s">
        <v>503</v>
      </c>
      <c r="C357" s="287"/>
      <c r="D357" s="166">
        <f>D314/D13</f>
        <v>4.3163124032901705E-3</v>
      </c>
      <c r="E357" s="166">
        <f>E314/E13</f>
        <v>2.6499638641291254E-3</v>
      </c>
      <c r="F357" s="166">
        <f>F314/F13</f>
        <v>2.2917654496601866E-3</v>
      </c>
      <c r="G357" s="166">
        <f>G314/G13</f>
        <v>2.2343786116033591E-3</v>
      </c>
      <c r="H357" s="307"/>
      <c r="I357" s="166">
        <f>I314/I13</f>
        <v>3.8873354702311943E-3</v>
      </c>
      <c r="J357" s="166">
        <f>J314/J13</f>
        <v>2.4110910186859553E-3</v>
      </c>
      <c r="K357" s="166">
        <f>K314/K13</f>
        <v>2.0004000800160032E-3</v>
      </c>
      <c r="L357" s="166">
        <f>L314/L13</f>
        <v>1.9710071210579856E-3</v>
      </c>
      <c r="M357" s="307"/>
      <c r="N357" s="166">
        <f>N314/N13</f>
        <v>4.0530823037196835E-3</v>
      </c>
      <c r="O357" s="166">
        <f>O314/O13</f>
        <v>2.5133329246613129E-3</v>
      </c>
      <c r="P357" s="166">
        <f>P314/P13</f>
        <v>1.9363427326636814E-3</v>
      </c>
      <c r="Q357" s="166">
        <f>Q314/Q13</f>
        <v>1.848201889920127E-3</v>
      </c>
      <c r="R357" s="307"/>
      <c r="S357" s="166">
        <f>S314/S13</f>
        <v>3.9878020173586678E-3</v>
      </c>
      <c r="T357" s="246">
        <f>AVERAGE(S357,Q357,P357,O357)</f>
        <v>2.5714198911509474E-3</v>
      </c>
      <c r="U357" s="246">
        <f>AVERAGE(T357,S357,Q357,P357)</f>
        <v>2.5859416327733563E-3</v>
      </c>
      <c r="V357" s="246">
        <f>AVERAGE(U357,T357,S357,Q357)</f>
        <v>2.7483413578007748E-3</v>
      </c>
      <c r="W357" s="307"/>
      <c r="X357" s="246">
        <f>AVERAGE(V357,U357,T357,S357)</f>
        <v>2.9733762247709369E-3</v>
      </c>
      <c r="Y357" s="246">
        <f>AVERAGE(X357,V357,U357,T357)</f>
        <v>2.7197697766240042E-3</v>
      </c>
      <c r="Z357" s="246">
        <f>AVERAGE(Y357,X357,V357,U357)</f>
        <v>2.7568572479922679E-3</v>
      </c>
      <c r="AA357" s="246">
        <f>AVERAGE(Z357,Y357,X357,V357)</f>
        <v>2.7995861517969962E-3</v>
      </c>
      <c r="AB357" s="307"/>
      <c r="AC357" s="246">
        <f>AVERAGE(AA357,Z357,Y357,X357)</f>
        <v>2.8123973502960512E-3</v>
      </c>
      <c r="AD357" s="246">
        <f>AVERAGE(AC357,AA357,Z357,Y357)</f>
        <v>2.7721526316773302E-3</v>
      </c>
      <c r="AE357" s="246">
        <f>AVERAGE(AD357,AC357,AA357,Z357)</f>
        <v>2.785248345440661E-3</v>
      </c>
      <c r="AF357" s="246">
        <f>AVERAGE(AE357,AD357,AC357,AA357)</f>
        <v>2.7923461198027595E-3</v>
      </c>
      <c r="AG357" s="307"/>
      <c r="AH357" s="246">
        <f>AVERAGE(AF357,AE357,AD357,AC357)</f>
        <v>2.7905361118042002E-3</v>
      </c>
      <c r="AI357" s="246">
        <f>AVERAGE(AH357,AF357,AE357,AD357)</f>
        <v>2.7850708021812378E-3</v>
      </c>
      <c r="AJ357" s="246">
        <f>AVERAGE(AI357,AH357,AF357,AE357)</f>
        <v>2.7883003448072145E-3</v>
      </c>
      <c r="AK357" s="246">
        <f>AVERAGE(AJ357,AI357,AH357,AF357)</f>
        <v>2.7890633446488529E-3</v>
      </c>
      <c r="AL357" s="307"/>
      <c r="AM357" s="246">
        <f>AVERAGE(AK357,AJ357,AI357,AH357)</f>
        <v>2.7882426508603767E-3</v>
      </c>
      <c r="AN357" s="246">
        <f>AVERAGE(AM357,AK357,AJ357,AI357)</f>
        <v>2.7876692856244204E-3</v>
      </c>
      <c r="AO357" s="246">
        <f>AVERAGE(AN357,AM357,AK357,AJ357)</f>
        <v>2.788318906485216E-3</v>
      </c>
      <c r="AP357" s="246">
        <f>AVERAGE(AO357,AN357,AM357,AK357)</f>
        <v>2.7883235469047165E-3</v>
      </c>
      <c r="AQ357" s="307"/>
    </row>
    <row r="358" spans="2:43" s="230" customFormat="1" outlineLevel="1" x14ac:dyDescent="0.3">
      <c r="B358" s="720" t="s">
        <v>90</v>
      </c>
      <c r="C358" s="721"/>
      <c r="D358" s="187"/>
      <c r="E358" s="187"/>
      <c r="F358" s="187"/>
      <c r="G358" s="187"/>
      <c r="H358" s="243"/>
      <c r="I358" s="187">
        <f t="shared" ref="I358:AQ358" si="143">I325/D325-1</f>
        <v>-0.217566478646253</v>
      </c>
      <c r="J358" s="187">
        <f t="shared" si="143"/>
        <v>0.37180544105523494</v>
      </c>
      <c r="K358" s="187">
        <f t="shared" si="143"/>
        <v>-0.99254843517138602</v>
      </c>
      <c r="L358" s="187">
        <f t="shared" si="143"/>
        <v>0.19508368200836812</v>
      </c>
      <c r="M358" s="243">
        <f t="shared" si="143"/>
        <v>-0.13629992992291518</v>
      </c>
      <c r="N358" s="187">
        <f t="shared" si="143"/>
        <v>-0.39237899073120497</v>
      </c>
      <c r="O358" s="187">
        <f t="shared" si="143"/>
        <v>-0.45432692307692313</v>
      </c>
      <c r="P358" s="187">
        <f t="shared" si="143"/>
        <v>-34.6</v>
      </c>
      <c r="Q358" s="187">
        <f t="shared" si="143"/>
        <v>0.53703535492341214</v>
      </c>
      <c r="R358" s="243">
        <f t="shared" si="143"/>
        <v>-5.1901463286004645E-2</v>
      </c>
      <c r="S358" s="187">
        <f t="shared" si="143"/>
        <v>0.18813559322033901</v>
      </c>
      <c r="T358" s="187">
        <f t="shared" si="143"/>
        <v>0.95596983630212495</v>
      </c>
      <c r="U358" s="187">
        <f t="shared" si="143"/>
        <v>-4.9910954681379796</v>
      </c>
      <c r="V358" s="187">
        <f t="shared" si="143"/>
        <v>-9.7328033148485371E-2</v>
      </c>
      <c r="W358" s="243">
        <f t="shared" si="143"/>
        <v>0.49510871116621868</v>
      </c>
      <c r="X358" s="187">
        <f t="shared" si="143"/>
        <v>1.7863298338634706</v>
      </c>
      <c r="Y358" s="187">
        <f t="shared" si="143"/>
        <v>0.10184361433585698</v>
      </c>
      <c r="Z358" s="187">
        <f t="shared" si="143"/>
        <v>0.40254942844291675</v>
      </c>
      <c r="AA358" s="187">
        <f t="shared" si="143"/>
        <v>6.6964631865723101E-2</v>
      </c>
      <c r="AB358" s="243">
        <f t="shared" si="143"/>
        <v>0.31269482204739663</v>
      </c>
      <c r="AC358" s="187">
        <f t="shared" si="143"/>
        <v>9.7689161152721082E-2</v>
      </c>
      <c r="AD358" s="187">
        <f t="shared" si="143"/>
        <v>0.20206636674487433</v>
      </c>
      <c r="AE358" s="187">
        <f t="shared" si="143"/>
        <v>6.2843040933145078E-2</v>
      </c>
      <c r="AF358" s="187">
        <f t="shared" si="143"/>
        <v>0.13117822271604673</v>
      </c>
      <c r="AG358" s="243">
        <f t="shared" si="143"/>
        <v>0.12515901013558106</v>
      </c>
      <c r="AH358" s="187">
        <f t="shared" si="143"/>
        <v>6.3249745560828963E-2</v>
      </c>
      <c r="AI358" s="187">
        <f t="shared" si="143"/>
        <v>3.1640047536710458E-2</v>
      </c>
      <c r="AJ358" s="187">
        <f t="shared" si="143"/>
        <v>3.0121495060196679E-2</v>
      </c>
      <c r="AK358" s="187">
        <f t="shared" si="143"/>
        <v>4.3728130424848022E-2</v>
      </c>
      <c r="AL358" s="243">
        <f t="shared" si="143"/>
        <v>4.239305499950019E-2</v>
      </c>
      <c r="AM358" s="187">
        <f t="shared" si="143"/>
        <v>4.5837232429100316E-2</v>
      </c>
      <c r="AN358" s="187">
        <f t="shared" si="143"/>
        <v>5.1024141099511588E-2</v>
      </c>
      <c r="AO358" s="187">
        <f t="shared" si="143"/>
        <v>1.7289154899248649E-2</v>
      </c>
      <c r="AP358" s="187">
        <f t="shared" si="143"/>
        <v>5.3291052313443554E-2</v>
      </c>
      <c r="AQ358" s="243">
        <f t="shared" si="143"/>
        <v>4.4309970333837656E-2</v>
      </c>
    </row>
    <row r="359" spans="2:43" s="53" customFormat="1" outlineLevel="1" x14ac:dyDescent="0.3">
      <c r="B359" s="305" t="s">
        <v>404</v>
      </c>
      <c r="C359" s="406"/>
      <c r="D359" s="166">
        <f t="shared" ref="D359:S359" si="144">-D327/D13</f>
        <v>9.8460786709015397E-2</v>
      </c>
      <c r="E359" s="166">
        <f t="shared" si="144"/>
        <v>0.10864851842929414</v>
      </c>
      <c r="F359" s="166">
        <f t="shared" si="144"/>
        <v>7.9026394815868498E-2</v>
      </c>
      <c r="G359" s="166">
        <f t="shared" si="144"/>
        <v>9.6771708143924801E-2</v>
      </c>
      <c r="H359" s="492">
        <f t="shared" si="144"/>
        <v>9.5661669810384195E-2</v>
      </c>
      <c r="I359" s="166">
        <f t="shared" si="144"/>
        <v>8.2861624497033354E-2</v>
      </c>
      <c r="J359" s="166">
        <f t="shared" si="144"/>
        <v>9.8184984260933625E-2</v>
      </c>
      <c r="K359" s="166">
        <f t="shared" si="144"/>
        <v>7.3948122957924925E-2</v>
      </c>
      <c r="L359" s="166">
        <f t="shared" si="144"/>
        <v>8.4308240081383518E-2</v>
      </c>
      <c r="M359" s="492">
        <f t="shared" si="144"/>
        <v>8.481572970374178E-2</v>
      </c>
      <c r="N359" s="166">
        <f t="shared" si="144"/>
        <v>6.8248676211021764E-2</v>
      </c>
      <c r="O359" s="166">
        <f t="shared" si="144"/>
        <v>9.6671366394899774E-2</v>
      </c>
      <c r="P359" s="166">
        <f t="shared" si="144"/>
        <v>8.3081205373351077E-2</v>
      </c>
      <c r="Q359" s="166">
        <f t="shared" si="144"/>
        <v>9.6395279821146623E-2</v>
      </c>
      <c r="R359" s="492">
        <f t="shared" si="144"/>
        <v>8.6523897883956924E-2</v>
      </c>
      <c r="S359" s="166">
        <f t="shared" si="144"/>
        <v>6.9141449683321601E-2</v>
      </c>
      <c r="T359" s="177">
        <v>8.1000000000000003E-2</v>
      </c>
      <c r="U359" s="177">
        <v>8.1000000000000003E-2</v>
      </c>
      <c r="V359" s="177">
        <v>8.1982137029686014E-2</v>
      </c>
      <c r="W359" s="405">
        <f>-W327/W13</f>
        <v>7.8425221551250882E-2</v>
      </c>
      <c r="X359" s="177">
        <f>AVERAGE(S359,T359,U359,V359)</f>
        <v>7.8280896678251916E-2</v>
      </c>
      <c r="Y359" s="177">
        <f>AVERAGE(T359,U359,V359,X359)</f>
        <v>8.0565758426984491E-2</v>
      </c>
      <c r="Z359" s="177">
        <f>AVERAGE(U359,V359,X359,Y359)</f>
        <v>8.0457198033730609E-2</v>
      </c>
      <c r="AA359" s="177">
        <f>AVERAGE(V359,X359,Y359,Z359)</f>
        <v>8.032149754216325E-2</v>
      </c>
      <c r="AB359" s="405">
        <f>-AB327/AB13</f>
        <v>7.9927181464995792E-2</v>
      </c>
      <c r="AC359" s="177">
        <f>AVERAGE(X359,Y359,Z359,AA359)</f>
        <v>7.9906337670282573E-2</v>
      </c>
      <c r="AD359" s="177">
        <f>AVERAGE(Y359,Z359,AA359,AC359)</f>
        <v>8.0312697918290238E-2</v>
      </c>
      <c r="AE359" s="177">
        <f>AVERAGE(Z359,AA359,AC359,AD359)</f>
        <v>8.0249432791116668E-2</v>
      </c>
      <c r="AF359" s="177">
        <f>AVERAGE(AA359,AC359,AD359,AE359)</f>
        <v>8.0197491480463179E-2</v>
      </c>
      <c r="AG359" s="405">
        <f>-AG327/AG13</f>
        <v>8.0169294336550012E-2</v>
      </c>
      <c r="AH359" s="177">
        <f>AVERAGE(AC359,AD359,AE359,AF359)</f>
        <v>8.0166489965038168E-2</v>
      </c>
      <c r="AI359" s="177">
        <f>AVERAGE(AD359,AE359,AF359,AH359)</f>
        <v>8.023152803872706E-2</v>
      </c>
      <c r="AJ359" s="177">
        <f>AVERAGE(AE359,AF359,AH359,AI359)</f>
        <v>8.0211235568836275E-2</v>
      </c>
      <c r="AK359" s="177">
        <f>AVERAGE(AF359,AH359,AI359,AJ359)</f>
        <v>8.0201686263266181E-2</v>
      </c>
      <c r="AL359" s="492">
        <f>-AL327/AL13</f>
        <v>8.0203022124695753E-2</v>
      </c>
      <c r="AM359" s="177">
        <f>AVERAGE(AH359,AI359,AJ359,AK359)</f>
        <v>8.0202734958966931E-2</v>
      </c>
      <c r="AN359" s="177">
        <f>AVERAGE(AI359,AJ359,AK359,AM359)</f>
        <v>8.0211796207449115E-2</v>
      </c>
      <c r="AO359" s="177">
        <f>AVERAGE(AJ359,AK359,AM359,AN359)</f>
        <v>8.0206863249629626E-2</v>
      </c>
      <c r="AP359" s="177">
        <f>AVERAGE(AK359,AM359,AN359,AO359)</f>
        <v>8.0205770169827967E-2</v>
      </c>
      <c r="AQ359" s="492">
        <f>-AQ327/AQ13</f>
        <v>8.0206805106339762E-2</v>
      </c>
    </row>
    <row r="360" spans="2:43" ht="16.2" x14ac:dyDescent="0.45">
      <c r="B360" s="83"/>
      <c r="C360" s="83"/>
      <c r="D360" s="86"/>
      <c r="E360" s="86"/>
      <c r="F360" s="86"/>
      <c r="G360" s="86"/>
      <c r="H360" s="85"/>
      <c r="I360" s="86"/>
      <c r="J360" s="86"/>
      <c r="K360" s="86"/>
      <c r="L360" s="86"/>
      <c r="M360" s="85"/>
      <c r="N360" s="86"/>
      <c r="O360" s="86"/>
      <c r="P360" s="86"/>
      <c r="Q360" s="86"/>
      <c r="R360" s="85"/>
      <c r="S360" s="86"/>
      <c r="T360" s="86"/>
      <c r="U360" s="86"/>
      <c r="V360" s="86"/>
      <c r="W360" s="85"/>
      <c r="X360" s="86"/>
      <c r="Y360" s="86"/>
      <c r="Z360" s="86"/>
      <c r="AA360" s="86"/>
      <c r="AB360" s="85"/>
      <c r="AC360" s="86"/>
      <c r="AD360" s="86"/>
      <c r="AE360" s="86"/>
      <c r="AF360" s="86"/>
      <c r="AG360" s="85"/>
      <c r="AH360" s="86"/>
      <c r="AI360" s="86"/>
      <c r="AJ360" s="86"/>
      <c r="AK360" s="86"/>
      <c r="AL360" s="85"/>
      <c r="AM360" s="86"/>
      <c r="AN360" s="86"/>
      <c r="AO360" s="86"/>
      <c r="AP360" s="86"/>
      <c r="AQ360" s="85"/>
    </row>
    <row r="361" spans="2:43" ht="15.6" x14ac:dyDescent="0.3">
      <c r="B361" s="705" t="s">
        <v>23</v>
      </c>
      <c r="C361" s="706"/>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row>
    <row r="362" spans="2:43" outlineLevel="1" x14ac:dyDescent="0.3">
      <c r="B362" s="276" t="s">
        <v>63</v>
      </c>
      <c r="C362" s="514">
        <v>15.751949328559325</v>
      </c>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60"/>
      <c r="AE362" s="60"/>
      <c r="AF362" s="60"/>
      <c r="AG362" s="60"/>
      <c r="AH362" s="60"/>
      <c r="AI362" s="60"/>
      <c r="AJ362" s="60"/>
      <c r="AK362" s="60"/>
      <c r="AL362" s="60"/>
      <c r="AM362" s="60"/>
      <c r="AN362" s="60"/>
      <c r="AO362" s="60"/>
      <c r="AP362" s="60"/>
      <c r="AQ362" s="60"/>
    </row>
    <row r="363" spans="2:43" outlineLevel="1" x14ac:dyDescent="0.3">
      <c r="B363" s="276" t="s">
        <v>59</v>
      </c>
      <c r="C363" s="515">
        <v>17.516756962866335</v>
      </c>
      <c r="D363" s="66"/>
      <c r="E363" s="66"/>
      <c r="F363" s="67"/>
      <c r="G363" s="67"/>
      <c r="H363" s="67"/>
      <c r="I363" s="66"/>
      <c r="J363" s="66"/>
      <c r="K363" s="67"/>
      <c r="L363" s="67"/>
      <c r="M363" s="67"/>
      <c r="N363" s="66"/>
      <c r="O363" s="66"/>
      <c r="P363" s="67"/>
      <c r="Q363" s="67"/>
      <c r="R363" s="67"/>
      <c r="S363" s="66"/>
      <c r="T363" s="66"/>
    </row>
    <row r="364" spans="2:43" outlineLevel="1" x14ac:dyDescent="0.3">
      <c r="B364" s="276" t="s">
        <v>60</v>
      </c>
      <c r="C364" s="515">
        <v>14.366690216754256</v>
      </c>
      <c r="D364" s="66"/>
      <c r="E364" s="66"/>
      <c r="F364" s="67"/>
      <c r="G364" s="67"/>
      <c r="H364" s="67"/>
      <c r="I364" s="66"/>
      <c r="J364" s="66"/>
      <c r="K364" s="67"/>
      <c r="L364" s="67"/>
      <c r="M364" s="67"/>
      <c r="N364" s="66"/>
      <c r="O364" s="66"/>
      <c r="P364" s="67"/>
      <c r="Q364" s="67"/>
      <c r="R364" s="67"/>
      <c r="S364" s="66"/>
      <c r="T364" s="66"/>
    </row>
    <row r="365" spans="2:43" outlineLevel="1" x14ac:dyDescent="0.3">
      <c r="B365" s="276" t="s">
        <v>40</v>
      </c>
      <c r="C365" s="512">
        <f>+C362</f>
        <v>15.751949328559325</v>
      </c>
      <c r="D365" s="66"/>
      <c r="E365" s="66"/>
      <c r="F365" s="67"/>
      <c r="G365" s="67"/>
      <c r="H365" s="67"/>
      <c r="I365" s="66"/>
      <c r="J365" s="66"/>
      <c r="K365" s="67"/>
      <c r="L365" s="67"/>
      <c r="M365" s="67"/>
      <c r="N365" s="66"/>
      <c r="O365" s="66"/>
      <c r="P365" s="67"/>
      <c r="Q365" s="67"/>
      <c r="R365" s="67"/>
      <c r="S365" s="66"/>
      <c r="T365" s="66"/>
    </row>
    <row r="366" spans="2:43" outlineLevel="1" x14ac:dyDescent="0.3">
      <c r="B366" s="281" t="s">
        <v>507</v>
      </c>
      <c r="C366" s="516">
        <v>0</v>
      </c>
      <c r="D366" s="68"/>
      <c r="E366" s="68"/>
      <c r="F366" s="68"/>
      <c r="G366" s="68"/>
      <c r="H366" s="69"/>
      <c r="I366" s="68"/>
      <c r="J366" s="68"/>
      <c r="K366" s="68"/>
      <c r="L366" s="68"/>
      <c r="M366" s="69"/>
      <c r="N366" s="68"/>
      <c r="O366" s="68"/>
      <c r="P366" s="68"/>
      <c r="Q366" s="68"/>
      <c r="R366" s="69"/>
      <c r="S366" s="68"/>
      <c r="T366" s="68"/>
      <c r="U366" s="68"/>
      <c r="V366" s="68"/>
      <c r="W366" s="69"/>
      <c r="X366" s="68"/>
      <c r="Y366" s="68"/>
      <c r="Z366" s="68"/>
      <c r="AA366" s="68"/>
      <c r="AB366" s="69"/>
      <c r="AC366" s="68"/>
      <c r="AD366" s="68"/>
      <c r="AE366" s="68"/>
      <c r="AF366" s="68"/>
      <c r="AG366" s="69"/>
      <c r="AH366" s="68"/>
      <c r="AI366" s="68"/>
      <c r="AJ366" s="68"/>
      <c r="AK366" s="68"/>
      <c r="AL366" s="69"/>
      <c r="AM366" s="68"/>
      <c r="AN366" s="68"/>
      <c r="AO366" s="68"/>
      <c r="AP366" s="68"/>
      <c r="AQ366" s="69"/>
    </row>
    <row r="367" spans="2:43" outlineLevel="1" x14ac:dyDescent="0.3">
      <c r="B367" s="281" t="s">
        <v>508</v>
      </c>
      <c r="C367" s="516">
        <v>0</v>
      </c>
      <c r="D367" s="68"/>
      <c r="E367" s="68"/>
      <c r="F367" s="68"/>
      <c r="G367" s="68"/>
      <c r="H367" s="69"/>
      <c r="I367" s="68"/>
      <c r="J367" s="68"/>
      <c r="K367" s="68"/>
      <c r="L367" s="68"/>
      <c r="M367" s="69"/>
      <c r="N367" s="68"/>
      <c r="O367" s="68"/>
      <c r="P367" s="68"/>
      <c r="Q367" s="68"/>
      <c r="R367" s="69"/>
      <c r="S367" s="68"/>
      <c r="T367" s="68"/>
      <c r="U367" s="68"/>
      <c r="V367" s="68"/>
      <c r="W367" s="69"/>
      <c r="X367" s="68"/>
      <c r="Y367" s="68"/>
      <c r="Z367" s="68"/>
      <c r="AA367" s="68"/>
      <c r="AB367" s="69"/>
      <c r="AC367" s="68"/>
      <c r="AD367" s="68"/>
      <c r="AE367" s="68"/>
      <c r="AF367" s="68"/>
      <c r="AG367" s="69"/>
      <c r="AH367" s="68"/>
      <c r="AI367" s="68"/>
      <c r="AJ367" s="68"/>
      <c r="AK367" s="68"/>
      <c r="AL367" s="69"/>
      <c r="AM367" s="68"/>
      <c r="AN367" s="68"/>
      <c r="AO367" s="68"/>
      <c r="AP367" s="68"/>
      <c r="AQ367" s="69"/>
    </row>
    <row r="368" spans="2:43" ht="16.2" outlineLevel="1" x14ac:dyDescent="0.45">
      <c r="B368" s="281" t="s">
        <v>346</v>
      </c>
      <c r="C368" s="282">
        <f>+S351</f>
        <v>-54.141434673105515</v>
      </c>
      <c r="D368" s="68"/>
      <c r="E368" s="68"/>
      <c r="F368" s="68"/>
      <c r="G368" s="68"/>
      <c r="H368" s="69"/>
      <c r="I368" s="68"/>
      <c r="J368" s="68"/>
      <c r="K368" s="68"/>
      <c r="L368" s="68"/>
      <c r="M368" s="69"/>
      <c r="N368" s="68"/>
      <c r="O368" s="68"/>
      <c r="P368" s="68"/>
      <c r="Q368" s="68"/>
      <c r="R368" s="69"/>
      <c r="S368" s="68"/>
      <c r="T368" s="68"/>
      <c r="U368" s="68"/>
      <c r="V368" s="68"/>
      <c r="W368" s="69"/>
      <c r="X368" s="68"/>
      <c r="Y368" s="68"/>
      <c r="Z368" s="68"/>
      <c r="AA368" s="68"/>
      <c r="AB368" s="69"/>
      <c r="AC368" s="68"/>
      <c r="AD368" s="68"/>
      <c r="AE368" s="68"/>
      <c r="AF368" s="68"/>
      <c r="AG368" s="69"/>
      <c r="AH368" s="68"/>
      <c r="AI368" s="68"/>
      <c r="AJ368" s="68"/>
      <c r="AK368" s="68"/>
      <c r="AL368" s="69"/>
      <c r="AM368" s="68"/>
      <c r="AN368" s="68"/>
      <c r="AO368" s="68"/>
      <c r="AP368" s="68"/>
      <c r="AQ368" s="69"/>
    </row>
    <row r="369" spans="2:20" outlineLevel="1" x14ac:dyDescent="0.3">
      <c r="B369" s="513" t="s">
        <v>65</v>
      </c>
      <c r="C369" s="517">
        <f>(C365*(X45+T45+U45+V45))+C368</f>
        <v>234.65127190891971</v>
      </c>
      <c r="D369" s="66"/>
      <c r="E369" s="66"/>
      <c r="F369" s="67"/>
      <c r="G369" s="67"/>
      <c r="H369" s="67"/>
      <c r="I369" s="66"/>
      <c r="J369" s="66"/>
      <c r="K369" s="67"/>
      <c r="L369" s="67"/>
      <c r="M369" s="67"/>
      <c r="N369" s="66"/>
      <c r="O369" s="66"/>
      <c r="P369" s="67"/>
      <c r="Q369" s="67"/>
      <c r="R369" s="67"/>
      <c r="S369" s="66"/>
      <c r="T369" s="66"/>
    </row>
    <row r="370" spans="2:20" ht="122.25" customHeight="1" outlineLevel="1" x14ac:dyDescent="0.3">
      <c r="B370" s="732" t="s">
        <v>570</v>
      </c>
      <c r="C370" s="733"/>
      <c r="D370" s="66"/>
      <c r="E370" s="66"/>
      <c r="F370" s="67"/>
      <c r="G370" s="67"/>
      <c r="H370" s="67"/>
      <c r="I370" s="70"/>
      <c r="J370" s="66"/>
      <c r="K370" s="67"/>
      <c r="L370" s="67"/>
      <c r="M370" s="67"/>
      <c r="N370" s="66"/>
      <c r="O370" s="66"/>
      <c r="P370" s="67"/>
      <c r="Q370" s="67"/>
      <c r="R370" s="67"/>
      <c r="S370" s="66"/>
      <c r="T370" s="66"/>
    </row>
    <row r="371" spans="2:20" ht="64.95" customHeight="1" outlineLevel="1" x14ac:dyDescent="0.3">
      <c r="B371" s="740" t="s">
        <v>509</v>
      </c>
      <c r="C371" s="741"/>
      <c r="D371" s="66"/>
      <c r="E371" s="66"/>
      <c r="F371" s="67"/>
      <c r="G371" s="67"/>
      <c r="H371" s="67"/>
      <c r="I371" s="70"/>
      <c r="J371" s="66"/>
      <c r="K371" s="67"/>
      <c r="L371" s="67"/>
      <c r="M371" s="67"/>
      <c r="N371" s="66"/>
      <c r="O371" s="66"/>
      <c r="P371" s="67"/>
      <c r="Q371" s="67"/>
      <c r="R371" s="67"/>
      <c r="S371" s="66"/>
      <c r="T371" s="66"/>
    </row>
    <row r="372" spans="2:20" ht="17.25" customHeight="1" x14ac:dyDescent="0.3">
      <c r="B372" s="701" t="s">
        <v>761</v>
      </c>
      <c r="C372" s="702">
        <f>C375-C398</f>
        <v>-8.2007480358470275E-5</v>
      </c>
    </row>
    <row r="373" spans="2:20" ht="15.6" x14ac:dyDescent="0.3">
      <c r="B373" s="705" t="s">
        <v>32</v>
      </c>
      <c r="C373" s="706"/>
    </row>
    <row r="374" spans="2:20" outlineLevel="1" x14ac:dyDescent="0.3">
      <c r="B374" s="473" t="s">
        <v>497</v>
      </c>
      <c r="C374" s="87"/>
    </row>
    <row r="375" spans="2:20" outlineLevel="1" x14ac:dyDescent="0.3">
      <c r="B375" s="474" t="s">
        <v>760</v>
      </c>
      <c r="C375" s="475">
        <v>218.29992664742275</v>
      </c>
      <c r="H375" s="700"/>
    </row>
    <row r="376" spans="2:20" ht="16.2" outlineLevel="1" x14ac:dyDescent="0.45">
      <c r="B376" s="474" t="s">
        <v>33</v>
      </c>
      <c r="C376" s="491">
        <f>S42</f>
        <v>269.2</v>
      </c>
    </row>
    <row r="377" spans="2:20" outlineLevel="1" x14ac:dyDescent="0.3">
      <c r="B377" s="484" t="s">
        <v>34</v>
      </c>
      <c r="C377" s="476">
        <f>C376*C375</f>
        <v>58766.340253486203</v>
      </c>
    </row>
    <row r="378" spans="2:20" outlineLevel="1" x14ac:dyDescent="0.3">
      <c r="B378" s="477" t="s">
        <v>52</v>
      </c>
      <c r="C378" s="670">
        <v>1.121</v>
      </c>
    </row>
    <row r="379" spans="2:20" outlineLevel="1" x14ac:dyDescent="0.3">
      <c r="B379" s="477" t="s">
        <v>499</v>
      </c>
      <c r="C379" s="478">
        <v>0.32500000000000001</v>
      </c>
    </row>
    <row r="380" spans="2:20" outlineLevel="1" x14ac:dyDescent="0.3">
      <c r="B380" s="477" t="s">
        <v>500</v>
      </c>
      <c r="C380" s="479">
        <v>0.16239999999999999</v>
      </c>
    </row>
    <row r="381" spans="2:20" outlineLevel="1" x14ac:dyDescent="0.3">
      <c r="B381" s="485" t="s">
        <v>35</v>
      </c>
      <c r="C381" s="480">
        <f>C379*C380</f>
        <v>5.2780000000000001E-2</v>
      </c>
    </row>
    <row r="382" spans="2:20" outlineLevel="1" x14ac:dyDescent="0.3">
      <c r="B382" s="477" t="s">
        <v>493</v>
      </c>
      <c r="C382" s="481">
        <v>3.0200000000000001E-2</v>
      </c>
    </row>
    <row r="383" spans="2:20" outlineLevel="1" x14ac:dyDescent="0.3">
      <c r="B383" s="484" t="s">
        <v>36</v>
      </c>
      <c r="C383" s="487">
        <f>C382+(C378*C381)</f>
        <v>8.9366379999999995E-2</v>
      </c>
    </row>
    <row r="384" spans="2:20" outlineLevel="1" x14ac:dyDescent="0.3">
      <c r="B384" s="276" t="s">
        <v>37</v>
      </c>
      <c r="C384" s="482">
        <f>C377/(C377+S263+S268+S262)</f>
        <v>0.7761996585503419</v>
      </c>
    </row>
    <row r="385" spans="2:3" outlineLevel="1" x14ac:dyDescent="0.3">
      <c r="B385" s="276" t="s">
        <v>38</v>
      </c>
      <c r="C385" s="482">
        <f>-R228</f>
        <v>3.5410585099631936E-2</v>
      </c>
    </row>
    <row r="386" spans="2:3" outlineLevel="1" x14ac:dyDescent="0.3">
      <c r="B386" s="276" t="s">
        <v>2</v>
      </c>
      <c r="C386" s="277">
        <v>0.25</v>
      </c>
    </row>
    <row r="387" spans="2:3" outlineLevel="1" x14ac:dyDescent="0.3">
      <c r="B387" s="276" t="s">
        <v>39</v>
      </c>
      <c r="C387" s="482">
        <f>C385*(1-C386)</f>
        <v>2.6557938824723952E-2</v>
      </c>
    </row>
    <row r="388" spans="2:3" outlineLevel="1" x14ac:dyDescent="0.3">
      <c r="B388" s="486" t="s">
        <v>498</v>
      </c>
      <c r="C388" s="483">
        <f>(C384*C383)+((1-C384)*C387)</f>
        <v>7.5309829419052454E-2</v>
      </c>
    </row>
    <row r="389" spans="2:3" outlineLevel="1" x14ac:dyDescent="0.3">
      <c r="B389" s="489" t="s">
        <v>501</v>
      </c>
      <c r="C389" s="490"/>
    </row>
    <row r="390" spans="2:3" outlineLevel="1" x14ac:dyDescent="0.3">
      <c r="B390" s="281" t="s">
        <v>53</v>
      </c>
      <c r="C390" s="488">
        <v>0.06</v>
      </c>
    </row>
    <row r="391" spans="2:3" outlineLevel="1" x14ac:dyDescent="0.3">
      <c r="B391" s="281" t="s">
        <v>54</v>
      </c>
      <c r="C391" s="488">
        <v>0.06</v>
      </c>
    </row>
    <row r="392" spans="2:3" outlineLevel="1" x14ac:dyDescent="0.3">
      <c r="B392" s="281" t="s">
        <v>496</v>
      </c>
      <c r="C392" s="488">
        <v>0.08</v>
      </c>
    </row>
    <row r="393" spans="2:3" outlineLevel="1" x14ac:dyDescent="0.3">
      <c r="B393" s="281" t="s">
        <v>108</v>
      </c>
      <c r="C393" s="488">
        <f>(C384*(0.063+(1.268*(0.325*0.1859))))+((1-C384)*C387)</f>
        <v>0.11430843662559387</v>
      </c>
    </row>
    <row r="394" spans="2:3" outlineLevel="1" x14ac:dyDescent="0.3">
      <c r="B394" s="489" t="s">
        <v>55</v>
      </c>
      <c r="C394" s="87"/>
    </row>
    <row r="395" spans="2:3" outlineLevel="1" x14ac:dyDescent="0.3">
      <c r="B395" s="281" t="s">
        <v>506</v>
      </c>
      <c r="C395" s="500">
        <f>((((AQ325*(1+C391))-(C392*AQ13*(1+C390))+(C387*(AQ268+AQ262+AQ263))))/(C393-C390))/(1+$C$393)^5</f>
        <v>57558.25826413864</v>
      </c>
    </row>
    <row r="396" spans="2:3" outlineLevel="1" x14ac:dyDescent="0.3">
      <c r="B396" s="281" t="s">
        <v>505</v>
      </c>
      <c r="C396" s="501">
        <f>W347+AB347+AG347+AL347+AQ347</f>
        <v>15782.97827976129</v>
      </c>
    </row>
    <row r="397" spans="2:3" ht="16.2" outlineLevel="1" x14ac:dyDescent="0.45">
      <c r="B397" s="281" t="s">
        <v>62</v>
      </c>
      <c r="C397" s="502">
        <f>C368</f>
        <v>-54.141434673105515</v>
      </c>
    </row>
    <row r="398" spans="2:3" outlineLevel="1" x14ac:dyDescent="0.3">
      <c r="B398" s="503" t="s">
        <v>66</v>
      </c>
      <c r="C398" s="504">
        <f>(C395+C396)/C376+C397</f>
        <v>218.30000865490311</v>
      </c>
    </row>
    <row r="399" spans="2:3" ht="173.25" customHeight="1" outlineLevel="1" x14ac:dyDescent="0.3">
      <c r="B399" s="738" t="s">
        <v>569</v>
      </c>
      <c r="C399" s="739"/>
    </row>
    <row r="400" spans="2:3" ht="88.95" customHeight="1" outlineLevel="1" x14ac:dyDescent="0.3">
      <c r="B400" s="744" t="s">
        <v>494</v>
      </c>
      <c r="C400" s="745"/>
    </row>
    <row r="401" spans="2:3" ht="91.2" customHeight="1" outlineLevel="1" x14ac:dyDescent="0.3">
      <c r="B401" s="734" t="s">
        <v>495</v>
      </c>
      <c r="C401" s="735"/>
    </row>
    <row r="402" spans="2:3" ht="72.599999999999994" customHeight="1" outlineLevel="1" x14ac:dyDescent="0.3">
      <c r="B402" s="734" t="s">
        <v>64</v>
      </c>
      <c r="C402" s="735"/>
    </row>
    <row r="403" spans="2:3" ht="90.6" customHeight="1" outlineLevel="1" x14ac:dyDescent="0.3">
      <c r="B403" s="736" t="s">
        <v>502</v>
      </c>
      <c r="C403" s="737"/>
    </row>
    <row r="404" spans="2:3" ht="7.5" customHeight="1" x14ac:dyDescent="0.3">
      <c r="C404" s="88"/>
    </row>
    <row r="405" spans="2:3" ht="15.6" x14ac:dyDescent="0.3">
      <c r="B405" s="705" t="s">
        <v>106</v>
      </c>
      <c r="C405" s="706"/>
    </row>
    <row r="406" spans="2:3" outlineLevel="1" x14ac:dyDescent="0.3">
      <c r="B406" s="522" t="s">
        <v>100</v>
      </c>
      <c r="C406" s="526">
        <v>1.9362431389289482E-3</v>
      </c>
    </row>
    <row r="407" spans="2:3" outlineLevel="1" x14ac:dyDescent="0.3">
      <c r="B407" s="281" t="s">
        <v>101</v>
      </c>
      <c r="C407" s="527">
        <v>5.5717047210951984E-2</v>
      </c>
    </row>
    <row r="408" spans="2:3" outlineLevel="1" x14ac:dyDescent="0.3">
      <c r="B408" s="281" t="s">
        <v>104</v>
      </c>
      <c r="C408" s="523">
        <f>C8</f>
        <v>226.47564028191141</v>
      </c>
    </row>
    <row r="409" spans="2:3" outlineLevel="1" x14ac:dyDescent="0.3">
      <c r="B409" s="276" t="s">
        <v>102</v>
      </c>
      <c r="C409" s="523">
        <f>C408*(1+(C406+(2*C407)))</f>
        <v>252.15126006997744</v>
      </c>
    </row>
    <row r="410" spans="2:3" outlineLevel="1" x14ac:dyDescent="0.3">
      <c r="B410" s="524" t="s">
        <v>103</v>
      </c>
      <c r="C410" s="525">
        <f>C408*(1+(C406-(2*C407)))</f>
        <v>201.67704430310613</v>
      </c>
    </row>
    <row r="411" spans="2:3" outlineLevel="1" x14ac:dyDescent="0.3">
      <c r="B411" s="732" t="s">
        <v>568</v>
      </c>
      <c r="C411" s="733"/>
    </row>
    <row r="412" spans="2:3" outlineLevel="1" x14ac:dyDescent="0.3">
      <c r="B412" s="734"/>
      <c r="C412" s="735"/>
    </row>
    <row r="413" spans="2:3" outlineLevel="1" x14ac:dyDescent="0.3">
      <c r="B413" s="734"/>
      <c r="C413" s="735"/>
    </row>
    <row r="414" spans="2:3" outlineLevel="1" x14ac:dyDescent="0.3">
      <c r="B414" s="734"/>
      <c r="C414" s="735"/>
    </row>
    <row r="415" spans="2:3" outlineLevel="1" x14ac:dyDescent="0.3">
      <c r="B415" s="734"/>
      <c r="C415" s="735"/>
    </row>
    <row r="416" spans="2:3" outlineLevel="1" x14ac:dyDescent="0.3">
      <c r="B416" s="734"/>
      <c r="C416" s="735"/>
    </row>
    <row r="417" spans="2:10" outlineLevel="1" x14ac:dyDescent="0.3">
      <c r="B417" s="734"/>
      <c r="C417" s="735"/>
    </row>
    <row r="418" spans="2:10" outlineLevel="1" x14ac:dyDescent="0.3">
      <c r="B418" s="734"/>
      <c r="C418" s="735"/>
    </row>
    <row r="419" spans="2:10" outlineLevel="1" x14ac:dyDescent="0.3">
      <c r="B419" s="734"/>
      <c r="C419" s="735"/>
    </row>
    <row r="420" spans="2:10" outlineLevel="1" x14ac:dyDescent="0.3">
      <c r="B420" s="734"/>
      <c r="C420" s="735"/>
    </row>
    <row r="421" spans="2:10" outlineLevel="1" x14ac:dyDescent="0.3">
      <c r="B421" s="734"/>
      <c r="C421" s="735"/>
    </row>
    <row r="422" spans="2:10" outlineLevel="1" x14ac:dyDescent="0.3">
      <c r="B422" s="734"/>
      <c r="C422" s="735"/>
    </row>
    <row r="423" spans="2:10" outlineLevel="1" x14ac:dyDescent="0.3">
      <c r="B423" s="734"/>
      <c r="C423" s="735"/>
    </row>
    <row r="424" spans="2:10" ht="15" customHeight="1" outlineLevel="1" x14ac:dyDescent="0.3">
      <c r="B424" s="736"/>
      <c r="C424" s="737"/>
    </row>
    <row r="425" spans="2:10" ht="14.4" customHeight="1" x14ac:dyDescent="0.3"/>
    <row r="426" spans="2:10" ht="15.6" x14ac:dyDescent="0.3">
      <c r="B426" s="705" t="s">
        <v>510</v>
      </c>
      <c r="C426" s="706"/>
      <c r="D426" s="783" t="s">
        <v>759</v>
      </c>
      <c r="E426" s="784"/>
      <c r="F426" s="784"/>
      <c r="G426" s="784"/>
      <c r="H426" s="784"/>
      <c r="I426" s="784"/>
      <c r="J426" s="785"/>
    </row>
    <row r="427" spans="2:10" ht="15" outlineLevel="1" thickBot="1" x14ac:dyDescent="0.35">
      <c r="B427" s="17"/>
      <c r="C427" s="529"/>
      <c r="D427" s="786" t="s">
        <v>757</v>
      </c>
      <c r="E427" s="786"/>
      <c r="F427" s="786"/>
      <c r="G427" s="787"/>
      <c r="H427" s="786"/>
      <c r="I427" s="786"/>
      <c r="J427" s="788"/>
    </row>
    <row r="428" spans="2:10" ht="15" outlineLevel="1" thickBot="1" x14ac:dyDescent="0.35">
      <c r="B428" s="17"/>
      <c r="C428" s="671">
        <f>T45</f>
        <v>4.003615981233426</v>
      </c>
      <c r="D428" s="672">
        <f t="shared" ref="D428:E428" si="145">+E428-2.5%</f>
        <v>-8.878647745401283E-2</v>
      </c>
      <c r="E428" s="672">
        <f t="shared" si="145"/>
        <v>-6.3786477454012835E-2</v>
      </c>
      <c r="F428" s="672">
        <f>+G428-2.5%</f>
        <v>-3.8786477454012827E-2</v>
      </c>
      <c r="G428" s="673">
        <v>-1.3786477454012829E-2</v>
      </c>
      <c r="H428" s="674">
        <f>+G428+2.5%</f>
        <v>1.1213522545987172E-2</v>
      </c>
      <c r="I428" s="672">
        <f t="shared" ref="I428:J428" si="146">+H428+2.5%</f>
        <v>3.621352254598717E-2</v>
      </c>
      <c r="J428" s="675">
        <f t="shared" si="146"/>
        <v>6.1213522545987172E-2</v>
      </c>
    </row>
    <row r="429" spans="2:10" outlineLevel="1" x14ac:dyDescent="0.3">
      <c r="B429" s="789" t="s">
        <v>758</v>
      </c>
      <c r="C429" s="676">
        <v>5.6259999999999998E-2</v>
      </c>
      <c r="D429" s="677">
        <f t="dataTable" ref="D429:J435" dt2D="1" dtr="1" r1="T95" r2="T97"/>
        <v>3.9421633704774863</v>
      </c>
      <c r="E429" s="678">
        <v>3.9690851141807251</v>
      </c>
      <c r="F429" s="679">
        <v>3.9960068578839536</v>
      </c>
      <c r="G429" s="680">
        <v>4.0229286015871821</v>
      </c>
      <c r="H429" s="679">
        <v>4.0498503452904213</v>
      </c>
      <c r="I429" s="681">
        <v>4.0767720889936596</v>
      </c>
      <c r="J429" s="682">
        <v>4.1036938326968979</v>
      </c>
    </row>
    <row r="430" spans="2:10" outlineLevel="1" x14ac:dyDescent="0.3">
      <c r="B430" s="789"/>
      <c r="C430" s="683">
        <v>7.1260000000000004E-2</v>
      </c>
      <c r="D430" s="677">
        <v>3.9565385732095604</v>
      </c>
      <c r="E430" s="678">
        <v>3.9838547141198188</v>
      </c>
      <c r="F430" s="679">
        <v>4.0111708550300875</v>
      </c>
      <c r="G430" s="684">
        <v>4.0384869959403664</v>
      </c>
      <c r="H430" s="679">
        <v>4.0658031368506258</v>
      </c>
      <c r="I430" s="681">
        <v>4.0931192777608842</v>
      </c>
      <c r="J430" s="682">
        <v>4.1204354186711631</v>
      </c>
    </row>
    <row r="431" spans="2:10" ht="15" outlineLevel="1" thickBot="1" x14ac:dyDescent="0.35">
      <c r="B431" s="789"/>
      <c r="C431" s="685">
        <v>8.6260000000000003E-2</v>
      </c>
      <c r="D431" s="677">
        <v>3.970913775941634</v>
      </c>
      <c r="E431" s="678">
        <v>3.998624314058933</v>
      </c>
      <c r="F431" s="679">
        <v>4.0263348521762321</v>
      </c>
      <c r="G431" s="684">
        <v>4.0540453902935312</v>
      </c>
      <c r="H431" s="679">
        <v>4.0817559284108302</v>
      </c>
      <c r="I431" s="681">
        <v>4.1094664665281186</v>
      </c>
      <c r="J431" s="682">
        <v>4.1371770046454275</v>
      </c>
    </row>
    <row r="432" spans="2:10" ht="15" outlineLevel="1" thickBot="1" x14ac:dyDescent="0.35">
      <c r="B432" s="790"/>
      <c r="C432" s="686">
        <v>3.764051403436576E-2</v>
      </c>
      <c r="D432" s="678">
        <v>3.9243194447759513</v>
      </c>
      <c r="E432" s="687">
        <v>3.9507516235951026</v>
      </c>
      <c r="F432" s="681">
        <v>3.9771838024142645</v>
      </c>
      <c r="G432" s="688">
        <v>4.003615981233426</v>
      </c>
      <c r="H432" s="678">
        <v>4.0300481600525675</v>
      </c>
      <c r="I432" s="687">
        <v>4.0564803388717188</v>
      </c>
      <c r="J432" s="682">
        <v>4.0829125176908807</v>
      </c>
    </row>
    <row r="433" spans="2:10" outlineLevel="1" x14ac:dyDescent="0.3">
      <c r="B433" s="789"/>
      <c r="C433" s="683">
        <v>0.11626</v>
      </c>
      <c r="D433" s="677">
        <v>3.9996641814057816</v>
      </c>
      <c r="E433" s="678">
        <v>4.0281635139371312</v>
      </c>
      <c r="F433" s="679">
        <v>4.0566628464684999</v>
      </c>
      <c r="G433" s="680">
        <v>4.0851621789998696</v>
      </c>
      <c r="H433" s="679">
        <v>4.1136615115312285</v>
      </c>
      <c r="I433" s="681">
        <v>4.1421608440625981</v>
      </c>
      <c r="J433" s="682">
        <v>4.170660176593957</v>
      </c>
    </row>
    <row r="434" spans="2:10" outlineLevel="1" x14ac:dyDescent="0.3">
      <c r="B434" s="789"/>
      <c r="C434" s="685">
        <v>0.13125999999999999</v>
      </c>
      <c r="D434" s="689">
        <v>4.0140393841378454</v>
      </c>
      <c r="E434" s="690">
        <v>4.042933113876245</v>
      </c>
      <c r="F434" s="684">
        <v>4.0718268436146445</v>
      </c>
      <c r="G434" s="691">
        <v>4.1007205733530441</v>
      </c>
      <c r="H434" s="684">
        <v>4.1296143030914232</v>
      </c>
      <c r="I434" s="692">
        <v>4.1585080328298218</v>
      </c>
      <c r="J434" s="693">
        <v>4.1874017625682214</v>
      </c>
    </row>
    <row r="435" spans="2:10" outlineLevel="1" x14ac:dyDescent="0.3">
      <c r="B435" s="789"/>
      <c r="C435" s="694">
        <v>0.14626</v>
      </c>
      <c r="D435" s="695">
        <v>4.0284145868699293</v>
      </c>
      <c r="E435" s="696">
        <v>4.0577027138153587</v>
      </c>
      <c r="F435" s="697">
        <v>4.0869908407607882</v>
      </c>
      <c r="G435" s="697">
        <v>4.1162789677062079</v>
      </c>
      <c r="H435" s="697">
        <v>4.1455670946516374</v>
      </c>
      <c r="I435" s="698">
        <v>4.1748552215970571</v>
      </c>
      <c r="J435" s="699">
        <v>4.204143348542476</v>
      </c>
    </row>
  </sheetData>
  <dataConsolidate/>
  <mergeCells count="147">
    <mergeCell ref="B221:C221"/>
    <mergeCell ref="D426:J426"/>
    <mergeCell ref="D427:J427"/>
    <mergeCell ref="B429:B435"/>
    <mergeCell ref="B426:C426"/>
    <mergeCell ref="B306:C306"/>
    <mergeCell ref="B249:C249"/>
    <mergeCell ref="B248:C248"/>
    <mergeCell ref="B246:C246"/>
    <mergeCell ref="B318:C318"/>
    <mergeCell ref="B325:C325"/>
    <mergeCell ref="B324:C324"/>
    <mergeCell ref="B323:C323"/>
    <mergeCell ref="B321:C321"/>
    <mergeCell ref="B320:C320"/>
    <mergeCell ref="B319:C319"/>
    <mergeCell ref="B308:C308"/>
    <mergeCell ref="B303:C303"/>
    <mergeCell ref="B299:C299"/>
    <mergeCell ref="B298:C298"/>
    <mergeCell ref="B295:C295"/>
    <mergeCell ref="B294:C294"/>
    <mergeCell ref="B274:C274"/>
    <mergeCell ref="B268:C268"/>
    <mergeCell ref="B217:C217"/>
    <mergeCell ref="B75:C75"/>
    <mergeCell ref="B219:C219"/>
    <mergeCell ref="B218:C218"/>
    <mergeCell ref="B50:C50"/>
    <mergeCell ref="B49:C49"/>
    <mergeCell ref="B99:C99"/>
    <mergeCell ref="B87:C87"/>
    <mergeCell ref="B74:C74"/>
    <mergeCell ref="B187:C187"/>
    <mergeCell ref="B153:C153"/>
    <mergeCell ref="B170:C170"/>
    <mergeCell ref="B138:C138"/>
    <mergeCell ref="B93:C93"/>
    <mergeCell ref="B105:C105"/>
    <mergeCell ref="B111:C111"/>
    <mergeCell ref="B117:C117"/>
    <mergeCell ref="B123:C123"/>
    <mergeCell ref="B129:C129"/>
    <mergeCell ref="B180:C180"/>
    <mergeCell ref="B134:C134"/>
    <mergeCell ref="B194:C194"/>
    <mergeCell ref="B176:C176"/>
    <mergeCell ref="B192:C192"/>
    <mergeCell ref="B213:C213"/>
    <mergeCell ref="B3:C3"/>
    <mergeCell ref="B4:C4"/>
    <mergeCell ref="B5:C5"/>
    <mergeCell ref="B11:C11"/>
    <mergeCell ref="B12:C12"/>
    <mergeCell ref="B46:C46"/>
    <mergeCell ref="B44:C44"/>
    <mergeCell ref="B43:C43"/>
    <mergeCell ref="B42:C42"/>
    <mergeCell ref="B41:C41"/>
    <mergeCell ref="B38:C38"/>
    <mergeCell ref="B13:C13"/>
    <mergeCell ref="B29:C29"/>
    <mergeCell ref="B37:C37"/>
    <mergeCell ref="B35:C35"/>
    <mergeCell ref="B33:C33"/>
    <mergeCell ref="B32:C32"/>
    <mergeCell ref="B288:C288"/>
    <mergeCell ref="B286:C286"/>
    <mergeCell ref="B281:C281"/>
    <mergeCell ref="B279:C279"/>
    <mergeCell ref="B278:C278"/>
    <mergeCell ref="B227:C227"/>
    <mergeCell ref="B229:C229"/>
    <mergeCell ref="B253:C253"/>
    <mergeCell ref="B252:C252"/>
    <mergeCell ref="B250:C250"/>
    <mergeCell ref="B258:C258"/>
    <mergeCell ref="B259:C259"/>
    <mergeCell ref="B261:C261"/>
    <mergeCell ref="B277:C277"/>
    <mergeCell ref="B276:C276"/>
    <mergeCell ref="B275:C275"/>
    <mergeCell ref="B235:C235"/>
    <mergeCell ref="B236:C236"/>
    <mergeCell ref="B237:C237"/>
    <mergeCell ref="B244:C244"/>
    <mergeCell ref="B266:C266"/>
    <mergeCell ref="B265:C265"/>
    <mergeCell ref="B2:C2"/>
    <mergeCell ref="B400:C400"/>
    <mergeCell ref="B401:C401"/>
    <mergeCell ref="B402:C402"/>
    <mergeCell ref="B342:C342"/>
    <mergeCell ref="B340:C340"/>
    <mergeCell ref="B339:C339"/>
    <mergeCell ref="B358:C358"/>
    <mergeCell ref="B302:C302"/>
    <mergeCell ref="B355:C355"/>
    <mergeCell ref="B354:C354"/>
    <mergeCell ref="B353:C353"/>
    <mergeCell ref="B352:C352"/>
    <mergeCell ref="B347:C347"/>
    <mergeCell ref="B345:C345"/>
    <mergeCell ref="B81:C81"/>
    <mergeCell ref="B351:C351"/>
    <mergeCell ref="B344:C344"/>
    <mergeCell ref="B343:C343"/>
    <mergeCell ref="B361:C361"/>
    <mergeCell ref="B234:C234"/>
    <mergeCell ref="B233:C233"/>
    <mergeCell ref="B232:C232"/>
    <mergeCell ref="B220:C220"/>
    <mergeCell ref="B405:C405"/>
    <mergeCell ref="B411:C424"/>
    <mergeCell ref="B399:C399"/>
    <mergeCell ref="B370:C370"/>
    <mergeCell ref="B371:C371"/>
    <mergeCell ref="B332:C332"/>
    <mergeCell ref="B334:C334"/>
    <mergeCell ref="B337:C337"/>
    <mergeCell ref="B336:C336"/>
    <mergeCell ref="B335:C335"/>
    <mergeCell ref="B403:C403"/>
    <mergeCell ref="B327:C327"/>
    <mergeCell ref="B328:C328"/>
    <mergeCell ref="B373:C373"/>
    <mergeCell ref="B326:C326"/>
    <mergeCell ref="B260:C260"/>
    <mergeCell ref="B329:C329"/>
    <mergeCell ref="A11:A12"/>
    <mergeCell ref="B51:C51"/>
    <mergeCell ref="B136:C136"/>
    <mergeCell ref="B331:C331"/>
    <mergeCell ref="B330:C330"/>
    <mergeCell ref="B310:C310"/>
    <mergeCell ref="B311:C311"/>
    <mergeCell ref="B312:C312"/>
    <mergeCell ref="B314:C314"/>
    <mergeCell ref="B315:C315"/>
    <mergeCell ref="B267:C267"/>
    <mergeCell ref="B263:C263"/>
    <mergeCell ref="B292:C292"/>
    <mergeCell ref="B289:C289"/>
    <mergeCell ref="B231:C231"/>
    <mergeCell ref="B230:C230"/>
    <mergeCell ref="B226:C226"/>
    <mergeCell ref="B291:C291"/>
  </mergeCells>
  <conditionalFormatting sqref="AM186:AP186">
    <cfRule type="cellIs" dxfId="59" priority="57" operator="lessThan">
      <formula>-2</formula>
    </cfRule>
    <cfRule type="cellIs" dxfId="58" priority="58" operator="greaterThan">
      <formula>2</formula>
    </cfRule>
  </conditionalFormatting>
  <conditionalFormatting sqref="S183:V184">
    <cfRule type="cellIs" dxfId="57" priority="79" operator="lessThan">
      <formula>-2</formula>
    </cfRule>
    <cfRule type="cellIs" dxfId="56" priority="80" operator="greaterThan">
      <formula>2</formula>
    </cfRule>
  </conditionalFormatting>
  <conditionalFormatting sqref="S186:V186">
    <cfRule type="cellIs" dxfId="55" priority="81" operator="lessThan">
      <formula>-2</formula>
    </cfRule>
    <cfRule type="cellIs" dxfId="54" priority="82" operator="greaterThan">
      <formula>2</formula>
    </cfRule>
  </conditionalFormatting>
  <conditionalFormatting sqref="N186:Q186">
    <cfRule type="cellIs" dxfId="53" priority="77" operator="lessThan">
      <formula>-2</formula>
    </cfRule>
    <cfRule type="cellIs" dxfId="52" priority="78" operator="greaterThan">
      <formula>2</formula>
    </cfRule>
  </conditionalFormatting>
  <conditionalFormatting sqref="N183:Q184">
    <cfRule type="cellIs" dxfId="51" priority="75" operator="lessThan">
      <formula>-2</formula>
    </cfRule>
    <cfRule type="cellIs" dxfId="50" priority="76" operator="greaterThan">
      <formula>2</formula>
    </cfRule>
  </conditionalFormatting>
  <conditionalFormatting sqref="I183:L185">
    <cfRule type="cellIs" dxfId="49" priority="71" operator="lessThan">
      <formula>-2</formula>
    </cfRule>
    <cfRule type="cellIs" dxfId="48" priority="72" operator="greaterThan">
      <formula>2</formula>
    </cfRule>
  </conditionalFormatting>
  <conditionalFormatting sqref="D182:G184">
    <cfRule type="cellIs" dxfId="47" priority="67" operator="lessThan">
      <formula>-2</formula>
    </cfRule>
    <cfRule type="cellIs" dxfId="46" priority="68" operator="greaterThan">
      <formula>2</formula>
    </cfRule>
  </conditionalFormatting>
  <conditionalFormatting sqref="AC186:AF186">
    <cfRule type="cellIs" dxfId="45" priority="65" operator="lessThan">
      <formula>-2</formula>
    </cfRule>
    <cfRule type="cellIs" dxfId="44" priority="66" operator="greaterThan">
      <formula>2</formula>
    </cfRule>
  </conditionalFormatting>
  <conditionalFormatting sqref="AC183:AF184">
    <cfRule type="cellIs" dxfId="43" priority="63" operator="lessThan">
      <formula>-2</formula>
    </cfRule>
    <cfRule type="cellIs" dxfId="42" priority="64" operator="greaterThan">
      <formula>2</formula>
    </cfRule>
  </conditionalFormatting>
  <conditionalFormatting sqref="AH186:AK186">
    <cfRule type="cellIs" dxfId="41" priority="61" operator="lessThan">
      <formula>-2</formula>
    </cfRule>
    <cfRule type="cellIs" dxfId="40" priority="62" operator="greaterThan">
      <formula>2</formula>
    </cfRule>
  </conditionalFormatting>
  <conditionalFormatting sqref="AH183:AK184">
    <cfRule type="cellIs" dxfId="39" priority="59" operator="lessThan">
      <formula>-2</formula>
    </cfRule>
    <cfRule type="cellIs" dxfId="38" priority="60" operator="greaterThan">
      <formula>2</formula>
    </cfRule>
  </conditionalFormatting>
  <conditionalFormatting sqref="AM183:AP184">
    <cfRule type="cellIs" dxfId="37" priority="55" operator="lessThan">
      <formula>-2</formula>
    </cfRule>
    <cfRule type="cellIs" dxfId="36" priority="56" operator="greaterThan">
      <formula>2</formula>
    </cfRule>
  </conditionalFormatting>
  <conditionalFormatting sqref="X186:AA186">
    <cfRule type="cellIs" dxfId="35" priority="53" operator="lessThan">
      <formula>-2</formula>
    </cfRule>
    <cfRule type="cellIs" dxfId="34" priority="54" operator="greaterThan">
      <formula>2</formula>
    </cfRule>
  </conditionalFormatting>
  <conditionalFormatting sqref="X183:AA184">
    <cfRule type="cellIs" dxfId="33" priority="51" operator="lessThan">
      <formula>-2</formula>
    </cfRule>
    <cfRule type="cellIs" dxfId="32" priority="52" operator="greaterThan">
      <formula>2</formula>
    </cfRule>
  </conditionalFormatting>
  <conditionalFormatting sqref="AM185:AP185">
    <cfRule type="cellIs" dxfId="31" priority="35" operator="lessThan">
      <formula>-2</formula>
    </cfRule>
    <cfRule type="cellIs" dxfId="30" priority="36" operator="greaterThan">
      <formula>2</formula>
    </cfRule>
  </conditionalFormatting>
  <conditionalFormatting sqref="D185:G185">
    <cfRule type="cellIs" dxfId="29" priority="47" operator="lessThan">
      <formula>-2</formula>
    </cfRule>
    <cfRule type="cellIs" dxfId="28" priority="48" operator="greaterThan">
      <formula>2</formula>
    </cfRule>
  </conditionalFormatting>
  <conditionalFormatting sqref="AC185:AF185">
    <cfRule type="cellIs" dxfId="27" priority="39" operator="lessThan">
      <formula>-2</formula>
    </cfRule>
    <cfRule type="cellIs" dxfId="26" priority="40" operator="greaterThan">
      <formula>2</formula>
    </cfRule>
  </conditionalFormatting>
  <conditionalFormatting sqref="S185:V185">
    <cfRule type="cellIs" dxfId="25" priority="43" operator="lessThan">
      <formula>-2</formula>
    </cfRule>
    <cfRule type="cellIs" dxfId="24" priority="44" operator="greaterThan">
      <formula>2</formula>
    </cfRule>
  </conditionalFormatting>
  <conditionalFormatting sqref="X185:AA185">
    <cfRule type="cellIs" dxfId="23" priority="41" operator="lessThan">
      <formula>-2</formula>
    </cfRule>
    <cfRule type="cellIs" dxfId="22" priority="42" operator="greaterThan">
      <formula>2</formula>
    </cfRule>
  </conditionalFormatting>
  <conditionalFormatting sqref="AH185:AK185">
    <cfRule type="cellIs" dxfId="21" priority="37" operator="lessThan">
      <formula>-2</formula>
    </cfRule>
    <cfRule type="cellIs" dxfId="20" priority="38" operator="greaterThan">
      <formula>2</formula>
    </cfRule>
  </conditionalFormatting>
  <conditionalFormatting sqref="N185:Q185">
    <cfRule type="cellIs" dxfId="19" priority="33" operator="lessThan">
      <formula>-2</formula>
    </cfRule>
    <cfRule type="cellIs" dxfId="18" priority="34" operator="greaterThan">
      <formula>2</formula>
    </cfRule>
  </conditionalFormatting>
  <conditionalFormatting sqref="I186:L186">
    <cfRule type="cellIs" dxfId="17" priority="31" operator="lessThan">
      <formula>-2</formula>
    </cfRule>
    <cfRule type="cellIs" dxfId="16" priority="32" operator="greaterThan">
      <formula>2</formula>
    </cfRule>
  </conditionalFormatting>
  <conditionalFormatting sqref="D186:G186">
    <cfRule type="cellIs" dxfId="15" priority="29" operator="lessThan">
      <formula>-2</formula>
    </cfRule>
    <cfRule type="cellIs" dxfId="14" priority="30" operator="greaterThan">
      <formula>2</formula>
    </cfRule>
  </conditionalFormatting>
  <conditionalFormatting sqref="I182:L182">
    <cfRule type="cellIs" dxfId="13" priority="13" operator="lessThan">
      <formula>-2</formula>
    </cfRule>
    <cfRule type="cellIs" dxfId="12" priority="14" operator="greaterThan">
      <formula>2</formula>
    </cfRule>
  </conditionalFormatting>
  <conditionalFormatting sqref="N182:Q182">
    <cfRule type="cellIs" dxfId="11" priority="11" operator="lessThan">
      <formula>-2</formula>
    </cfRule>
    <cfRule type="cellIs" dxfId="10" priority="12" operator="greaterThan">
      <formula>2</formula>
    </cfRule>
  </conditionalFormatting>
  <conditionalFormatting sqref="S182:V182">
    <cfRule type="cellIs" dxfId="9" priority="9" operator="lessThan">
      <formula>-2</formula>
    </cfRule>
    <cfRule type="cellIs" dxfId="8" priority="10" operator="greaterThan">
      <formula>2</formula>
    </cfRule>
  </conditionalFormatting>
  <conditionalFormatting sqref="X182:AA182">
    <cfRule type="cellIs" dxfId="7" priority="7" operator="lessThan">
      <formula>-2</formula>
    </cfRule>
    <cfRule type="cellIs" dxfId="6" priority="8" operator="greaterThan">
      <formula>2</formula>
    </cfRule>
  </conditionalFormatting>
  <conditionalFormatting sqref="AC182:AF182">
    <cfRule type="cellIs" dxfId="5" priority="5" operator="lessThan">
      <formula>-2</formula>
    </cfRule>
    <cfRule type="cellIs" dxfId="4" priority="6" operator="greaterThan">
      <formula>2</formula>
    </cfRule>
  </conditionalFormatting>
  <conditionalFormatting sqref="AH182:AK182">
    <cfRule type="cellIs" dxfId="3" priority="3" operator="lessThan">
      <formula>-2</formula>
    </cfRule>
    <cfRule type="cellIs" dxfId="2" priority="4" operator="greaterThan">
      <formula>2</formula>
    </cfRule>
  </conditionalFormatting>
  <conditionalFormatting sqref="AM182:AP182">
    <cfRule type="cellIs" dxfId="1" priority="1" operator="lessThan">
      <formula>-2</formula>
    </cfRule>
    <cfRule type="cellIs" dxfId="0" priority="2" operator="greaterThan">
      <formula>2</formula>
    </cfRule>
  </conditionalFormatting>
  <pageMargins left="0.7" right="0.7" top="0.75" bottom="0.75" header="0.3" footer="0.3"/>
  <pageSetup scale="43" orientation="landscape" r:id="rId1"/>
  <headerFooter>
    <oddFooter>&amp;CGutenberg Research LLC prohibits the redistribution of this document in whole or part without the written permission. 
© Gutenberg Research LLC 2018.</oddFooter>
  </headerFooter>
  <rowBreaks count="1" manualBreakCount="1">
    <brk id="244" max="16383" man="1"/>
  </rowBreaks>
  <ignoredErrors>
    <ignoredError sqref="G317"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41"/>
  <sheetViews>
    <sheetView showGridLines="0" zoomScaleNormal="100" workbookViewId="0">
      <selection activeCell="L17" sqref="L17"/>
    </sheetView>
  </sheetViews>
  <sheetFormatPr defaultColWidth="9.109375" defaultRowHeight="14.4" x14ac:dyDescent="0.3"/>
  <cols>
    <col min="1" max="1" width="1.109375" style="6" customWidth="1"/>
    <col min="2" max="2" width="22.6640625" style="6" customWidth="1"/>
    <col min="3" max="7" width="12.33203125" style="6" customWidth="1"/>
    <col min="8" max="10" width="12.33203125" style="594" customWidth="1"/>
    <col min="11" max="11" width="1.109375" style="594" customWidth="1"/>
    <col min="12" max="12" width="22.6640625" style="594" customWidth="1"/>
    <col min="13" max="17" width="12.33203125" style="594" customWidth="1"/>
    <col min="18" max="20" width="12.33203125" style="6" customWidth="1"/>
    <col min="21" max="16384" width="9.109375" style="6"/>
  </cols>
  <sheetData>
    <row r="1" spans="2:17" x14ac:dyDescent="0.3">
      <c r="B1" s="597" t="s">
        <v>571</v>
      </c>
    </row>
    <row r="2" spans="2:17" x14ac:dyDescent="0.3">
      <c r="B2" s="597"/>
    </row>
    <row r="3" spans="2:17" x14ac:dyDescent="0.3">
      <c r="B3" s="597" t="s">
        <v>539</v>
      </c>
    </row>
    <row r="4" spans="2:17" x14ac:dyDescent="0.3">
      <c r="B4" s="7"/>
      <c r="C4" s="8"/>
      <c r="D4" s="8"/>
      <c r="E4" s="8"/>
      <c r="F4" s="8"/>
      <c r="I4" s="595"/>
      <c r="L4" s="595"/>
    </row>
    <row r="5" spans="2:17" ht="12.6" customHeight="1" x14ac:dyDescent="0.3">
      <c r="B5" s="7"/>
      <c r="C5" s="8"/>
      <c r="D5" s="8"/>
      <c r="E5" s="8"/>
      <c r="F5" s="8"/>
    </row>
    <row r="6" spans="2:17" ht="21" customHeight="1" x14ac:dyDescent="0.3">
      <c r="C6" s="13"/>
      <c r="D6" s="14"/>
      <c r="E6" s="14"/>
      <c r="F6" s="14"/>
      <c r="H6" s="595"/>
    </row>
    <row r="7" spans="2:17" s="5" customFormat="1" ht="21" customHeight="1" x14ac:dyDescent="0.3">
      <c r="C7" s="14"/>
      <c r="D7" s="14"/>
      <c r="E7" s="14"/>
      <c r="F7" s="14"/>
      <c r="H7" s="795"/>
      <c r="I7" s="795"/>
      <c r="J7" s="795"/>
      <c r="K7" s="795"/>
      <c r="L7" s="795"/>
      <c r="M7" s="795"/>
      <c r="N7" s="795"/>
      <c r="O7" s="596"/>
      <c r="P7" s="596"/>
      <c r="Q7" s="596"/>
    </row>
    <row r="8" spans="2:17" ht="21" customHeight="1" x14ac:dyDescent="0.3">
      <c r="C8" s="8"/>
      <c r="D8" s="12"/>
      <c r="E8" s="12"/>
      <c r="F8" s="12"/>
      <c r="G8" s="9"/>
    </row>
    <row r="9" spans="2:17" ht="21" customHeight="1" x14ac:dyDescent="0.3">
      <c r="C9" s="8"/>
      <c r="D9" s="12"/>
      <c r="E9" s="12"/>
      <c r="F9" s="12"/>
      <c r="G9" s="9"/>
    </row>
    <row r="10" spans="2:17" ht="21" customHeight="1" x14ac:dyDescent="0.3">
      <c r="C10" s="8"/>
      <c r="D10" s="12"/>
      <c r="E10" s="12"/>
      <c r="F10" s="12"/>
      <c r="G10" s="9"/>
    </row>
    <row r="11" spans="2:17" ht="21" customHeight="1" x14ac:dyDescent="0.3">
      <c r="C11" s="8"/>
      <c r="D11" s="12"/>
      <c r="E11" s="12"/>
      <c r="F11" s="12"/>
      <c r="G11" s="9"/>
    </row>
    <row r="12" spans="2:17" ht="21" customHeight="1" x14ac:dyDescent="0.3">
      <c r="C12" s="8"/>
      <c r="D12" s="12"/>
      <c r="E12" s="12"/>
      <c r="F12" s="15"/>
      <c r="G12" s="9"/>
    </row>
    <row r="13" spans="2:17" ht="21" customHeight="1" x14ac:dyDescent="0.3">
      <c r="C13" s="8"/>
      <c r="D13" s="12"/>
      <c r="E13" s="16"/>
      <c r="F13" s="16"/>
      <c r="G13" s="9"/>
    </row>
    <row r="14" spans="2:17" ht="21" customHeight="1" x14ac:dyDescent="0.3">
      <c r="B14" s="597" t="s">
        <v>540</v>
      </c>
      <c r="C14" s="8"/>
      <c r="D14" s="12"/>
      <c r="E14" s="16"/>
      <c r="F14" s="16"/>
      <c r="G14" s="9"/>
    </row>
    <row r="15" spans="2:17" ht="21" customHeight="1" x14ac:dyDescent="0.3">
      <c r="C15" s="8"/>
      <c r="D15" s="12"/>
      <c r="E15" s="16"/>
      <c r="F15" s="16"/>
      <c r="G15" s="9"/>
    </row>
    <row r="16" spans="2:17" ht="21" customHeight="1" x14ac:dyDescent="0.3">
      <c r="D16" s="1"/>
      <c r="E16" s="2"/>
      <c r="F16" s="2"/>
      <c r="G16" s="9"/>
    </row>
    <row r="27" spans="2:2" x14ac:dyDescent="0.3">
      <c r="B27" s="597" t="s">
        <v>542</v>
      </c>
    </row>
    <row r="41" spans="2:2" x14ac:dyDescent="0.3">
      <c r="B41" s="597" t="s">
        <v>543</v>
      </c>
    </row>
  </sheetData>
  <mergeCells count="1">
    <mergeCell ref="H7:N7"/>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63098-3AD1-443C-A973-F894C384AE3A}">
  <dimension ref="A1:Q27"/>
  <sheetViews>
    <sheetView showGridLines="0" zoomScaleNormal="100" workbookViewId="0">
      <pane xSplit="2" ySplit="6" topLeftCell="C16" activePane="bottomRight" state="frozen"/>
      <selection pane="topRight" activeCell="C1" sqref="C1"/>
      <selection pane="bottomLeft" activeCell="A7" sqref="A7"/>
      <selection pane="bottomRight" activeCell="J24" sqref="J24"/>
    </sheetView>
  </sheetViews>
  <sheetFormatPr defaultRowHeight="14.4" x14ac:dyDescent="0.3"/>
  <cols>
    <col min="1" max="1" width="1.33203125" style="6" customWidth="1"/>
    <col min="2" max="2" width="12.6640625" customWidth="1"/>
    <col min="3" max="3" width="20.109375" customWidth="1"/>
    <col min="4" max="5" width="14.88671875" style="6" customWidth="1"/>
    <col min="6" max="8" width="19" style="6" customWidth="1"/>
    <col min="10" max="10" width="12.88671875" style="6" customWidth="1"/>
    <col min="11" max="12" width="16.33203125" customWidth="1"/>
    <col min="13" max="13" width="19.6640625" style="6" customWidth="1"/>
    <col min="14" max="14" width="11.6640625" customWidth="1"/>
    <col min="16" max="17" width="14.5546875" customWidth="1"/>
  </cols>
  <sheetData>
    <row r="1" spans="2:17" s="6" customFormat="1" x14ac:dyDescent="0.3">
      <c r="B1" s="6" t="s">
        <v>513</v>
      </c>
    </row>
    <row r="2" spans="2:17" s="6" customFormat="1" x14ac:dyDescent="0.3">
      <c r="B2" s="6" t="s">
        <v>451</v>
      </c>
    </row>
    <row r="3" spans="2:17" ht="8.4" customHeight="1" thickBot="1" x14ac:dyDescent="0.35"/>
    <row r="4" spans="2:17" ht="15" thickBot="1" x14ac:dyDescent="0.35">
      <c r="B4" s="803" t="s">
        <v>408</v>
      </c>
      <c r="C4" s="804"/>
      <c r="D4" s="804"/>
      <c r="E4" s="804"/>
      <c r="F4" s="804"/>
      <c r="G4" s="804"/>
      <c r="H4" s="804"/>
      <c r="I4" s="804"/>
      <c r="J4" s="804"/>
      <c r="K4" s="804"/>
      <c r="L4" s="804"/>
      <c r="M4" s="805"/>
      <c r="N4" s="815" t="s">
        <v>409</v>
      </c>
      <c r="O4" s="816"/>
      <c r="P4" s="816"/>
      <c r="Q4" s="816"/>
    </row>
    <row r="5" spans="2:17" ht="21" customHeight="1" x14ac:dyDescent="0.3">
      <c r="B5" s="799" t="s">
        <v>410</v>
      </c>
      <c r="C5" s="799" t="s">
        <v>411</v>
      </c>
      <c r="D5" s="799" t="s">
        <v>92</v>
      </c>
      <c r="E5" s="799" t="s">
        <v>520</v>
      </c>
      <c r="F5" s="799" t="s">
        <v>522</v>
      </c>
      <c r="G5" s="799" t="s">
        <v>523</v>
      </c>
      <c r="H5" s="799" t="s">
        <v>525</v>
      </c>
      <c r="I5" s="799" t="s">
        <v>412</v>
      </c>
      <c r="J5" s="799" t="s">
        <v>521</v>
      </c>
      <c r="K5" s="434" t="s">
        <v>413</v>
      </c>
      <c r="L5" s="435" t="s">
        <v>413</v>
      </c>
      <c r="M5" s="813" t="s">
        <v>529</v>
      </c>
      <c r="N5" s="801" t="s">
        <v>411</v>
      </c>
      <c r="O5" s="799" t="s">
        <v>412</v>
      </c>
      <c r="P5" s="434" t="s">
        <v>413</v>
      </c>
      <c r="Q5" s="434" t="s">
        <v>413</v>
      </c>
    </row>
    <row r="6" spans="2:17" ht="21" customHeight="1" thickBot="1" x14ac:dyDescent="0.35">
      <c r="B6" s="800"/>
      <c r="C6" s="800"/>
      <c r="D6" s="800"/>
      <c r="E6" s="800"/>
      <c r="F6" s="800"/>
      <c r="G6" s="800"/>
      <c r="H6" s="800"/>
      <c r="I6" s="800"/>
      <c r="J6" s="800"/>
      <c r="K6" s="436" t="s">
        <v>414</v>
      </c>
      <c r="L6" s="437" t="s">
        <v>415</v>
      </c>
      <c r="M6" s="814"/>
      <c r="N6" s="802"/>
      <c r="O6" s="800"/>
      <c r="P6" s="436" t="s">
        <v>414</v>
      </c>
      <c r="Q6" s="436" t="s">
        <v>415</v>
      </c>
    </row>
    <row r="7" spans="2:17" ht="29.4" thickBot="1" x14ac:dyDescent="0.35">
      <c r="B7" s="438" t="s">
        <v>416</v>
      </c>
      <c r="C7" s="439" t="s">
        <v>450</v>
      </c>
      <c r="D7" s="440"/>
      <c r="E7" s="440"/>
      <c r="F7" s="440"/>
      <c r="G7" s="440"/>
      <c r="H7" s="440"/>
      <c r="I7" s="440" t="s">
        <v>417</v>
      </c>
      <c r="J7" s="440"/>
      <c r="K7" s="440" t="s">
        <v>418</v>
      </c>
      <c r="L7" s="441" t="s">
        <v>419</v>
      </c>
      <c r="M7" s="440"/>
      <c r="N7" s="796"/>
      <c r="O7" s="797"/>
      <c r="P7" s="797"/>
      <c r="Q7" s="798"/>
    </row>
    <row r="8" spans="2:17" ht="29.4" thickBot="1" x14ac:dyDescent="0.35">
      <c r="B8" s="438" t="s">
        <v>416</v>
      </c>
      <c r="C8" s="442" t="s">
        <v>452</v>
      </c>
      <c r="D8" s="442"/>
      <c r="E8" s="442"/>
      <c r="F8" s="442"/>
      <c r="G8" s="442"/>
      <c r="H8" s="442"/>
      <c r="I8" s="442" t="s">
        <v>417</v>
      </c>
      <c r="J8" s="442"/>
      <c r="K8" s="442" t="s">
        <v>418</v>
      </c>
      <c r="L8" s="441" t="s">
        <v>419</v>
      </c>
      <c r="M8" s="440"/>
      <c r="N8" s="796"/>
      <c r="O8" s="797"/>
      <c r="P8" s="797"/>
      <c r="Q8" s="798"/>
    </row>
    <row r="9" spans="2:17" ht="29.4" thickBot="1" x14ac:dyDescent="0.35">
      <c r="B9" s="438" t="s">
        <v>416</v>
      </c>
      <c r="C9" s="443" t="s">
        <v>453</v>
      </c>
      <c r="D9" s="444"/>
      <c r="E9" s="444"/>
      <c r="F9" s="444"/>
      <c r="G9" s="444"/>
      <c r="H9" s="444"/>
      <c r="I9" s="444" t="s">
        <v>417</v>
      </c>
      <c r="J9" s="444"/>
      <c r="K9" s="444" t="s">
        <v>418</v>
      </c>
      <c r="L9" s="442" t="s">
        <v>420</v>
      </c>
      <c r="M9" s="440"/>
      <c r="N9" s="796"/>
      <c r="O9" s="797"/>
      <c r="P9" s="797"/>
      <c r="Q9" s="798"/>
    </row>
    <row r="10" spans="2:17" ht="29.4" thickBot="1" x14ac:dyDescent="0.35">
      <c r="B10" s="445" t="s">
        <v>416</v>
      </c>
      <c r="C10" s="440" t="s">
        <v>454</v>
      </c>
      <c r="D10" s="440"/>
      <c r="E10" s="440"/>
      <c r="F10" s="440"/>
      <c r="G10" s="440"/>
      <c r="H10" s="440"/>
      <c r="I10" s="440" t="s">
        <v>417</v>
      </c>
      <c r="J10" s="440"/>
      <c r="K10" s="440" t="s">
        <v>418</v>
      </c>
      <c r="L10" s="440" t="s">
        <v>421</v>
      </c>
      <c r="M10" s="440"/>
      <c r="N10" s="440">
        <v>42172</v>
      </c>
      <c r="O10" s="440" t="s">
        <v>422</v>
      </c>
      <c r="P10" s="440" t="s">
        <v>418</v>
      </c>
      <c r="Q10" s="446">
        <v>8.9499999999999993</v>
      </c>
    </row>
    <row r="11" spans="2:17" ht="29.4" thickBot="1" x14ac:dyDescent="0.35">
      <c r="B11" s="438" t="s">
        <v>423</v>
      </c>
      <c r="C11" s="443" t="s">
        <v>455</v>
      </c>
      <c r="D11" s="444"/>
      <c r="E11" s="444"/>
      <c r="F11" s="444"/>
      <c r="G11" s="444"/>
      <c r="H11" s="444"/>
      <c r="I11" s="444" t="s">
        <v>424</v>
      </c>
      <c r="J11" s="444"/>
      <c r="K11" s="444" t="s">
        <v>418</v>
      </c>
      <c r="L11" s="441" t="s">
        <v>425</v>
      </c>
      <c r="M11" s="440"/>
      <c r="N11" s="796"/>
      <c r="O11" s="797"/>
      <c r="P11" s="797"/>
      <c r="Q11" s="798"/>
    </row>
    <row r="12" spans="2:17" ht="29.4" thickBot="1" x14ac:dyDescent="0.35">
      <c r="B12" s="438" t="s">
        <v>423</v>
      </c>
      <c r="C12" s="443" t="s">
        <v>456</v>
      </c>
      <c r="D12" s="444"/>
      <c r="E12" s="444"/>
      <c r="F12" s="444"/>
      <c r="G12" s="444"/>
      <c r="H12" s="444"/>
      <c r="I12" s="444" t="s">
        <v>424</v>
      </c>
      <c r="J12" s="444"/>
      <c r="K12" s="444" t="s">
        <v>418</v>
      </c>
      <c r="L12" s="441" t="s">
        <v>426</v>
      </c>
      <c r="M12" s="440"/>
      <c r="N12" s="796"/>
      <c r="O12" s="797"/>
      <c r="P12" s="797"/>
      <c r="Q12" s="798"/>
    </row>
    <row r="13" spans="2:17" ht="29.4" thickBot="1" x14ac:dyDescent="0.35">
      <c r="B13" s="438" t="s">
        <v>423</v>
      </c>
      <c r="C13" s="443" t="s">
        <v>457</v>
      </c>
      <c r="D13" s="444"/>
      <c r="E13" s="444"/>
      <c r="F13" s="444"/>
      <c r="G13" s="444"/>
      <c r="H13" s="444"/>
      <c r="I13" s="444" t="s">
        <v>424</v>
      </c>
      <c r="J13" s="444"/>
      <c r="K13" s="444" t="s">
        <v>418</v>
      </c>
      <c r="L13" s="442" t="s">
        <v>426</v>
      </c>
      <c r="M13" s="440"/>
      <c r="N13" s="796"/>
      <c r="O13" s="797"/>
      <c r="P13" s="797"/>
      <c r="Q13" s="798"/>
    </row>
    <row r="14" spans="2:17" ht="36" customHeight="1" thickBot="1" x14ac:dyDescent="0.35">
      <c r="B14" s="445" t="s">
        <v>423</v>
      </c>
      <c r="C14" s="440" t="s">
        <v>458</v>
      </c>
      <c r="D14" s="440"/>
      <c r="E14" s="440"/>
      <c r="F14" s="440"/>
      <c r="G14" s="440"/>
      <c r="H14" s="440"/>
      <c r="I14" s="440" t="s">
        <v>427</v>
      </c>
      <c r="J14" s="440"/>
      <c r="K14" s="440" t="s">
        <v>418</v>
      </c>
      <c r="L14" s="440" t="s">
        <v>428</v>
      </c>
      <c r="M14" s="440"/>
      <c r="N14" s="440">
        <v>42542</v>
      </c>
      <c r="O14" s="440" t="s">
        <v>427</v>
      </c>
      <c r="P14" s="440" t="s">
        <v>418</v>
      </c>
      <c r="Q14" s="446">
        <v>10.8</v>
      </c>
    </row>
    <row r="15" spans="2:17" ht="29.4" thickBot="1" x14ac:dyDescent="0.35">
      <c r="B15" s="438" t="s">
        <v>429</v>
      </c>
      <c r="C15" s="443" t="s">
        <v>459</v>
      </c>
      <c r="D15" s="444"/>
      <c r="E15" s="444"/>
      <c r="F15" s="444"/>
      <c r="G15" s="444"/>
      <c r="H15" s="444"/>
      <c r="I15" s="444" t="s">
        <v>430</v>
      </c>
      <c r="J15" s="444"/>
      <c r="K15" s="444" t="s">
        <v>418</v>
      </c>
      <c r="L15" s="441" t="s">
        <v>431</v>
      </c>
      <c r="M15" s="440"/>
      <c r="N15" s="796"/>
      <c r="O15" s="797"/>
      <c r="P15" s="797"/>
      <c r="Q15" s="798"/>
    </row>
    <row r="16" spans="2:17" ht="29.4" thickBot="1" x14ac:dyDescent="0.35">
      <c r="B16" s="438" t="s">
        <v>429</v>
      </c>
      <c r="C16" s="443" t="s">
        <v>460</v>
      </c>
      <c r="D16" s="444"/>
      <c r="E16" s="444"/>
      <c r="F16" s="444"/>
      <c r="G16" s="444"/>
      <c r="H16" s="444"/>
      <c r="I16" s="444" t="s">
        <v>432</v>
      </c>
      <c r="J16" s="444"/>
      <c r="K16" s="444" t="s">
        <v>433</v>
      </c>
      <c r="L16" s="441" t="s">
        <v>434</v>
      </c>
      <c r="M16" s="440"/>
      <c r="N16" s="796"/>
      <c r="O16" s="797"/>
      <c r="P16" s="797"/>
      <c r="Q16" s="798"/>
    </row>
    <row r="17" spans="2:17" ht="29.4" thickBot="1" x14ac:dyDescent="0.35">
      <c r="B17" s="438" t="s">
        <v>429</v>
      </c>
      <c r="C17" s="443" t="s">
        <v>461</v>
      </c>
      <c r="D17" s="444"/>
      <c r="E17" s="444"/>
      <c r="F17" s="444"/>
      <c r="G17" s="444"/>
      <c r="H17" s="444"/>
      <c r="I17" s="444" t="s">
        <v>432</v>
      </c>
      <c r="J17" s="444"/>
      <c r="K17" s="444" t="s">
        <v>435</v>
      </c>
      <c r="L17" s="441" t="s">
        <v>434</v>
      </c>
      <c r="M17" s="440"/>
      <c r="N17" s="796"/>
      <c r="O17" s="797"/>
      <c r="P17" s="797"/>
      <c r="Q17" s="798"/>
    </row>
    <row r="18" spans="2:17" ht="29.4" thickBot="1" x14ac:dyDescent="0.35">
      <c r="B18" s="445" t="s">
        <v>429</v>
      </c>
      <c r="C18" s="443" t="s">
        <v>462</v>
      </c>
      <c r="D18" s="444"/>
      <c r="E18" s="444"/>
      <c r="F18" s="444"/>
      <c r="G18" s="444"/>
      <c r="H18" s="444"/>
      <c r="I18" s="440" t="s">
        <v>436</v>
      </c>
      <c r="J18" s="440"/>
      <c r="K18" s="440" t="s">
        <v>437</v>
      </c>
      <c r="L18" s="440" t="s">
        <v>434</v>
      </c>
      <c r="M18" s="440"/>
      <c r="N18" s="440">
        <v>42906</v>
      </c>
      <c r="O18" s="440" t="s">
        <v>430</v>
      </c>
      <c r="P18" s="440">
        <v>11.18</v>
      </c>
      <c r="Q18" s="446">
        <v>12.3</v>
      </c>
    </row>
    <row r="19" spans="2:17" ht="29.4" thickBot="1" x14ac:dyDescent="0.35">
      <c r="B19" s="438" t="s">
        <v>438</v>
      </c>
      <c r="C19" s="443" t="s">
        <v>463</v>
      </c>
      <c r="D19" s="444"/>
      <c r="E19" s="444"/>
      <c r="F19" s="444"/>
      <c r="G19" s="444"/>
      <c r="H19" s="444"/>
      <c r="I19" s="444" t="s">
        <v>439</v>
      </c>
      <c r="J19" s="444"/>
      <c r="K19" s="444" t="s">
        <v>440</v>
      </c>
      <c r="L19" s="441" t="s">
        <v>441</v>
      </c>
      <c r="M19" s="440"/>
      <c r="N19" s="796"/>
      <c r="O19" s="797"/>
      <c r="P19" s="797"/>
      <c r="Q19" s="798"/>
    </row>
    <row r="20" spans="2:17" ht="29.4" thickBot="1" x14ac:dyDescent="0.35">
      <c r="B20" s="438" t="s">
        <v>438</v>
      </c>
      <c r="C20" s="443" t="s">
        <v>464</v>
      </c>
      <c r="D20" s="444"/>
      <c r="E20" s="444"/>
      <c r="F20" s="444"/>
      <c r="G20" s="444"/>
      <c r="H20" s="444"/>
      <c r="I20" s="444" t="s">
        <v>439</v>
      </c>
      <c r="J20" s="444"/>
      <c r="K20" s="444" t="s">
        <v>442</v>
      </c>
      <c r="L20" s="441" t="s">
        <v>443</v>
      </c>
      <c r="M20" s="440"/>
      <c r="N20" s="796"/>
      <c r="O20" s="797"/>
      <c r="P20" s="797"/>
      <c r="Q20" s="798"/>
    </row>
    <row r="21" spans="2:17" ht="29.4" thickBot="1" x14ac:dyDescent="0.35">
      <c r="B21" s="438" t="s">
        <v>438</v>
      </c>
      <c r="C21" s="443" t="s">
        <v>465</v>
      </c>
      <c r="D21" s="444"/>
      <c r="E21" s="444"/>
      <c r="F21" s="444"/>
      <c r="G21" s="444"/>
      <c r="H21" s="444"/>
      <c r="I21" s="444" t="s">
        <v>439</v>
      </c>
      <c r="J21" s="444"/>
      <c r="K21" s="444" t="s">
        <v>444</v>
      </c>
      <c r="L21" s="441" t="s">
        <v>445</v>
      </c>
      <c r="M21" s="440"/>
      <c r="N21" s="796"/>
      <c r="O21" s="797"/>
      <c r="P21" s="797"/>
      <c r="Q21" s="798"/>
    </row>
    <row r="22" spans="2:17" ht="29.4" thickBot="1" x14ac:dyDescent="0.35">
      <c r="B22" s="445" t="s">
        <v>438</v>
      </c>
      <c r="C22" s="439" t="s">
        <v>466</v>
      </c>
      <c r="D22" s="440"/>
      <c r="E22" s="440"/>
      <c r="F22" s="440"/>
      <c r="G22" s="440"/>
      <c r="H22" s="440"/>
      <c r="I22" s="440" t="s">
        <v>446</v>
      </c>
      <c r="J22" s="440"/>
      <c r="K22" s="440" t="s">
        <v>447</v>
      </c>
      <c r="L22" s="440" t="s">
        <v>448</v>
      </c>
      <c r="M22" s="440"/>
      <c r="N22" s="440">
        <v>43270</v>
      </c>
      <c r="O22" s="440" t="s">
        <v>449</v>
      </c>
      <c r="P22" s="440">
        <v>16.670000000000002</v>
      </c>
      <c r="Q22" s="446">
        <v>15.31</v>
      </c>
    </row>
    <row r="23" spans="2:17" s="6" customFormat="1" ht="29.4" thickBot="1" x14ac:dyDescent="0.35">
      <c r="B23" s="438" t="s">
        <v>514</v>
      </c>
      <c r="C23" s="443" t="s">
        <v>516</v>
      </c>
      <c r="D23" s="444" t="s">
        <v>519</v>
      </c>
      <c r="E23" s="538">
        <v>7.9000000000000001E-2</v>
      </c>
      <c r="F23" s="538">
        <v>8.5000000000000006E-2</v>
      </c>
      <c r="G23" s="538" t="s">
        <v>524</v>
      </c>
      <c r="H23" s="540">
        <f>365/1.35</f>
        <v>270.37037037037038</v>
      </c>
      <c r="I23" s="440" t="s">
        <v>432</v>
      </c>
      <c r="J23" s="539">
        <v>0.25</v>
      </c>
      <c r="K23" s="444" t="s">
        <v>518</v>
      </c>
      <c r="L23" s="441" t="s">
        <v>517</v>
      </c>
      <c r="M23" s="440"/>
      <c r="N23" s="810"/>
      <c r="O23" s="811"/>
      <c r="P23" s="811"/>
      <c r="Q23" s="812"/>
    </row>
    <row r="24" spans="2:17" ht="72.599999999999994" thickBot="1" x14ac:dyDescent="0.35">
      <c r="B24" s="445" t="s">
        <v>514</v>
      </c>
      <c r="C24" s="439" t="s">
        <v>515</v>
      </c>
      <c r="D24" s="439" t="s">
        <v>519</v>
      </c>
      <c r="E24" s="541">
        <v>7.9000000000000001E-2</v>
      </c>
      <c r="F24" s="541">
        <v>8.5000000000000006E-2</v>
      </c>
      <c r="G24" s="541" t="s">
        <v>524</v>
      </c>
      <c r="H24" s="542">
        <f>365/1.35</f>
        <v>270.37037037037038</v>
      </c>
      <c r="I24" s="439" t="s">
        <v>432</v>
      </c>
      <c r="J24" s="543">
        <v>0.25</v>
      </c>
      <c r="K24" s="439" t="s">
        <v>526</v>
      </c>
      <c r="L24" s="439" t="s">
        <v>527</v>
      </c>
      <c r="M24" s="544" t="s">
        <v>530</v>
      </c>
      <c r="N24" s="809"/>
      <c r="O24" s="809"/>
      <c r="P24" s="809"/>
      <c r="Q24" s="809"/>
    </row>
    <row r="25" spans="2:17" ht="15" thickBot="1" x14ac:dyDescent="0.35"/>
    <row r="26" spans="2:17" ht="15" thickBot="1" x14ac:dyDescent="0.35">
      <c r="B26" s="803" t="s">
        <v>528</v>
      </c>
      <c r="C26" s="804"/>
      <c r="D26" s="804"/>
      <c r="E26" s="804"/>
      <c r="F26" s="804"/>
      <c r="G26" s="804"/>
      <c r="H26" s="804"/>
      <c r="I26" s="804"/>
      <c r="J26" s="804"/>
      <c r="K26" s="804"/>
      <c r="L26" s="805"/>
    </row>
    <row r="27" spans="2:17" ht="43.5" customHeight="1" thickBot="1" x14ac:dyDescent="0.35">
      <c r="B27" s="806" t="s">
        <v>531</v>
      </c>
      <c r="C27" s="807"/>
      <c r="D27" s="807"/>
      <c r="E27" s="807"/>
      <c r="F27" s="808"/>
      <c r="G27" s="806" t="s">
        <v>532</v>
      </c>
      <c r="H27" s="807"/>
      <c r="I27" s="807"/>
      <c r="J27" s="807"/>
      <c r="K27" s="807"/>
      <c r="L27" s="808"/>
    </row>
  </sheetData>
  <mergeCells count="31">
    <mergeCell ref="B4:M4"/>
    <mergeCell ref="B27:F27"/>
    <mergeCell ref="G27:L27"/>
    <mergeCell ref="B26:L26"/>
    <mergeCell ref="N24:Q24"/>
    <mergeCell ref="D5:D6"/>
    <mergeCell ref="E5:E6"/>
    <mergeCell ref="F5:F6"/>
    <mergeCell ref="J5:J6"/>
    <mergeCell ref="G5:G6"/>
    <mergeCell ref="H5:H6"/>
    <mergeCell ref="N23:Q23"/>
    <mergeCell ref="M5:M6"/>
    <mergeCell ref="N4:Q4"/>
    <mergeCell ref="B5:B6"/>
    <mergeCell ref="C5:C6"/>
    <mergeCell ref="I5:I6"/>
    <mergeCell ref="N5:N6"/>
    <mergeCell ref="O5:O6"/>
    <mergeCell ref="N13:Q13"/>
    <mergeCell ref="N11:Q11"/>
    <mergeCell ref="N12:Q12"/>
    <mergeCell ref="N9:Q9"/>
    <mergeCell ref="N7:Q7"/>
    <mergeCell ref="N8:Q8"/>
    <mergeCell ref="N21:Q21"/>
    <mergeCell ref="N19:Q19"/>
    <mergeCell ref="N20:Q20"/>
    <mergeCell ref="N17:Q17"/>
    <mergeCell ref="N15:Q15"/>
    <mergeCell ref="N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81B74-4FD3-4A80-B515-D0B4B3984644}">
  <dimension ref="B1:L22"/>
  <sheetViews>
    <sheetView showGridLines="0" workbookViewId="0">
      <selection activeCell="M16" sqref="M16"/>
    </sheetView>
  </sheetViews>
  <sheetFormatPr defaultRowHeight="14.4" x14ac:dyDescent="0.3"/>
  <cols>
    <col min="1" max="1" width="1.33203125" customWidth="1"/>
    <col min="2" max="2" width="9.6640625" customWidth="1"/>
  </cols>
  <sheetData>
    <row r="1" spans="2:11" x14ac:dyDescent="0.3">
      <c r="B1" s="6" t="s">
        <v>513</v>
      </c>
    </row>
    <row r="2" spans="2:11" x14ac:dyDescent="0.3">
      <c r="B2" s="6" t="s">
        <v>550</v>
      </c>
    </row>
    <row r="3" spans="2:11" ht="43.2" x14ac:dyDescent="0.3">
      <c r="B3" s="599" t="s">
        <v>551</v>
      </c>
      <c r="C3" s="599" t="s">
        <v>552</v>
      </c>
      <c r="D3" s="599" t="s">
        <v>553</v>
      </c>
      <c r="E3" s="599" t="s">
        <v>554</v>
      </c>
      <c r="F3" s="599" t="s">
        <v>555</v>
      </c>
      <c r="G3" s="599" t="s">
        <v>567</v>
      </c>
      <c r="H3" s="599" t="s">
        <v>556</v>
      </c>
      <c r="I3" s="599" t="s">
        <v>557</v>
      </c>
      <c r="J3" s="599" t="s">
        <v>558</v>
      </c>
      <c r="K3" s="599" t="s">
        <v>559</v>
      </c>
    </row>
    <row r="4" spans="2:11" x14ac:dyDescent="0.3">
      <c r="B4" s="633">
        <v>43040</v>
      </c>
      <c r="C4" s="639">
        <v>227</v>
      </c>
      <c r="D4" s="639">
        <v>233.88999899999999</v>
      </c>
      <c r="E4" s="639">
        <v>214.16999799999999</v>
      </c>
      <c r="F4" s="639">
        <v>231.46000699999999</v>
      </c>
      <c r="G4" s="639">
        <v>229.28190599999999</v>
      </c>
      <c r="H4" s="529">
        <v>26271800</v>
      </c>
      <c r="I4" s="634"/>
      <c r="J4" s="635"/>
      <c r="K4" s="601"/>
    </row>
    <row r="5" spans="2:11" x14ac:dyDescent="0.3">
      <c r="B5" s="633">
        <v>43070</v>
      </c>
      <c r="C5" s="639">
        <v>231.720001</v>
      </c>
      <c r="D5" s="639">
        <v>255.11000100000001</v>
      </c>
      <c r="E5" s="639">
        <v>226.16999799999999</v>
      </c>
      <c r="F5" s="639">
        <v>249.53999300000001</v>
      </c>
      <c r="G5" s="639">
        <v>247.191757</v>
      </c>
      <c r="H5" s="529">
        <v>37142800</v>
      </c>
      <c r="I5" s="634">
        <f t="shared" ref="I5:I15" si="0">+G5/G4-1</f>
        <v>7.8112797090931441E-2</v>
      </c>
      <c r="J5" s="635">
        <f t="shared" ref="J5:J15" si="1">I5-$I$17</f>
        <v>8.0049040229860383E-2</v>
      </c>
      <c r="K5" s="601">
        <f>J5^2</f>
        <v>6.4078488417218058E-3</v>
      </c>
    </row>
    <row r="6" spans="2:11" x14ac:dyDescent="0.3">
      <c r="B6" s="633">
        <v>43101</v>
      </c>
      <c r="C6" s="639">
        <v>250.83000200000001</v>
      </c>
      <c r="D6" s="639">
        <v>274.66000400000001</v>
      </c>
      <c r="E6" s="639">
        <v>250</v>
      </c>
      <c r="F6" s="639">
        <v>262.48001099999999</v>
      </c>
      <c r="G6" s="639">
        <v>260.55441300000001</v>
      </c>
      <c r="H6" s="529">
        <v>36792400</v>
      </c>
      <c r="I6" s="634">
        <f t="shared" si="0"/>
        <v>5.4057854364456093E-2</v>
      </c>
      <c r="J6" s="635">
        <f t="shared" si="1"/>
        <v>5.5994097503385042E-2</v>
      </c>
      <c r="K6" s="601">
        <f t="shared" ref="K6:K15" si="2">J6^2</f>
        <v>3.135338955218591E-3</v>
      </c>
    </row>
    <row r="7" spans="2:11" x14ac:dyDescent="0.3">
      <c r="B7" s="633">
        <v>43132</v>
      </c>
      <c r="C7" s="639">
        <v>258.14999399999999</v>
      </c>
      <c r="D7" s="639">
        <v>265.67001299999998</v>
      </c>
      <c r="E7" s="639">
        <v>226.199997</v>
      </c>
      <c r="F7" s="639">
        <v>246.41000399999999</v>
      </c>
      <c r="G7" s="639">
        <v>244.60228000000001</v>
      </c>
      <c r="H7" s="529">
        <v>38534500</v>
      </c>
      <c r="I7" s="634">
        <f t="shared" si="0"/>
        <v>-6.1223806637272338E-2</v>
      </c>
      <c r="J7" s="635">
        <f t="shared" si="1"/>
        <v>-5.9287563498343389E-2</v>
      </c>
      <c r="K7" s="601">
        <f t="shared" si="2"/>
        <v>3.5150151855700995E-3</v>
      </c>
    </row>
    <row r="8" spans="2:11" x14ac:dyDescent="0.3">
      <c r="B8" s="633">
        <v>43160</v>
      </c>
      <c r="C8" s="639">
        <v>246.35000600000001</v>
      </c>
      <c r="D8" s="639">
        <v>258</v>
      </c>
      <c r="E8" s="639">
        <v>228.89999399999999</v>
      </c>
      <c r="F8" s="639">
        <v>240.11000100000001</v>
      </c>
      <c r="G8" s="639">
        <v>238.348511</v>
      </c>
      <c r="H8" s="529">
        <v>45507000</v>
      </c>
      <c r="I8" s="634">
        <f t="shared" si="0"/>
        <v>-2.5567092015659099E-2</v>
      </c>
      <c r="J8" s="635">
        <f t="shared" si="1"/>
        <v>-2.363084887673015E-2</v>
      </c>
      <c r="K8" s="601">
        <f t="shared" si="2"/>
        <v>5.5841701863485859E-4</v>
      </c>
    </row>
    <row r="9" spans="2:11" x14ac:dyDescent="0.3">
      <c r="B9" s="633">
        <v>43191</v>
      </c>
      <c r="C9" s="639">
        <v>239.19000199999999</v>
      </c>
      <c r="D9" s="639">
        <v>257.47000100000002</v>
      </c>
      <c r="E9" s="639">
        <v>231.71000699999999</v>
      </c>
      <c r="F9" s="639">
        <v>247.199997</v>
      </c>
      <c r="G9" s="639">
        <v>245.89778100000001</v>
      </c>
      <c r="H9" s="529">
        <v>31447100</v>
      </c>
      <c r="I9" s="634">
        <f t="shared" si="0"/>
        <v>3.1673241709489819E-2</v>
      </c>
      <c r="J9" s="635">
        <f t="shared" si="1"/>
        <v>3.3609484848418768E-2</v>
      </c>
      <c r="K9" s="601">
        <f t="shared" si="2"/>
        <v>1.1295974717760908E-3</v>
      </c>
    </row>
    <row r="10" spans="2:11" x14ac:dyDescent="0.3">
      <c r="B10" s="633">
        <v>43221</v>
      </c>
      <c r="C10" s="639">
        <v>247.229996</v>
      </c>
      <c r="D10" s="639">
        <v>256.29998799999998</v>
      </c>
      <c r="E10" s="639">
        <v>236.61000100000001</v>
      </c>
      <c r="F10" s="639">
        <v>249.11999499999999</v>
      </c>
      <c r="G10" s="639">
        <v>247.807648</v>
      </c>
      <c r="H10" s="529">
        <v>28349700</v>
      </c>
      <c r="I10" s="634">
        <f t="shared" si="0"/>
        <v>7.7669143342127267E-3</v>
      </c>
      <c r="J10" s="635">
        <f t="shared" si="1"/>
        <v>9.7031574731416756E-3</v>
      </c>
      <c r="K10" s="601">
        <f t="shared" si="2"/>
        <v>9.4151264948585153E-5</v>
      </c>
    </row>
    <row r="11" spans="2:11" x14ac:dyDescent="0.3">
      <c r="B11" s="633">
        <v>43252</v>
      </c>
      <c r="C11" s="639">
        <v>251.570007</v>
      </c>
      <c r="D11" s="639">
        <v>266.67001299999998</v>
      </c>
      <c r="E11" s="639">
        <v>222.44000199999999</v>
      </c>
      <c r="F11" s="639">
        <v>227.05999800000001</v>
      </c>
      <c r="G11" s="639">
        <v>225.863876</v>
      </c>
      <c r="H11" s="529">
        <v>43056900</v>
      </c>
      <c r="I11" s="634">
        <f t="shared" si="0"/>
        <v>-8.8551633402371821E-2</v>
      </c>
      <c r="J11" s="635">
        <f t="shared" si="1"/>
        <v>-8.6615390263442879E-2</v>
      </c>
      <c r="K11" s="601">
        <f t="shared" si="2"/>
        <v>7.5022258304885152E-3</v>
      </c>
    </row>
    <row r="12" spans="2:11" x14ac:dyDescent="0.3">
      <c r="B12" s="633">
        <v>43282</v>
      </c>
      <c r="C12" s="639">
        <v>225.36999499999999</v>
      </c>
      <c r="D12" s="639">
        <v>248.61999499999999</v>
      </c>
      <c r="E12" s="639">
        <v>225.259995</v>
      </c>
      <c r="F12" s="639">
        <v>245.86999499999999</v>
      </c>
      <c r="G12" s="639">
        <v>245.22084000000001</v>
      </c>
      <c r="H12" s="529">
        <v>32080800</v>
      </c>
      <c r="I12" s="634">
        <f t="shared" si="0"/>
        <v>8.5701903034728799E-2</v>
      </c>
      <c r="J12" s="635">
        <f t="shared" si="1"/>
        <v>8.7638146173657741E-2</v>
      </c>
      <c r="K12" s="601">
        <f t="shared" si="2"/>
        <v>7.6804446647554007E-3</v>
      </c>
    </row>
    <row r="13" spans="2:11" x14ac:dyDescent="0.3">
      <c r="B13" s="633">
        <v>43313</v>
      </c>
      <c r="C13" s="639">
        <v>245.699997</v>
      </c>
      <c r="D13" s="639">
        <v>252.28999300000001</v>
      </c>
      <c r="E13" s="639">
        <v>238.779999</v>
      </c>
      <c r="F13" s="639">
        <v>243.949997</v>
      </c>
      <c r="G13" s="639">
        <v>243.30590799999999</v>
      </c>
      <c r="H13" s="529">
        <v>25492700</v>
      </c>
      <c r="I13" s="634">
        <f t="shared" si="0"/>
        <v>-7.8090100335681534E-3</v>
      </c>
      <c r="J13" s="635">
        <f t="shared" si="1"/>
        <v>-5.8727668946392053E-3</v>
      </c>
      <c r="K13" s="601">
        <f t="shared" si="2"/>
        <v>3.4489390998770214E-5</v>
      </c>
    </row>
    <row r="14" spans="2:11" x14ac:dyDescent="0.3">
      <c r="B14" s="633">
        <v>43344</v>
      </c>
      <c r="C14" s="639">
        <v>243.89999399999999</v>
      </c>
      <c r="D14" s="639">
        <v>259.25</v>
      </c>
      <c r="E14" s="639">
        <v>237.509995</v>
      </c>
      <c r="F14" s="639">
        <v>240.78999300000001</v>
      </c>
      <c r="G14" s="639">
        <v>240.15425099999999</v>
      </c>
      <c r="H14" s="529">
        <v>40372500</v>
      </c>
      <c r="I14" s="634">
        <f t="shared" si="0"/>
        <v>-1.2953475013849691E-2</v>
      </c>
      <c r="J14" s="635">
        <f t="shared" si="1"/>
        <v>-1.1017231874920742E-2</v>
      </c>
      <c r="K14" s="601">
        <f t="shared" si="2"/>
        <v>1.2137939818576961E-4</v>
      </c>
    </row>
    <row r="15" spans="2:11" x14ac:dyDescent="0.3">
      <c r="B15" s="633">
        <v>43374</v>
      </c>
      <c r="C15" s="639">
        <v>242.479996</v>
      </c>
      <c r="D15" s="639">
        <v>243.550003</v>
      </c>
      <c r="E15" s="639">
        <v>207.89999399999999</v>
      </c>
      <c r="F15" s="639">
        <v>220.33999600000001</v>
      </c>
      <c r="G15" s="639">
        <v>220.33999600000001</v>
      </c>
      <c r="H15" s="529">
        <v>40076300</v>
      </c>
      <c r="I15" s="634">
        <f t="shared" si="0"/>
        <v>-8.2506367959316207E-2</v>
      </c>
      <c r="J15" s="635">
        <f t="shared" si="1"/>
        <v>-8.0570124820387265E-2</v>
      </c>
      <c r="K15" s="601">
        <f t="shared" si="2"/>
        <v>6.491545013572784E-3</v>
      </c>
    </row>
    <row r="16" spans="2:11" x14ac:dyDescent="0.3">
      <c r="B16" s="636">
        <v>43405</v>
      </c>
      <c r="C16" s="640">
        <v>221</v>
      </c>
      <c r="D16" s="640">
        <v>231.80999800000001</v>
      </c>
      <c r="E16" s="640">
        <v>218.35000600000001</v>
      </c>
      <c r="F16" s="640">
        <v>225.229996</v>
      </c>
      <c r="G16" s="640">
        <v>225.229996</v>
      </c>
      <c r="H16" s="603">
        <v>22974900</v>
      </c>
      <c r="I16" s="637">
        <f>+G16/G15-1</f>
        <v>2.2192974896849904E-2</v>
      </c>
      <c r="J16" s="638">
        <f>I16-$I$17</f>
        <v>2.4129218035778853E-2</v>
      </c>
      <c r="K16" s="604">
        <f>J16^2</f>
        <v>5.8221916301815554E-4</v>
      </c>
    </row>
    <row r="17" spans="7:12" x14ac:dyDescent="0.3">
      <c r="G17" s="641"/>
      <c r="H17" s="642" t="s">
        <v>560</v>
      </c>
      <c r="I17" s="643">
        <f>AVERAGE(I4:I15)</f>
        <v>-1.9362431389289482E-3</v>
      </c>
      <c r="J17" s="644"/>
      <c r="K17" s="645"/>
    </row>
    <row r="18" spans="7:12" x14ac:dyDescent="0.3">
      <c r="G18" s="600"/>
      <c r="H18" s="529"/>
      <c r="I18" s="529"/>
      <c r="J18" s="646" t="s">
        <v>561</v>
      </c>
      <c r="K18" s="647">
        <f>SUM(K5:K16)</f>
        <v>3.7252672198889426E-2</v>
      </c>
    </row>
    <row r="19" spans="7:12" x14ac:dyDescent="0.3">
      <c r="G19" s="600"/>
      <c r="H19" s="529"/>
      <c r="I19" s="529"/>
      <c r="J19" s="646" t="s">
        <v>562</v>
      </c>
      <c r="K19" s="647">
        <f>K18/12</f>
        <v>3.1043893499074523E-3</v>
      </c>
    </row>
    <row r="20" spans="7:12" x14ac:dyDescent="0.3">
      <c r="G20" s="600"/>
      <c r="H20" s="529"/>
      <c r="I20" s="648"/>
      <c r="J20" s="649" t="s">
        <v>563</v>
      </c>
      <c r="K20" s="650">
        <f>SQRT(K19)</f>
        <v>5.5717047210951984E-2</v>
      </c>
      <c r="L20" t="s">
        <v>564</v>
      </c>
    </row>
    <row r="21" spans="7:12" x14ac:dyDescent="0.3">
      <c r="G21" s="600"/>
      <c r="H21" s="529"/>
      <c r="I21" s="529"/>
      <c r="J21" s="656" t="s">
        <v>565</v>
      </c>
      <c r="K21" s="651">
        <f>_xlfn.STDEV.P(I5:I16)-K20</f>
        <v>-3.6295049407129854E-5</v>
      </c>
    </row>
    <row r="22" spans="7:12" x14ac:dyDescent="0.3">
      <c r="G22" s="652"/>
      <c r="H22" s="653"/>
      <c r="I22" s="653"/>
      <c r="J22" s="654" t="s">
        <v>566</v>
      </c>
      <c r="K22" s="655">
        <f>ABS(I17)</f>
        <v>1.9362431389289482E-3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89EE8-E360-43D2-903B-25BD287D24DF}">
  <dimension ref="B1:X26"/>
  <sheetViews>
    <sheetView showGridLines="0" zoomScaleNormal="100" workbookViewId="0">
      <selection activeCell="N18" sqref="N18"/>
    </sheetView>
  </sheetViews>
  <sheetFormatPr defaultColWidth="9.109375" defaultRowHeight="14.4" x14ac:dyDescent="0.3"/>
  <cols>
    <col min="1" max="1" width="1.109375" style="6" customWidth="1"/>
    <col min="2" max="2" width="34.5546875" style="6" customWidth="1"/>
    <col min="3" max="6" width="10.33203125" style="6" customWidth="1"/>
    <col min="7" max="7" width="11.109375" style="6" customWidth="1"/>
    <col min="8" max="8" width="10.88671875" style="6" customWidth="1"/>
    <col min="9" max="9" width="11.109375" style="6" customWidth="1"/>
    <col min="10" max="10" width="10.88671875" style="6" customWidth="1"/>
    <col min="11" max="11" width="11.109375" style="6" customWidth="1"/>
    <col min="12" max="12" width="10.88671875" style="6" customWidth="1"/>
    <col min="13" max="13" width="11.109375" style="6" customWidth="1"/>
    <col min="14" max="14" width="10.6640625" style="6" customWidth="1"/>
    <col min="15" max="15" width="1.109375" style="6" customWidth="1"/>
    <col min="16" max="16" width="34.5546875" style="6" customWidth="1"/>
    <col min="17" max="17" width="11.109375" style="6" customWidth="1"/>
    <col min="18" max="18" width="10.6640625" style="6" customWidth="1"/>
    <col min="19" max="19" width="11.109375" style="6" customWidth="1"/>
    <col min="20" max="20" width="10.6640625" style="6" customWidth="1"/>
    <col min="21" max="21" width="11.109375" style="6" customWidth="1"/>
    <col min="22" max="22" width="10.6640625" style="6" customWidth="1"/>
    <col min="23" max="23" width="11.109375" style="6" customWidth="1"/>
    <col min="24" max="24" width="10.6640625" style="6" customWidth="1"/>
    <col min="25" max="16384" width="9.109375" style="6"/>
  </cols>
  <sheetData>
    <row r="1" spans="2:24" x14ac:dyDescent="0.3">
      <c r="B1" s="6" t="s">
        <v>513</v>
      </c>
    </row>
    <row r="2" spans="2:24" x14ac:dyDescent="0.3">
      <c r="B2" s="6" t="s">
        <v>467</v>
      </c>
    </row>
    <row r="3" spans="2:24" ht="5.4" customHeight="1" x14ac:dyDescent="0.3">
      <c r="H3" s="1"/>
      <c r="I3" s="2"/>
      <c r="J3" s="2"/>
      <c r="K3" s="9"/>
    </row>
    <row r="4" spans="2:24" ht="16.95" customHeight="1" x14ac:dyDescent="0.3">
      <c r="B4" s="820" t="s">
        <v>93</v>
      </c>
      <c r="C4" s="827"/>
      <c r="D4" s="827"/>
      <c r="E4" s="827"/>
      <c r="F4" s="827"/>
      <c r="G4" s="821"/>
      <c r="H4" s="821"/>
      <c r="I4" s="821"/>
      <c r="J4" s="821"/>
      <c r="K4" s="821"/>
      <c r="L4" s="821"/>
      <c r="M4" s="821"/>
      <c r="N4" s="822"/>
      <c r="P4" s="820" t="s">
        <v>96</v>
      </c>
      <c r="Q4" s="821"/>
      <c r="R4" s="821"/>
      <c r="S4" s="821"/>
      <c r="T4" s="821"/>
      <c r="U4" s="821"/>
      <c r="V4" s="821"/>
      <c r="W4" s="821"/>
      <c r="X4" s="822"/>
    </row>
    <row r="5" spans="2:24" ht="16.95" customHeight="1" x14ac:dyDescent="0.3">
      <c r="B5" s="817" t="s">
        <v>94</v>
      </c>
      <c r="C5" s="828" t="s">
        <v>546</v>
      </c>
      <c r="D5" s="829"/>
      <c r="E5" s="829"/>
      <c r="F5" s="829"/>
      <c r="G5" s="613" t="s">
        <v>377</v>
      </c>
      <c r="H5" s="614"/>
      <c r="I5" s="613" t="s">
        <v>378</v>
      </c>
      <c r="J5" s="614"/>
      <c r="K5" s="613" t="s">
        <v>379</v>
      </c>
      <c r="L5" s="614"/>
      <c r="M5" s="613" t="s">
        <v>381</v>
      </c>
      <c r="N5" s="615"/>
      <c r="O5" s="10"/>
      <c r="P5" s="817" t="s">
        <v>94</v>
      </c>
      <c r="Q5" s="824" t="s">
        <v>97</v>
      </c>
      <c r="R5" s="825"/>
      <c r="S5" s="824" t="s">
        <v>98</v>
      </c>
      <c r="T5" s="825"/>
      <c r="U5" s="824" t="s">
        <v>472</v>
      </c>
      <c r="V5" s="825"/>
      <c r="W5" s="824" t="s">
        <v>473</v>
      </c>
      <c r="X5" s="826"/>
    </row>
    <row r="6" spans="2:24" ht="16.95" customHeight="1" x14ac:dyDescent="0.3">
      <c r="B6" s="823"/>
      <c r="C6" s="599" t="s">
        <v>116</v>
      </c>
      <c r="D6" s="599" t="s">
        <v>117</v>
      </c>
      <c r="E6" s="599" t="s">
        <v>118</v>
      </c>
      <c r="F6" s="598" t="s">
        <v>511</v>
      </c>
      <c r="G6" s="628" t="s">
        <v>95</v>
      </c>
      <c r="H6" s="609" t="s">
        <v>70</v>
      </c>
      <c r="I6" s="628" t="s">
        <v>95</v>
      </c>
      <c r="J6" s="609" t="s">
        <v>70</v>
      </c>
      <c r="K6" s="628" t="s">
        <v>95</v>
      </c>
      <c r="L6" s="609" t="s">
        <v>70</v>
      </c>
      <c r="M6" s="628" t="s">
        <v>95</v>
      </c>
      <c r="N6" s="610" t="s">
        <v>70</v>
      </c>
      <c r="O6" s="10"/>
      <c r="P6" s="823"/>
      <c r="Q6" s="628" t="s">
        <v>95</v>
      </c>
      <c r="R6" s="609" t="s">
        <v>70</v>
      </c>
      <c r="S6" s="628" t="s">
        <v>95</v>
      </c>
      <c r="T6" s="609" t="s">
        <v>70</v>
      </c>
      <c r="U6" s="628" t="s">
        <v>95</v>
      </c>
      <c r="V6" s="609" t="s">
        <v>70</v>
      </c>
      <c r="W6" s="628" t="s">
        <v>95</v>
      </c>
      <c r="X6" s="610" t="s">
        <v>70</v>
      </c>
    </row>
    <row r="7" spans="2:24" x14ac:dyDescent="0.3">
      <c r="B7" s="600" t="s">
        <v>474</v>
      </c>
      <c r="C7" s="605">
        <v>16313</v>
      </c>
      <c r="D7" s="447">
        <v>16526</v>
      </c>
      <c r="E7" s="447">
        <v>17314</v>
      </c>
      <c r="F7" s="447">
        <v>17052</v>
      </c>
      <c r="G7" s="616">
        <v>17</v>
      </c>
      <c r="H7" s="617">
        <v>17773</v>
      </c>
      <c r="I7" s="618">
        <v>17</v>
      </c>
      <c r="J7" s="617">
        <v>17889</v>
      </c>
      <c r="K7" s="618">
        <v>17</v>
      </c>
      <c r="L7" s="617">
        <v>18692</v>
      </c>
      <c r="M7" s="618">
        <v>7</v>
      </c>
      <c r="N7" s="619">
        <v>18026</v>
      </c>
      <c r="O7" s="11"/>
      <c r="P7" s="600" t="s">
        <v>474</v>
      </c>
      <c r="Q7" s="629">
        <v>24</v>
      </c>
      <c r="R7" s="617">
        <v>71323</v>
      </c>
      <c r="S7" s="618">
        <v>23</v>
      </c>
      <c r="T7" s="617">
        <v>75245</v>
      </c>
      <c r="U7" s="618">
        <v>8</v>
      </c>
      <c r="V7" s="617">
        <v>78816</v>
      </c>
      <c r="W7" s="618">
        <v>1</v>
      </c>
      <c r="X7" s="619">
        <v>83791</v>
      </c>
    </row>
    <row r="8" spans="2:24" x14ac:dyDescent="0.3">
      <c r="B8" s="600" t="s">
        <v>547</v>
      </c>
      <c r="C8" s="606">
        <v>1237</v>
      </c>
      <c r="D8" s="447">
        <v>964</v>
      </c>
      <c r="E8" s="447">
        <v>1835</v>
      </c>
      <c r="F8" s="447">
        <v>1192</v>
      </c>
      <c r="G8" s="616">
        <v>12</v>
      </c>
      <c r="H8" s="617">
        <v>1433</v>
      </c>
      <c r="I8" s="618">
        <v>12</v>
      </c>
      <c r="J8" s="617">
        <v>1383</v>
      </c>
      <c r="K8" s="618">
        <v>10</v>
      </c>
      <c r="L8" s="617">
        <v>2167</v>
      </c>
      <c r="M8" s="618">
        <v>5</v>
      </c>
      <c r="N8" s="619">
        <v>1632</v>
      </c>
      <c r="O8" s="11"/>
      <c r="P8" s="600" t="s">
        <v>547</v>
      </c>
      <c r="Q8" s="618">
        <v>16</v>
      </c>
      <c r="R8" s="617">
        <v>6084</v>
      </c>
      <c r="S8" s="618">
        <v>17</v>
      </c>
      <c r="T8" s="617">
        <v>7152</v>
      </c>
      <c r="U8" s="618">
        <v>8</v>
      </c>
      <c r="V8" s="617">
        <v>7705</v>
      </c>
      <c r="W8" s="618">
        <v>1</v>
      </c>
      <c r="X8" s="619">
        <v>7852</v>
      </c>
    </row>
    <row r="9" spans="2:24" x14ac:dyDescent="0.3">
      <c r="B9" s="600" t="s">
        <v>545</v>
      </c>
      <c r="C9" s="607">
        <f>+C8/C7</f>
        <v>7.5829093361123034E-2</v>
      </c>
      <c r="D9" s="448">
        <f t="shared" ref="D9:F9" si="0">+D8/D7</f>
        <v>5.8332324821493406E-2</v>
      </c>
      <c r="E9" s="448">
        <f t="shared" si="0"/>
        <v>0.10598359708906088</v>
      </c>
      <c r="F9" s="448">
        <f t="shared" si="0"/>
        <v>6.9903823598404885E-2</v>
      </c>
      <c r="G9" s="616"/>
      <c r="H9" s="620">
        <v>8.0606609230592527E-2</v>
      </c>
      <c r="I9" s="618"/>
      <c r="J9" s="620">
        <v>7.7306183069722617E-2</v>
      </c>
      <c r="K9" s="618"/>
      <c r="L9" s="620">
        <v>0.11591675084731336</v>
      </c>
      <c r="M9" s="618"/>
      <c r="N9" s="621">
        <v>9.0559518148676438E-2</v>
      </c>
      <c r="O9" s="11"/>
      <c r="P9" s="600" t="s">
        <v>545</v>
      </c>
      <c r="Q9" s="618"/>
      <c r="R9" s="620">
        <v>8.5295115936838986E-2</v>
      </c>
      <c r="S9" s="618"/>
      <c r="T9" s="620">
        <v>9.5045431392421553E-2</v>
      </c>
      <c r="U9" s="618"/>
      <c r="V9" s="620">
        <v>9.7754270217118938E-2</v>
      </c>
      <c r="W9" s="618">
        <v>0</v>
      </c>
      <c r="X9" s="621" t="s">
        <v>418</v>
      </c>
    </row>
    <row r="10" spans="2:24" x14ac:dyDescent="0.3">
      <c r="B10" s="600" t="s">
        <v>475</v>
      </c>
      <c r="C10" s="606">
        <v>1895</v>
      </c>
      <c r="D10" s="447">
        <v>1660</v>
      </c>
      <c r="E10" s="447">
        <v>2160</v>
      </c>
      <c r="F10" s="447">
        <v>1909</v>
      </c>
      <c r="G10" s="616">
        <v>15</v>
      </c>
      <c r="H10" s="617">
        <v>2226</v>
      </c>
      <c r="I10" s="618">
        <v>15</v>
      </c>
      <c r="J10" s="617">
        <v>2226</v>
      </c>
      <c r="K10" s="618">
        <v>15</v>
      </c>
      <c r="L10" s="617">
        <v>2983</v>
      </c>
      <c r="M10" s="618">
        <v>6</v>
      </c>
      <c r="N10" s="619">
        <v>2455</v>
      </c>
      <c r="O10" s="11"/>
      <c r="P10" s="600" t="s">
        <v>475</v>
      </c>
      <c r="Q10" s="618">
        <v>17</v>
      </c>
      <c r="R10" s="617">
        <v>9209</v>
      </c>
      <c r="S10" s="618">
        <v>20</v>
      </c>
      <c r="T10" s="617">
        <v>10542</v>
      </c>
      <c r="U10" s="618">
        <v>8</v>
      </c>
      <c r="V10" s="617">
        <v>11301</v>
      </c>
      <c r="W10" s="618">
        <v>1</v>
      </c>
      <c r="X10" s="619">
        <v>11256</v>
      </c>
    </row>
    <row r="11" spans="2:24" x14ac:dyDescent="0.3">
      <c r="B11" s="600" t="s">
        <v>476</v>
      </c>
      <c r="C11" s="606">
        <v>1139</v>
      </c>
      <c r="D11" s="447">
        <v>874</v>
      </c>
      <c r="E11" s="447">
        <v>1358</v>
      </c>
      <c r="F11" s="447">
        <v>1101</v>
      </c>
      <c r="G11" s="616">
        <v>11</v>
      </c>
      <c r="H11" s="617">
        <v>1427</v>
      </c>
      <c r="I11" s="618">
        <v>11</v>
      </c>
      <c r="J11" s="617">
        <v>1361</v>
      </c>
      <c r="K11" s="618">
        <v>11</v>
      </c>
      <c r="L11" s="617">
        <v>2173</v>
      </c>
      <c r="M11" s="618">
        <v>3</v>
      </c>
      <c r="N11" s="619">
        <v>1615</v>
      </c>
      <c r="O11" s="11"/>
      <c r="P11" s="600" t="s">
        <v>476</v>
      </c>
      <c r="Q11" s="618">
        <v>17</v>
      </c>
      <c r="R11" s="617">
        <v>6085</v>
      </c>
      <c r="S11" s="618">
        <v>18</v>
      </c>
      <c r="T11" s="617">
        <v>7065</v>
      </c>
      <c r="U11" s="618">
        <v>6</v>
      </c>
      <c r="V11" s="617">
        <v>7781</v>
      </c>
      <c r="W11" s="618">
        <v>0</v>
      </c>
      <c r="X11" s="619" t="s">
        <v>418</v>
      </c>
    </row>
    <row r="12" spans="2:24" x14ac:dyDescent="0.3">
      <c r="B12" s="600" t="s">
        <v>477</v>
      </c>
      <c r="C12" s="606">
        <v>775</v>
      </c>
      <c r="D12" s="447">
        <v>2074</v>
      </c>
      <c r="E12" s="447">
        <v>1127</v>
      </c>
      <c r="F12" s="447">
        <v>835</v>
      </c>
      <c r="G12" s="616">
        <v>15</v>
      </c>
      <c r="H12" s="617">
        <v>1069</v>
      </c>
      <c r="I12" s="618">
        <v>15</v>
      </c>
      <c r="J12" s="617">
        <v>1027</v>
      </c>
      <c r="K12" s="618">
        <v>15</v>
      </c>
      <c r="L12" s="617">
        <v>1618</v>
      </c>
      <c r="M12" s="618">
        <v>15</v>
      </c>
      <c r="N12" s="619">
        <v>1185</v>
      </c>
      <c r="O12" s="11"/>
      <c r="P12" s="600" t="s">
        <v>477</v>
      </c>
      <c r="Q12" s="618">
        <v>20</v>
      </c>
      <c r="R12" s="617">
        <v>4627</v>
      </c>
      <c r="S12" s="618">
        <v>21</v>
      </c>
      <c r="T12" s="617">
        <v>5346</v>
      </c>
      <c r="U12" s="618">
        <v>8</v>
      </c>
      <c r="V12" s="617">
        <v>5809</v>
      </c>
      <c r="W12" s="618">
        <v>1</v>
      </c>
      <c r="X12" s="619">
        <v>6028</v>
      </c>
    </row>
    <row r="13" spans="2:24" x14ac:dyDescent="0.3">
      <c r="B13" s="600" t="s">
        <v>479</v>
      </c>
      <c r="C13" s="608">
        <v>3.17</v>
      </c>
      <c r="D13" s="449">
        <v>3.72</v>
      </c>
      <c r="E13" s="449">
        <v>5.91</v>
      </c>
      <c r="F13" s="449">
        <v>3.46</v>
      </c>
      <c r="G13" s="616">
        <v>22</v>
      </c>
      <c r="H13" s="622">
        <v>4</v>
      </c>
      <c r="I13" s="618">
        <v>22</v>
      </c>
      <c r="J13" s="622">
        <v>3.85</v>
      </c>
      <c r="K13" s="618">
        <v>21</v>
      </c>
      <c r="L13" s="622">
        <v>6.05</v>
      </c>
      <c r="M13" s="618">
        <v>11</v>
      </c>
      <c r="N13" s="623">
        <v>4.43</v>
      </c>
      <c r="O13" s="11"/>
      <c r="P13" s="600" t="s">
        <v>479</v>
      </c>
      <c r="Q13" s="618">
        <v>30</v>
      </c>
      <c r="R13" s="622">
        <v>17.39</v>
      </c>
      <c r="S13" s="618">
        <v>29</v>
      </c>
      <c r="T13" s="622">
        <v>20.14</v>
      </c>
      <c r="U13" s="618">
        <v>8</v>
      </c>
      <c r="V13" s="622">
        <v>22.63</v>
      </c>
      <c r="W13" s="618">
        <v>1</v>
      </c>
      <c r="X13" s="623">
        <v>24.56</v>
      </c>
    </row>
    <row r="14" spans="2:24" x14ac:dyDescent="0.3">
      <c r="B14" s="600" t="s">
        <v>480</v>
      </c>
      <c r="C14" s="606"/>
      <c r="D14" s="447"/>
      <c r="E14" s="447"/>
      <c r="F14" s="447"/>
      <c r="G14" s="616">
        <v>3</v>
      </c>
      <c r="H14" s="617">
        <v>534</v>
      </c>
      <c r="I14" s="618">
        <v>3</v>
      </c>
      <c r="J14" s="617">
        <v>577</v>
      </c>
      <c r="K14" s="618">
        <v>3</v>
      </c>
      <c r="L14" s="617">
        <v>970</v>
      </c>
      <c r="M14" s="618">
        <v>3</v>
      </c>
      <c r="N14" s="619">
        <v>327</v>
      </c>
      <c r="O14" s="11"/>
      <c r="P14" s="600" t="s">
        <v>480</v>
      </c>
      <c r="Q14" s="618">
        <v>11</v>
      </c>
      <c r="R14" s="617">
        <v>1821</v>
      </c>
      <c r="S14" s="618">
        <v>12</v>
      </c>
      <c r="T14" s="617">
        <v>2237</v>
      </c>
      <c r="U14" s="618">
        <v>4</v>
      </c>
      <c r="V14" s="617">
        <v>3424</v>
      </c>
      <c r="W14" s="618">
        <v>0</v>
      </c>
      <c r="X14" s="619" t="s">
        <v>418</v>
      </c>
    </row>
    <row r="15" spans="2:24" x14ac:dyDescent="0.3">
      <c r="B15" s="602" t="s">
        <v>481</v>
      </c>
      <c r="C15" s="611">
        <v>1577</v>
      </c>
      <c r="D15" s="612">
        <v>1373</v>
      </c>
      <c r="E15" s="612">
        <v>1669</v>
      </c>
      <c r="F15" s="612">
        <v>1179</v>
      </c>
      <c r="G15" s="624">
        <v>2</v>
      </c>
      <c r="H15" s="625">
        <v>1437</v>
      </c>
      <c r="I15" s="626">
        <v>2</v>
      </c>
      <c r="J15" s="625">
        <v>1493</v>
      </c>
      <c r="K15" s="626">
        <v>2</v>
      </c>
      <c r="L15" s="625">
        <v>1493</v>
      </c>
      <c r="M15" s="626">
        <v>3</v>
      </c>
      <c r="N15" s="627">
        <v>1525</v>
      </c>
      <c r="O15" s="11"/>
      <c r="P15" s="602" t="s">
        <v>481</v>
      </c>
      <c r="Q15" s="626">
        <v>11</v>
      </c>
      <c r="R15" s="625">
        <v>5607</v>
      </c>
      <c r="S15" s="626">
        <v>10</v>
      </c>
      <c r="T15" s="625">
        <v>6413</v>
      </c>
      <c r="U15" s="626">
        <v>3</v>
      </c>
      <c r="V15" s="625">
        <v>6790</v>
      </c>
      <c r="W15" s="626">
        <v>0</v>
      </c>
      <c r="X15" s="627" t="s">
        <v>418</v>
      </c>
    </row>
    <row r="17" spans="3:24" ht="15" customHeight="1" x14ac:dyDescent="0.3">
      <c r="C17" s="817" t="s">
        <v>750</v>
      </c>
      <c r="D17" s="818"/>
      <c r="E17" s="819"/>
      <c r="F17" s="7"/>
      <c r="G17" s="8"/>
      <c r="H17" s="630"/>
      <c r="I17" s="8"/>
      <c r="J17" s="630"/>
      <c r="K17" s="630"/>
      <c r="L17" s="630"/>
      <c r="M17" s="630"/>
      <c r="N17" s="630"/>
      <c r="R17" s="630"/>
      <c r="S17" s="630"/>
      <c r="T17" s="630"/>
      <c r="U17" s="630"/>
      <c r="V17" s="630"/>
      <c r="W17" s="630"/>
      <c r="X17" s="630"/>
    </row>
    <row r="18" spans="3:24" ht="15" customHeight="1" x14ac:dyDescent="0.3">
      <c r="C18" s="600" t="s">
        <v>751</v>
      </c>
      <c r="D18" s="667">
        <v>0.871</v>
      </c>
      <c r="E18" s="601">
        <v>27</v>
      </c>
      <c r="G18" s="8"/>
      <c r="H18" s="630"/>
      <c r="I18" s="12"/>
      <c r="J18" s="630"/>
      <c r="K18" s="630"/>
      <c r="L18" s="630"/>
      <c r="M18" s="630"/>
      <c r="N18" s="630"/>
      <c r="R18" s="630"/>
      <c r="S18" s="630"/>
      <c r="T18" s="630"/>
      <c r="U18" s="630"/>
      <c r="V18" s="630"/>
      <c r="W18" s="630"/>
      <c r="X18" s="630"/>
    </row>
    <row r="19" spans="3:24" ht="15" customHeight="1" x14ac:dyDescent="0.3">
      <c r="C19" s="600" t="s">
        <v>752</v>
      </c>
      <c r="D19" s="667">
        <v>9.7000000000000003E-2</v>
      </c>
      <c r="E19" s="601">
        <v>3</v>
      </c>
      <c r="G19" s="8"/>
      <c r="H19" s="630"/>
      <c r="I19" s="12"/>
      <c r="J19" s="630"/>
      <c r="K19" s="630"/>
      <c r="L19" s="630"/>
      <c r="M19" s="630"/>
      <c r="N19" s="630"/>
      <c r="R19" s="630"/>
      <c r="S19" s="630"/>
      <c r="T19" s="630"/>
      <c r="U19" s="630"/>
      <c r="V19" s="630"/>
      <c r="W19" s="630"/>
      <c r="X19" s="630"/>
    </row>
    <row r="20" spans="3:24" ht="15" customHeight="1" x14ac:dyDescent="0.3">
      <c r="C20" s="600" t="s">
        <v>753</v>
      </c>
      <c r="D20" s="667">
        <v>3.2000000000000001E-2</v>
      </c>
      <c r="E20" s="601">
        <v>1</v>
      </c>
      <c r="G20" s="8"/>
      <c r="H20" s="630"/>
      <c r="I20" s="12"/>
      <c r="J20" s="630"/>
      <c r="K20" s="630"/>
      <c r="L20" s="630"/>
      <c r="M20" s="630"/>
      <c r="N20" s="630"/>
      <c r="R20" s="630"/>
      <c r="S20" s="630"/>
      <c r="T20" s="630"/>
      <c r="U20" s="630"/>
      <c r="V20" s="630"/>
      <c r="W20" s="630"/>
      <c r="X20" s="630"/>
    </row>
    <row r="21" spans="3:24" ht="15" customHeight="1" x14ac:dyDescent="0.3">
      <c r="C21" s="600" t="s">
        <v>754</v>
      </c>
      <c r="D21" s="529"/>
      <c r="E21" s="668">
        <v>287.73</v>
      </c>
      <c r="G21" s="8"/>
      <c r="H21" s="630"/>
      <c r="I21" s="12"/>
      <c r="J21" s="630"/>
      <c r="K21" s="630"/>
      <c r="L21" s="630"/>
      <c r="M21" s="630"/>
      <c r="N21" s="630"/>
      <c r="R21" s="630"/>
      <c r="S21" s="630"/>
      <c r="T21" s="630"/>
      <c r="U21" s="630"/>
      <c r="V21" s="630"/>
      <c r="W21" s="630"/>
      <c r="X21" s="630"/>
    </row>
    <row r="22" spans="3:24" ht="15" customHeight="1" x14ac:dyDescent="0.3">
      <c r="C22" s="600" t="s">
        <v>755</v>
      </c>
      <c r="D22" s="529"/>
      <c r="E22" s="668">
        <v>223.4</v>
      </c>
      <c r="G22" s="8"/>
      <c r="H22" s="630"/>
      <c r="I22" s="12"/>
      <c r="J22" s="630"/>
      <c r="K22" s="630"/>
      <c r="L22" s="630"/>
      <c r="M22" s="630"/>
      <c r="N22" s="630"/>
      <c r="R22" s="630"/>
      <c r="S22" s="630"/>
      <c r="T22" s="630"/>
      <c r="U22" s="630"/>
      <c r="V22" s="630"/>
      <c r="W22" s="630"/>
      <c r="X22" s="630"/>
    </row>
    <row r="23" spans="3:24" ht="15" customHeight="1" x14ac:dyDescent="0.3">
      <c r="C23" s="602" t="s">
        <v>756</v>
      </c>
      <c r="D23" s="603"/>
      <c r="E23" s="669">
        <v>0.28799999999999998</v>
      </c>
      <c r="G23" s="8"/>
      <c r="H23" s="12"/>
      <c r="I23" s="16"/>
      <c r="J23" s="16"/>
      <c r="K23" s="9"/>
    </row>
    <row r="24" spans="3:24" ht="21" customHeight="1" x14ac:dyDescent="0.3">
      <c r="G24" s="8"/>
      <c r="H24" s="12"/>
      <c r="I24" s="16"/>
      <c r="J24" s="16"/>
      <c r="K24" s="9"/>
    </row>
    <row r="25" spans="3:24" ht="21" customHeight="1" x14ac:dyDescent="0.3">
      <c r="H25" s="1"/>
      <c r="I25" s="2"/>
      <c r="J25" s="2"/>
      <c r="K25" s="9"/>
    </row>
    <row r="26" spans="3:24" ht="21" customHeight="1" x14ac:dyDescent="0.3">
      <c r="H26" s="1"/>
      <c r="I26" s="2"/>
      <c r="J26" s="2"/>
      <c r="K26" s="9"/>
    </row>
  </sheetData>
  <mergeCells count="10">
    <mergeCell ref="C17:E17"/>
    <mergeCell ref="P4:X4"/>
    <mergeCell ref="P5:P6"/>
    <mergeCell ref="Q5:R5"/>
    <mergeCell ref="S5:T5"/>
    <mergeCell ref="U5:V5"/>
    <mergeCell ref="W5:X5"/>
    <mergeCell ref="B4:N4"/>
    <mergeCell ref="B5:B6"/>
    <mergeCell ref="C5:F5"/>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FFF2-61CE-45EB-B24B-D4FC8E0A9710}">
  <dimension ref="B1:H47"/>
  <sheetViews>
    <sheetView showGridLines="0" workbookViewId="0">
      <selection activeCell="I8" sqref="I8"/>
    </sheetView>
  </sheetViews>
  <sheetFormatPr defaultColWidth="8.88671875" defaultRowHeight="14.4" x14ac:dyDescent="0.3"/>
  <cols>
    <col min="1" max="1" width="1.33203125" style="6" customWidth="1"/>
    <col min="2" max="2" width="9.6640625" style="6" customWidth="1"/>
    <col min="3" max="3" width="9.88671875" style="6" customWidth="1"/>
    <col min="4" max="6" width="8.88671875" style="6"/>
    <col min="7" max="7" width="11" style="6" customWidth="1"/>
    <col min="8" max="16384" width="8.88671875" style="6"/>
  </cols>
  <sheetData>
    <row r="1" spans="2:8" x14ac:dyDescent="0.3">
      <c r="B1" s="6" t="s">
        <v>513</v>
      </c>
    </row>
    <row r="2" spans="2:8" x14ac:dyDescent="0.3">
      <c r="B2" s="6" t="s">
        <v>550</v>
      </c>
    </row>
    <row r="3" spans="2:8" ht="43.2" x14ac:dyDescent="0.3">
      <c r="B3" s="664" t="s">
        <v>745</v>
      </c>
      <c r="C3" s="664" t="s">
        <v>746</v>
      </c>
      <c r="D3" s="664" t="s">
        <v>747</v>
      </c>
      <c r="E3" s="664" t="s">
        <v>572</v>
      </c>
      <c r="F3" s="664" t="s">
        <v>748</v>
      </c>
      <c r="G3" s="664" t="s">
        <v>749</v>
      </c>
    </row>
    <row r="4" spans="2:8" x14ac:dyDescent="0.3">
      <c r="B4" s="633" t="s">
        <v>573</v>
      </c>
      <c r="C4" s="661" t="s">
        <v>574</v>
      </c>
      <c r="D4" s="665">
        <v>3.464</v>
      </c>
      <c r="E4" s="665">
        <v>3.8029999999999999</v>
      </c>
      <c r="F4" s="659" t="s">
        <v>575</v>
      </c>
      <c r="G4" s="657" t="s">
        <v>576</v>
      </c>
      <c r="H4" s="632"/>
    </row>
    <row r="5" spans="2:8" x14ac:dyDescent="0.3">
      <c r="B5" s="633" t="s">
        <v>577</v>
      </c>
      <c r="C5" s="661" t="s">
        <v>578</v>
      </c>
      <c r="D5" s="665">
        <v>5.9139999999999997</v>
      </c>
      <c r="E5" s="665">
        <v>5.69</v>
      </c>
      <c r="F5" s="659" t="s">
        <v>579</v>
      </c>
      <c r="G5" s="657" t="s">
        <v>580</v>
      </c>
      <c r="H5" s="632"/>
    </row>
    <row r="6" spans="2:8" x14ac:dyDescent="0.3">
      <c r="B6" s="633" t="s">
        <v>581</v>
      </c>
      <c r="C6" s="661" t="s">
        <v>582</v>
      </c>
      <c r="D6" s="665">
        <v>3.5830000000000002</v>
      </c>
      <c r="E6" s="665">
        <v>3.1059999999999999</v>
      </c>
      <c r="F6" s="659" t="s">
        <v>583</v>
      </c>
      <c r="G6" s="657" t="s">
        <v>584</v>
      </c>
      <c r="H6" s="632"/>
    </row>
    <row r="7" spans="2:8" x14ac:dyDescent="0.3">
      <c r="B7" s="633" t="s">
        <v>585</v>
      </c>
      <c r="C7" s="661" t="s">
        <v>586</v>
      </c>
      <c r="D7" s="665">
        <v>3.1749999999999998</v>
      </c>
      <c r="E7" s="665">
        <v>2.8849999999999998</v>
      </c>
      <c r="F7" s="659" t="s">
        <v>587</v>
      </c>
      <c r="G7" s="657" t="s">
        <v>588</v>
      </c>
      <c r="H7" s="632"/>
    </row>
    <row r="8" spans="2:8" x14ac:dyDescent="0.3">
      <c r="B8" s="633" t="s">
        <v>589</v>
      </c>
      <c r="C8" s="661" t="s">
        <v>590</v>
      </c>
      <c r="D8" s="665">
        <v>2.5099999999999998</v>
      </c>
      <c r="E8" s="665">
        <v>3.0249999999999999</v>
      </c>
      <c r="F8" s="659" t="s">
        <v>591</v>
      </c>
      <c r="G8" s="657" t="s">
        <v>592</v>
      </c>
    </row>
    <row r="9" spans="2:8" x14ac:dyDescent="0.3">
      <c r="B9" s="633" t="s">
        <v>593</v>
      </c>
      <c r="C9" s="661" t="s">
        <v>594</v>
      </c>
      <c r="D9" s="665">
        <v>4.1849999999999996</v>
      </c>
      <c r="E9" s="665">
        <v>3.875</v>
      </c>
      <c r="F9" s="659" t="s">
        <v>595</v>
      </c>
      <c r="G9" s="657" t="s">
        <v>596</v>
      </c>
    </row>
    <row r="10" spans="2:8" x14ac:dyDescent="0.3">
      <c r="B10" s="633" t="s">
        <v>597</v>
      </c>
      <c r="C10" s="661" t="s">
        <v>598</v>
      </c>
      <c r="D10" s="665">
        <v>2.302</v>
      </c>
      <c r="E10" s="665">
        <v>2.6240000000000001</v>
      </c>
      <c r="F10" s="659" t="s">
        <v>599</v>
      </c>
      <c r="G10" s="657" t="s">
        <v>600</v>
      </c>
    </row>
    <row r="11" spans="2:8" x14ac:dyDescent="0.3">
      <c r="B11" s="633" t="s">
        <v>601</v>
      </c>
      <c r="C11" s="661" t="s">
        <v>602</v>
      </c>
      <c r="D11" s="665">
        <v>2.88</v>
      </c>
      <c r="E11" s="665">
        <v>2.9079999999999999</v>
      </c>
      <c r="F11" s="659" t="s">
        <v>603</v>
      </c>
      <c r="G11" s="657" t="s">
        <v>604</v>
      </c>
    </row>
    <row r="12" spans="2:8" x14ac:dyDescent="0.3">
      <c r="B12" s="600" t="s">
        <v>605</v>
      </c>
      <c r="C12" s="662" t="s">
        <v>606</v>
      </c>
      <c r="D12" s="665">
        <v>2.8170000000000002</v>
      </c>
      <c r="E12" s="665">
        <v>2.7949999999999999</v>
      </c>
      <c r="F12" s="659" t="s">
        <v>607</v>
      </c>
      <c r="G12" s="657" t="s">
        <v>608</v>
      </c>
    </row>
    <row r="13" spans="2:8" x14ac:dyDescent="0.3">
      <c r="B13" s="600" t="s">
        <v>609</v>
      </c>
      <c r="C13" s="662" t="s">
        <v>610</v>
      </c>
      <c r="D13" s="665">
        <v>3.3319999999999999</v>
      </c>
      <c r="E13" s="665">
        <v>3.2839999999999998</v>
      </c>
      <c r="F13" s="659" t="s">
        <v>611</v>
      </c>
      <c r="G13" s="657" t="s">
        <v>612</v>
      </c>
    </row>
    <row r="14" spans="2:8" x14ac:dyDescent="0.3">
      <c r="B14" s="600" t="s">
        <v>613</v>
      </c>
      <c r="C14" s="662" t="s">
        <v>614</v>
      </c>
      <c r="D14" s="665">
        <v>1.84</v>
      </c>
      <c r="E14" s="665">
        <v>2.3370000000000002</v>
      </c>
      <c r="F14" s="659" t="s">
        <v>615</v>
      </c>
      <c r="G14" s="657" t="s">
        <v>616</v>
      </c>
    </row>
    <row r="15" spans="2:8" x14ac:dyDescent="0.3">
      <c r="B15" s="600" t="s">
        <v>617</v>
      </c>
      <c r="C15" s="662" t="s">
        <v>618</v>
      </c>
      <c r="D15" s="665">
        <v>2.5710000000000002</v>
      </c>
      <c r="E15" s="665">
        <v>2.5</v>
      </c>
      <c r="F15" s="659" t="s">
        <v>619</v>
      </c>
      <c r="G15" s="657" t="s">
        <v>620</v>
      </c>
    </row>
    <row r="16" spans="2:8" x14ac:dyDescent="0.3">
      <c r="B16" s="600" t="s">
        <v>621</v>
      </c>
      <c r="C16" s="662" t="s">
        <v>622</v>
      </c>
      <c r="D16" s="665">
        <v>2.42</v>
      </c>
      <c r="E16" s="665">
        <v>2.4540000000000002</v>
      </c>
      <c r="F16" s="659" t="s">
        <v>623</v>
      </c>
      <c r="G16" s="657" t="s">
        <v>624</v>
      </c>
    </row>
    <row r="17" spans="2:7" x14ac:dyDescent="0.3">
      <c r="B17" s="600" t="s">
        <v>625</v>
      </c>
      <c r="C17" s="662" t="s">
        <v>626</v>
      </c>
      <c r="D17" s="665">
        <v>2.8090000000000002</v>
      </c>
      <c r="E17" s="665">
        <v>2.6850000000000001</v>
      </c>
      <c r="F17" s="659" t="s">
        <v>627</v>
      </c>
      <c r="G17" s="657" t="s">
        <v>628</v>
      </c>
    </row>
    <row r="18" spans="2:7" x14ac:dyDescent="0.3">
      <c r="B18" s="600" t="s">
        <v>629</v>
      </c>
      <c r="C18" s="662" t="s">
        <v>630</v>
      </c>
      <c r="D18" s="665">
        <v>2.1800000000000002</v>
      </c>
      <c r="E18" s="665">
        <v>1.8779999999999999</v>
      </c>
      <c r="F18" s="659" t="s">
        <v>631</v>
      </c>
      <c r="G18" s="657" t="s">
        <v>632</v>
      </c>
    </row>
    <row r="19" spans="2:7" x14ac:dyDescent="0.3">
      <c r="B19" s="600" t="s">
        <v>633</v>
      </c>
      <c r="C19" s="662" t="s">
        <v>634</v>
      </c>
      <c r="D19" s="665">
        <v>2.31</v>
      </c>
      <c r="E19" s="665">
        <v>2.2469999999999999</v>
      </c>
      <c r="F19" s="659" t="s">
        <v>635</v>
      </c>
      <c r="G19" s="657" t="s">
        <v>636</v>
      </c>
    </row>
    <row r="20" spans="2:7" x14ac:dyDescent="0.3">
      <c r="B20" s="600" t="s">
        <v>637</v>
      </c>
      <c r="C20" s="662" t="s">
        <v>638</v>
      </c>
      <c r="D20" s="665">
        <v>2.2599999999999998</v>
      </c>
      <c r="E20" s="665">
        <v>1.9630000000000001</v>
      </c>
      <c r="F20" s="659" t="s">
        <v>639</v>
      </c>
      <c r="G20" s="657" t="s">
        <v>640</v>
      </c>
    </row>
    <row r="21" spans="2:7" x14ac:dyDescent="0.3">
      <c r="B21" s="600" t="s">
        <v>641</v>
      </c>
      <c r="C21" s="662" t="s">
        <v>642</v>
      </c>
      <c r="D21" s="665">
        <v>2.4900000000000002</v>
      </c>
      <c r="E21" s="665">
        <v>2.3580000000000001</v>
      </c>
      <c r="F21" s="659" t="s">
        <v>643</v>
      </c>
      <c r="G21" s="657" t="s">
        <v>644</v>
      </c>
    </row>
    <row r="22" spans="2:7" x14ac:dyDescent="0.3">
      <c r="B22" s="600" t="s">
        <v>645</v>
      </c>
      <c r="C22" s="662" t="s">
        <v>646</v>
      </c>
      <c r="D22" s="665">
        <v>1.23</v>
      </c>
      <c r="E22" s="665">
        <v>1.4610000000000001</v>
      </c>
      <c r="F22" s="659" t="s">
        <v>647</v>
      </c>
      <c r="G22" s="657" t="s">
        <v>648</v>
      </c>
    </row>
    <row r="23" spans="2:7" x14ac:dyDescent="0.3">
      <c r="B23" s="600" t="s">
        <v>649</v>
      </c>
      <c r="C23" s="662" t="s">
        <v>650</v>
      </c>
      <c r="D23" s="665">
        <v>1.75</v>
      </c>
      <c r="E23" s="665">
        <v>1.6419999999999999</v>
      </c>
      <c r="F23" s="659" t="s">
        <v>651</v>
      </c>
      <c r="G23" s="657" t="s">
        <v>652</v>
      </c>
    </row>
    <row r="24" spans="2:7" x14ac:dyDescent="0.3">
      <c r="B24" s="600" t="s">
        <v>653</v>
      </c>
      <c r="C24" s="662" t="s">
        <v>654</v>
      </c>
      <c r="D24" s="665">
        <v>1.53</v>
      </c>
      <c r="E24" s="665">
        <v>1.496</v>
      </c>
      <c r="F24" s="659" t="s">
        <v>655</v>
      </c>
      <c r="G24" s="657" t="s">
        <v>656</v>
      </c>
    </row>
    <row r="25" spans="2:7" x14ac:dyDescent="0.3">
      <c r="B25" s="600" t="s">
        <v>657</v>
      </c>
      <c r="C25" s="662" t="s">
        <v>658</v>
      </c>
      <c r="D25" s="665">
        <v>2.13</v>
      </c>
      <c r="E25" s="665">
        <v>1.954</v>
      </c>
      <c r="F25" s="659" t="s">
        <v>659</v>
      </c>
      <c r="G25" s="657" t="s">
        <v>660</v>
      </c>
    </row>
    <row r="26" spans="2:7" x14ac:dyDescent="0.3">
      <c r="B26" s="600" t="s">
        <v>661</v>
      </c>
      <c r="C26" s="662" t="s">
        <v>662</v>
      </c>
      <c r="D26" s="665">
        <v>1.2250000000000001</v>
      </c>
      <c r="E26" s="665">
        <v>1.379</v>
      </c>
      <c r="F26" s="659" t="s">
        <v>663</v>
      </c>
      <c r="G26" s="657" t="s">
        <v>664</v>
      </c>
    </row>
    <row r="27" spans="2:7" x14ac:dyDescent="0.3">
      <c r="B27" s="600" t="s">
        <v>665</v>
      </c>
      <c r="C27" s="662" t="s">
        <v>666</v>
      </c>
      <c r="D27" s="665">
        <v>1.417</v>
      </c>
      <c r="E27" s="665">
        <v>1.4059999999999999</v>
      </c>
      <c r="F27" s="659" t="s">
        <v>667</v>
      </c>
      <c r="G27" s="657" t="s">
        <v>668</v>
      </c>
    </row>
    <row r="28" spans="2:7" x14ac:dyDescent="0.3">
      <c r="B28" s="600" t="s">
        <v>669</v>
      </c>
      <c r="C28" s="662" t="s">
        <v>670</v>
      </c>
      <c r="D28" s="665">
        <v>1.458</v>
      </c>
      <c r="E28" s="665">
        <v>1.4</v>
      </c>
      <c r="F28" s="659" t="s">
        <v>671</v>
      </c>
      <c r="G28" s="657" t="s">
        <v>672</v>
      </c>
    </row>
    <row r="29" spans="2:7" x14ac:dyDescent="0.3">
      <c r="B29" s="600" t="s">
        <v>673</v>
      </c>
      <c r="C29" s="662" t="s">
        <v>674</v>
      </c>
      <c r="D29" s="665">
        <v>1.9950000000000001</v>
      </c>
      <c r="E29" s="665">
        <v>1.919</v>
      </c>
      <c r="F29" s="659" t="s">
        <v>675</v>
      </c>
      <c r="G29" s="657" t="s">
        <v>644</v>
      </c>
    </row>
    <row r="30" spans="2:7" x14ac:dyDescent="0.3">
      <c r="B30" s="600" t="s">
        <v>676</v>
      </c>
      <c r="C30" s="662" t="s">
        <v>677</v>
      </c>
      <c r="D30" s="665">
        <v>1.55</v>
      </c>
      <c r="E30" s="665">
        <v>1.3480000000000001</v>
      </c>
      <c r="F30" s="659" t="s">
        <v>678</v>
      </c>
      <c r="G30" s="657" t="s">
        <v>679</v>
      </c>
    </row>
    <row r="31" spans="2:7" x14ac:dyDescent="0.3">
      <c r="B31" s="600" t="s">
        <v>680</v>
      </c>
      <c r="C31" s="662" t="s">
        <v>681</v>
      </c>
      <c r="D31" s="665">
        <v>1.57</v>
      </c>
      <c r="E31" s="665">
        <v>1.5249999999999999</v>
      </c>
      <c r="F31" s="659" t="s">
        <v>682</v>
      </c>
      <c r="G31" s="657" t="s">
        <v>683</v>
      </c>
    </row>
    <row r="32" spans="2:7" x14ac:dyDescent="0.3">
      <c r="B32" s="600" t="s">
        <v>684</v>
      </c>
      <c r="C32" s="662" t="s">
        <v>685</v>
      </c>
      <c r="D32" s="665">
        <v>1.46</v>
      </c>
      <c r="E32" s="665">
        <v>1.444</v>
      </c>
      <c r="F32" s="659" t="s">
        <v>686</v>
      </c>
      <c r="G32" s="657" t="s">
        <v>687</v>
      </c>
    </row>
    <row r="33" spans="2:7" x14ac:dyDescent="0.3">
      <c r="B33" s="600" t="s">
        <v>688</v>
      </c>
      <c r="C33" s="662" t="s">
        <v>689</v>
      </c>
      <c r="D33" s="665">
        <v>1.754</v>
      </c>
      <c r="E33" s="665">
        <v>1.718</v>
      </c>
      <c r="F33" s="659" t="s">
        <v>690</v>
      </c>
      <c r="G33" s="657" t="s">
        <v>691</v>
      </c>
    </row>
    <row r="34" spans="2:7" x14ac:dyDescent="0.3">
      <c r="B34" s="600" t="s">
        <v>692</v>
      </c>
      <c r="C34" s="662" t="s">
        <v>693</v>
      </c>
      <c r="D34" s="665">
        <v>0.77200000000000002</v>
      </c>
      <c r="E34" s="665">
        <v>0.81499999999999995</v>
      </c>
      <c r="F34" s="659" t="s">
        <v>694</v>
      </c>
      <c r="G34" s="657" t="s">
        <v>695</v>
      </c>
    </row>
    <row r="35" spans="2:7" x14ac:dyDescent="0.3">
      <c r="B35" s="600" t="s">
        <v>696</v>
      </c>
      <c r="C35" s="662" t="s">
        <v>697</v>
      </c>
      <c r="D35" s="665">
        <v>1.1599999999999999</v>
      </c>
      <c r="E35" s="665">
        <v>1.3069999999999999</v>
      </c>
      <c r="F35" s="659" t="s">
        <v>698</v>
      </c>
      <c r="G35" s="657" t="s">
        <v>699</v>
      </c>
    </row>
    <row r="36" spans="2:7" x14ac:dyDescent="0.3">
      <c r="B36" s="600" t="s">
        <v>700</v>
      </c>
      <c r="C36" s="662" t="s">
        <v>701</v>
      </c>
      <c r="D36" s="665">
        <v>1.2</v>
      </c>
      <c r="E36" s="665">
        <v>1.2090000000000001</v>
      </c>
      <c r="F36" s="659" t="s">
        <v>702</v>
      </c>
      <c r="G36" s="657" t="s">
        <v>703</v>
      </c>
    </row>
    <row r="37" spans="2:7" x14ac:dyDescent="0.3">
      <c r="B37" s="600" t="s">
        <v>704</v>
      </c>
      <c r="C37" s="662" t="s">
        <v>705</v>
      </c>
      <c r="D37" s="665">
        <v>1.363</v>
      </c>
      <c r="E37" s="665">
        <v>1.325</v>
      </c>
      <c r="F37" s="659" t="s">
        <v>706</v>
      </c>
      <c r="G37" s="657" t="s">
        <v>707</v>
      </c>
    </row>
    <row r="38" spans="2:7" x14ac:dyDescent="0.3">
      <c r="B38" s="600" t="s">
        <v>708</v>
      </c>
      <c r="C38" s="662" t="s">
        <v>709</v>
      </c>
      <c r="D38" s="665">
        <v>0.76</v>
      </c>
      <c r="E38" s="665">
        <v>0.72599999999999998</v>
      </c>
      <c r="F38" s="659" t="s">
        <v>710</v>
      </c>
      <c r="G38" s="657" t="s">
        <v>619</v>
      </c>
    </row>
    <row r="39" spans="2:7" x14ac:dyDescent="0.3">
      <c r="B39" s="600" t="s">
        <v>711</v>
      </c>
      <c r="C39" s="662" t="s">
        <v>712</v>
      </c>
      <c r="D39" s="665">
        <v>1.1000000000000001</v>
      </c>
      <c r="E39" s="665">
        <v>1.1000000000000001</v>
      </c>
      <c r="F39" s="659" t="s">
        <v>713</v>
      </c>
      <c r="G39" s="657" t="s">
        <v>714</v>
      </c>
    </row>
    <row r="40" spans="2:7" x14ac:dyDescent="0.3">
      <c r="B40" s="600" t="s">
        <v>715</v>
      </c>
      <c r="C40" s="662" t="s">
        <v>716</v>
      </c>
      <c r="D40" s="665">
        <v>0.57999999999999996</v>
      </c>
      <c r="E40" s="665">
        <v>0.57999999999999996</v>
      </c>
      <c r="F40" s="659" t="s">
        <v>713</v>
      </c>
      <c r="G40" s="657" t="s">
        <v>717</v>
      </c>
    </row>
    <row r="41" spans="2:7" x14ac:dyDescent="0.3">
      <c r="B41" s="600" t="s">
        <v>718</v>
      </c>
      <c r="C41" s="662" t="s">
        <v>719</v>
      </c>
      <c r="D41" s="665">
        <v>0.66100000000000003</v>
      </c>
      <c r="E41" s="665">
        <v>0.505</v>
      </c>
      <c r="F41" s="659" t="s">
        <v>720</v>
      </c>
      <c r="G41" s="657" t="s">
        <v>721</v>
      </c>
    </row>
    <row r="42" spans="2:7" x14ac:dyDescent="0.3">
      <c r="B42" s="600" t="s">
        <v>722</v>
      </c>
      <c r="C42" s="662" t="s">
        <v>723</v>
      </c>
      <c r="D42" s="665">
        <v>0.31</v>
      </c>
      <c r="E42" s="665">
        <v>0.46100000000000002</v>
      </c>
      <c r="F42" s="659" t="s">
        <v>724</v>
      </c>
      <c r="G42" s="657" t="s">
        <v>725</v>
      </c>
    </row>
    <row r="43" spans="2:7" x14ac:dyDescent="0.3">
      <c r="B43" s="600" t="s">
        <v>726</v>
      </c>
      <c r="C43" s="662" t="s">
        <v>727</v>
      </c>
      <c r="D43" s="665">
        <v>1.59</v>
      </c>
      <c r="E43" s="665">
        <v>1.581</v>
      </c>
      <c r="F43" s="659" t="s">
        <v>728</v>
      </c>
      <c r="G43" s="657" t="s">
        <v>729</v>
      </c>
    </row>
    <row r="44" spans="2:7" x14ac:dyDescent="0.3">
      <c r="B44" s="600" t="s">
        <v>730</v>
      </c>
      <c r="C44" s="662" t="s">
        <v>731</v>
      </c>
      <c r="D44" s="665">
        <v>1.23</v>
      </c>
      <c r="E44" s="665">
        <v>1.23</v>
      </c>
      <c r="F44" s="659" t="s">
        <v>713</v>
      </c>
      <c r="G44" s="657" t="s">
        <v>732</v>
      </c>
    </row>
    <row r="45" spans="2:7" x14ac:dyDescent="0.3">
      <c r="B45" s="600" t="s">
        <v>733</v>
      </c>
      <c r="C45" s="662" t="s">
        <v>734</v>
      </c>
      <c r="D45" s="665">
        <v>1.4650000000000001</v>
      </c>
      <c r="E45" s="665">
        <v>1.466</v>
      </c>
      <c r="F45" s="659" t="s">
        <v>735</v>
      </c>
      <c r="G45" s="657" t="s">
        <v>736</v>
      </c>
    </row>
    <row r="46" spans="2:7" x14ac:dyDescent="0.3">
      <c r="B46" s="600" t="s">
        <v>737</v>
      </c>
      <c r="C46" s="662" t="s">
        <v>738</v>
      </c>
      <c r="D46" s="665">
        <v>1.26</v>
      </c>
      <c r="E46" s="665">
        <v>1.226</v>
      </c>
      <c r="F46" s="659" t="s">
        <v>739</v>
      </c>
      <c r="G46" s="657" t="s">
        <v>740</v>
      </c>
    </row>
    <row r="47" spans="2:7" x14ac:dyDescent="0.3">
      <c r="B47" s="602" t="s">
        <v>741</v>
      </c>
      <c r="C47" s="663" t="s">
        <v>742</v>
      </c>
      <c r="D47" s="666">
        <v>1.54</v>
      </c>
      <c r="E47" s="666">
        <v>1.5069999999999999</v>
      </c>
      <c r="F47" s="660" t="s">
        <v>743</v>
      </c>
      <c r="G47" s="658" t="s">
        <v>744</v>
      </c>
    </row>
  </sheetData>
  <pageMargins left="0.7" right="0.7" top="0.75" bottom="0.75" header="0.3" footer="0.3"/>
  <ignoredErrors>
    <ignoredError sqref="F4:G47" numberStoredAsText="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DAF45-46A9-412C-922A-76E419B098BC}">
  <dimension ref="B1:T55"/>
  <sheetViews>
    <sheetView showGridLines="0" zoomScaleNormal="100" workbookViewId="0">
      <selection activeCell="B1" sqref="B1"/>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513</v>
      </c>
      <c r="E1" s="631"/>
      <c r="F1" s="631"/>
      <c r="G1" s="631"/>
      <c r="H1" s="631"/>
      <c r="I1" s="631"/>
      <c r="J1" s="631"/>
      <c r="K1" s="631"/>
      <c r="L1" s="631"/>
      <c r="M1" s="631"/>
      <c r="N1" s="631"/>
      <c r="O1" s="631"/>
      <c r="P1" s="631"/>
      <c r="Q1" s="631"/>
      <c r="R1" s="631"/>
      <c r="S1" s="631"/>
    </row>
    <row r="2" spans="2:20" x14ac:dyDescent="0.3">
      <c r="B2" s="6" t="s">
        <v>467</v>
      </c>
    </row>
    <row r="3" spans="2:20" x14ac:dyDescent="0.3">
      <c r="B3" s="6" t="s">
        <v>490</v>
      </c>
    </row>
    <row r="4" spans="2:20" ht="5.4" customHeight="1" x14ac:dyDescent="0.3">
      <c r="D4" s="1"/>
      <c r="E4" s="1"/>
      <c r="F4" s="1"/>
      <c r="G4" s="1"/>
      <c r="H4" s="2"/>
      <c r="I4" s="2"/>
      <c r="J4" s="1"/>
      <c r="K4" s="9"/>
      <c r="M4" s="1"/>
      <c r="P4" s="1"/>
      <c r="S4" s="1"/>
    </row>
    <row r="5" spans="2:20" ht="16.95" customHeight="1" x14ac:dyDescent="0.3">
      <c r="B5" s="831" t="s">
        <v>483</v>
      </c>
      <c r="C5" s="832"/>
      <c r="D5" s="832"/>
      <c r="E5" s="832"/>
      <c r="F5" s="832"/>
      <c r="G5" s="832"/>
      <c r="H5" s="832"/>
      <c r="I5" s="832"/>
      <c r="J5" s="832"/>
      <c r="K5" s="832"/>
      <c r="L5" s="832"/>
      <c r="M5" s="832"/>
      <c r="N5" s="832"/>
      <c r="O5" s="832"/>
      <c r="P5" s="832"/>
      <c r="Q5" s="832"/>
      <c r="R5" s="832"/>
      <c r="S5" s="833"/>
    </row>
    <row r="6" spans="2:20" ht="16.95" customHeight="1" x14ac:dyDescent="0.3">
      <c r="B6" s="459"/>
      <c r="C6" s="469"/>
      <c r="D6" s="470"/>
      <c r="E6" s="589" t="s">
        <v>469</v>
      </c>
      <c r="F6" s="470"/>
      <c r="G6" s="470"/>
      <c r="H6" s="469"/>
      <c r="I6" s="589" t="s">
        <v>470</v>
      </c>
      <c r="J6" s="470"/>
      <c r="K6" s="469"/>
      <c r="L6" s="589" t="s">
        <v>471</v>
      </c>
      <c r="M6" s="471"/>
      <c r="N6" s="470"/>
      <c r="O6" s="589" t="s">
        <v>485</v>
      </c>
      <c r="P6" s="471"/>
      <c r="Q6" s="470"/>
      <c r="R6" s="589" t="s">
        <v>548</v>
      </c>
      <c r="S6" s="472"/>
    </row>
    <row r="7" spans="2:20" ht="27.6" customHeight="1" x14ac:dyDescent="0.3">
      <c r="B7" s="588"/>
      <c r="C7" s="25" t="s">
        <v>95</v>
      </c>
      <c r="D7" s="454" t="s">
        <v>70</v>
      </c>
      <c r="E7" s="454" t="s">
        <v>486</v>
      </c>
      <c r="F7" s="454" t="s">
        <v>487</v>
      </c>
      <c r="G7" s="26" t="s">
        <v>488</v>
      </c>
      <c r="H7" s="21" t="s">
        <v>95</v>
      </c>
      <c r="I7" s="23" t="s">
        <v>70</v>
      </c>
      <c r="J7" s="454" t="s">
        <v>486</v>
      </c>
      <c r="K7" s="25" t="s">
        <v>95</v>
      </c>
      <c r="L7" s="454" t="s">
        <v>70</v>
      </c>
      <c r="M7" s="454" t="s">
        <v>486</v>
      </c>
      <c r="N7" s="25" t="s">
        <v>95</v>
      </c>
      <c r="O7" s="454" t="s">
        <v>70</v>
      </c>
      <c r="P7" s="454" t="s">
        <v>486</v>
      </c>
      <c r="Q7" s="25" t="s">
        <v>95</v>
      </c>
      <c r="R7" s="454" t="s">
        <v>70</v>
      </c>
      <c r="S7" s="454" t="s">
        <v>486</v>
      </c>
      <c r="T7" s="10"/>
    </row>
    <row r="8" spans="2:20" x14ac:dyDescent="0.3">
      <c r="B8" s="17" t="s">
        <v>474</v>
      </c>
      <c r="C8" s="19">
        <v>17</v>
      </c>
      <c r="D8" s="455">
        <v>17773</v>
      </c>
      <c r="E8" s="455">
        <f>+'FedEx Earnings Model'!$T$13</f>
        <v>17772.5</v>
      </c>
      <c r="F8" s="530">
        <f>+'FedEx Earnings Model'!T13</f>
        <v>17772.5</v>
      </c>
      <c r="G8" s="461">
        <f>+F8-E8</f>
        <v>0</v>
      </c>
      <c r="H8" s="19">
        <v>17</v>
      </c>
      <c r="I8" s="455">
        <v>17889</v>
      </c>
      <c r="J8" s="455">
        <f>+'FedEx Earnings Model'!$U$13</f>
        <v>17888.8</v>
      </c>
      <c r="K8" s="19">
        <v>17</v>
      </c>
      <c r="L8" s="455">
        <v>18692</v>
      </c>
      <c r="M8" s="455">
        <f>+'FedEx Earnings Model'!$V$13</f>
        <v>18692.299999999996</v>
      </c>
      <c r="N8" s="19">
        <v>7</v>
      </c>
      <c r="O8" s="455">
        <v>18026</v>
      </c>
      <c r="P8" s="455">
        <f>+'FedEx Earnings Model'!$X$13</f>
        <v>18024.890000000003</v>
      </c>
      <c r="Q8" s="19"/>
      <c r="R8" s="455"/>
      <c r="S8" s="450">
        <f>+'FedEx Earnings Model'!$Y$13</f>
        <v>18639.510413576987</v>
      </c>
      <c r="T8" s="11"/>
    </row>
    <row r="9" spans="2:20" x14ac:dyDescent="0.3">
      <c r="B9" s="17" t="s">
        <v>489</v>
      </c>
      <c r="C9" s="19">
        <v>12</v>
      </c>
      <c r="D9" s="455">
        <v>1433</v>
      </c>
      <c r="E9" s="455">
        <f>+'FedEx Earnings Model'!$T$27</f>
        <v>1421.540888468963</v>
      </c>
      <c r="F9" s="530">
        <f>+'FedEx Earnings Model'!T27</f>
        <v>1421.540888468963</v>
      </c>
      <c r="G9" s="461">
        <f t="shared" ref="G9:G16" si="0">+F9-E9</f>
        <v>0</v>
      </c>
      <c r="H9" s="19">
        <v>12</v>
      </c>
      <c r="I9" s="455">
        <v>1383</v>
      </c>
      <c r="J9" s="455">
        <f>+'FedEx Earnings Model'!$U$27</f>
        <v>1373.7647260697183</v>
      </c>
      <c r="K9" s="19">
        <v>10</v>
      </c>
      <c r="L9" s="455">
        <v>2167</v>
      </c>
      <c r="M9" s="455">
        <f>+'FedEx Earnings Model'!$V$27</f>
        <v>2167.7568618330993</v>
      </c>
      <c r="N9" s="19">
        <v>5</v>
      </c>
      <c r="O9" s="455">
        <v>1632</v>
      </c>
      <c r="P9" s="455">
        <f>+'FedEx Earnings Model'!$X$27</f>
        <v>1592.8491900763365</v>
      </c>
      <c r="Q9" s="19"/>
      <c r="R9" s="455"/>
      <c r="S9" s="450">
        <f>+'FedEx Earnings Model'!$Y$27</f>
        <v>1636.7097717072429</v>
      </c>
      <c r="T9" s="11"/>
    </row>
    <row r="10" spans="2:20" x14ac:dyDescent="0.3">
      <c r="B10" s="17" t="s">
        <v>482</v>
      </c>
      <c r="C10" s="19"/>
      <c r="D10" s="456">
        <v>8.0606609230592527E-2</v>
      </c>
      <c r="E10" s="456">
        <f>+E9/E8</f>
        <v>7.9985420648134076E-2</v>
      </c>
      <c r="F10" s="531">
        <f>+F9/F8</f>
        <v>7.9985420648134076E-2</v>
      </c>
      <c r="G10" s="462">
        <f t="shared" si="0"/>
        <v>0</v>
      </c>
      <c r="H10" s="19"/>
      <c r="I10" s="456">
        <v>7.7306183069722617E-2</v>
      </c>
      <c r="J10" s="456">
        <f>+J9/J8</f>
        <v>7.679468304580063E-2</v>
      </c>
      <c r="K10" s="19"/>
      <c r="L10" s="456">
        <v>0.11591675084731336</v>
      </c>
      <c r="M10" s="456">
        <f>+M9/M8</f>
        <v>0.11597057942752362</v>
      </c>
      <c r="N10" s="19"/>
      <c r="O10" s="456">
        <v>9.0559518148676438E-2</v>
      </c>
      <c r="P10" s="456">
        <f>+P9/P8</f>
        <v>8.8369426391857936E-2</v>
      </c>
      <c r="Q10" s="19"/>
      <c r="R10" s="456"/>
      <c r="S10" s="451">
        <f>+S9/S8</f>
        <v>8.7808624550302902E-2</v>
      </c>
      <c r="T10" s="11"/>
    </row>
    <row r="11" spans="2:20" x14ac:dyDescent="0.3">
      <c r="B11" s="17" t="s">
        <v>475</v>
      </c>
      <c r="C11" s="19">
        <v>15</v>
      </c>
      <c r="D11" s="455">
        <v>2226</v>
      </c>
      <c r="E11" s="455">
        <f>+'FedEx Earnings Model'!$T$36</f>
        <v>2063.3918225166017</v>
      </c>
      <c r="F11" s="530">
        <f>+'FedEx Earnings Model'!T36</f>
        <v>2063.3918225166017</v>
      </c>
      <c r="G11" s="461">
        <f t="shared" si="0"/>
        <v>0</v>
      </c>
      <c r="H11" s="19">
        <v>15</v>
      </c>
      <c r="I11" s="455">
        <v>2226</v>
      </c>
      <c r="J11" s="455">
        <f>+'FedEx Earnings Model'!$U$36</f>
        <v>2020.0910031674503</v>
      </c>
      <c r="K11" s="19">
        <v>15</v>
      </c>
      <c r="L11" s="455">
        <v>2983</v>
      </c>
      <c r="M11" s="455">
        <f>+'FedEx Earnings Model'!$V$36</f>
        <v>3062.8038771698366</v>
      </c>
      <c r="N11" s="19">
        <v>6</v>
      </c>
      <c r="O11" s="455">
        <v>2455</v>
      </c>
      <c r="P11" s="455">
        <f>+'FedEx Earnings Model'!$X$36</f>
        <v>2331.2068761014762</v>
      </c>
      <c r="Q11" s="19"/>
      <c r="R11" s="455"/>
      <c r="S11" s="450">
        <f>+'FedEx Earnings Model'!$Y$36</f>
        <v>2394.3466920980954</v>
      </c>
      <c r="T11" s="11"/>
    </row>
    <row r="12" spans="2:20" x14ac:dyDescent="0.3">
      <c r="B12" s="17" t="s">
        <v>476</v>
      </c>
      <c r="C12" s="19">
        <v>11</v>
      </c>
      <c r="D12" s="455">
        <v>1427</v>
      </c>
      <c r="E12" s="455">
        <f>+'FedEx Earnings Model'!$T$35</f>
        <v>1319.8138806067961</v>
      </c>
      <c r="F12" s="530">
        <f>+'FedEx Earnings Model'!T35</f>
        <v>1319.8138806067961</v>
      </c>
      <c r="G12" s="461">
        <f t="shared" si="0"/>
        <v>0</v>
      </c>
      <c r="H12" s="19">
        <v>11</v>
      </c>
      <c r="I12" s="455">
        <v>1361</v>
      </c>
      <c r="J12" s="455">
        <f>+'FedEx Earnings Model'!$U$35</f>
        <v>1267.0694269868825</v>
      </c>
      <c r="K12" s="19">
        <v>11</v>
      </c>
      <c r="L12" s="455">
        <v>2173</v>
      </c>
      <c r="M12" s="455">
        <f>+'FedEx Earnings Model'!$V$35</f>
        <v>2290.4126056761716</v>
      </c>
      <c r="N12" s="19">
        <v>3</v>
      </c>
      <c r="O12" s="455">
        <v>1615</v>
      </c>
      <c r="P12" s="455">
        <f>+'FedEx Earnings Model'!$X$35</f>
        <v>1530.1884631508756</v>
      </c>
      <c r="Q12" s="19"/>
      <c r="R12" s="455"/>
      <c r="S12" s="450">
        <f>+'FedEx Earnings Model'!$Y$35</f>
        <v>1574.3450406139709</v>
      </c>
      <c r="T12" s="11"/>
    </row>
    <row r="13" spans="2:20" x14ac:dyDescent="0.3">
      <c r="B13" s="17" t="s">
        <v>477</v>
      </c>
      <c r="C13" s="19">
        <v>15</v>
      </c>
      <c r="D13" s="455">
        <v>1069</v>
      </c>
      <c r="E13" s="455">
        <f>+'FedEx Earnings Model'!$T$40</f>
        <v>1080.3604104550971</v>
      </c>
      <c r="F13" s="530">
        <f>+'FedEx Earnings Model'!T40</f>
        <v>1080.3604104550971</v>
      </c>
      <c r="G13" s="461">
        <f t="shared" si="0"/>
        <v>0</v>
      </c>
      <c r="H13" s="19">
        <v>15</v>
      </c>
      <c r="I13" s="455">
        <v>1027</v>
      </c>
      <c r="J13" s="455">
        <f>+'FedEx Earnings Model'!$U$40</f>
        <v>1040.8020702401618</v>
      </c>
      <c r="K13" s="19">
        <v>15</v>
      </c>
      <c r="L13" s="455">
        <v>1618</v>
      </c>
      <c r="M13" s="455">
        <f>+'FedEx Earnings Model'!$V$40</f>
        <v>1637.8865742938935</v>
      </c>
      <c r="N13" s="19">
        <v>15</v>
      </c>
      <c r="O13" s="455">
        <v>1185</v>
      </c>
      <c r="P13" s="455">
        <f>+'FedEx Earnings Model'!$X$40</f>
        <v>1199.2038473631567</v>
      </c>
      <c r="Q13" s="19"/>
      <c r="R13" s="455"/>
      <c r="S13" s="450">
        <f>+'FedEx Earnings Model'!$Y$40</f>
        <v>1232.3212804604782</v>
      </c>
      <c r="T13" s="11"/>
    </row>
    <row r="14" spans="2:20" x14ac:dyDescent="0.3">
      <c r="B14" s="17" t="s">
        <v>479</v>
      </c>
      <c r="C14" s="19">
        <v>22</v>
      </c>
      <c r="D14" s="457">
        <v>4</v>
      </c>
      <c r="E14" s="457">
        <f>+'FedEx Earnings Model'!$T$45</f>
        <v>4.003615981233426</v>
      </c>
      <c r="F14" s="532">
        <f>+'FedEx Earnings Model'!T45</f>
        <v>4.003615981233426</v>
      </c>
      <c r="G14" s="463">
        <f t="shared" si="0"/>
        <v>0</v>
      </c>
      <c r="H14" s="19">
        <v>22</v>
      </c>
      <c r="I14" s="457">
        <v>3.85</v>
      </c>
      <c r="J14" s="457">
        <f>+'FedEx Earnings Model'!$U$45</f>
        <v>3.8526711793717623</v>
      </c>
      <c r="K14" s="19">
        <v>21</v>
      </c>
      <c r="L14" s="457">
        <v>6.05</v>
      </c>
      <c r="M14" s="457">
        <f>+'FedEx Earnings Model'!$V$45</f>
        <v>6.0474885872906556</v>
      </c>
      <c r="N14" s="19">
        <v>11</v>
      </c>
      <c r="O14" s="457">
        <v>4.43</v>
      </c>
      <c r="P14" s="457">
        <f>+'FedEx Earnings Model'!$X$45</f>
        <v>4.4300000000000015</v>
      </c>
      <c r="Q14" s="19"/>
      <c r="R14" s="457"/>
      <c r="S14" s="452">
        <f>+'FedEx Earnings Model'!$Y$45</f>
        <v>4.5459823436586007</v>
      </c>
      <c r="T14" s="11"/>
    </row>
    <row r="15" spans="2:20" x14ac:dyDescent="0.3">
      <c r="B15" s="17" t="s">
        <v>480</v>
      </c>
      <c r="C15" s="19">
        <v>3</v>
      </c>
      <c r="D15" s="455">
        <v>534</v>
      </c>
      <c r="E15" s="455"/>
      <c r="F15" s="530"/>
      <c r="G15" s="461">
        <f t="shared" si="0"/>
        <v>0</v>
      </c>
      <c r="H15" s="19">
        <v>3</v>
      </c>
      <c r="I15" s="455">
        <v>577</v>
      </c>
      <c r="J15" s="455"/>
      <c r="K15" s="19">
        <v>3</v>
      </c>
      <c r="L15" s="455">
        <v>970</v>
      </c>
      <c r="M15" s="455"/>
      <c r="N15" s="19">
        <v>3</v>
      </c>
      <c r="O15" s="455">
        <v>327</v>
      </c>
      <c r="P15" s="455"/>
      <c r="Q15" s="19"/>
      <c r="R15" s="455"/>
      <c r="S15" s="450"/>
      <c r="T15" s="11"/>
    </row>
    <row r="16" spans="2:20" x14ac:dyDescent="0.3">
      <c r="B16" s="18" t="s">
        <v>481</v>
      </c>
      <c r="C16" s="20">
        <v>2</v>
      </c>
      <c r="D16" s="458">
        <v>1437</v>
      </c>
      <c r="E16" s="458">
        <f>-'FedEx Earnings Model'!$T$327</f>
        <v>1439.5725</v>
      </c>
      <c r="F16" s="533">
        <f>-'FedEx Earnings Model'!T327</f>
        <v>1439.5725</v>
      </c>
      <c r="G16" s="464">
        <f t="shared" si="0"/>
        <v>0</v>
      </c>
      <c r="H16" s="20">
        <v>2</v>
      </c>
      <c r="I16" s="458">
        <v>1493</v>
      </c>
      <c r="J16" s="458">
        <f>-'FedEx Earnings Model'!$U$327</f>
        <v>1448.9928</v>
      </c>
      <c r="K16" s="20">
        <v>2</v>
      </c>
      <c r="L16" s="458">
        <v>1493</v>
      </c>
      <c r="M16" s="458">
        <f>-'FedEx Earnings Model'!$V$327</f>
        <v>1532.4346999999996</v>
      </c>
      <c r="N16" s="20">
        <v>3</v>
      </c>
      <c r="O16" s="458">
        <v>1525</v>
      </c>
      <c r="P16" s="458">
        <f>-'FedEx Earnings Model'!$X$327</f>
        <v>1411.0045517268563</v>
      </c>
      <c r="Q16" s="20"/>
      <c r="R16" s="458"/>
      <c r="S16" s="453">
        <f>-'FedEx Earnings Model'!$Y$327</f>
        <v>1501.7062931775054</v>
      </c>
      <c r="T16" s="11"/>
    </row>
    <row r="17" spans="2:20" ht="6" customHeight="1" x14ac:dyDescent="0.3"/>
    <row r="18" spans="2:20" ht="16.95" customHeight="1" x14ac:dyDescent="0.3">
      <c r="B18" s="834" t="s">
        <v>484</v>
      </c>
      <c r="C18" s="835"/>
      <c r="D18" s="835"/>
      <c r="E18" s="835"/>
      <c r="F18" s="835"/>
      <c r="G18" s="835"/>
      <c r="H18" s="835"/>
      <c r="I18" s="835"/>
      <c r="J18" s="835"/>
      <c r="K18" s="835"/>
      <c r="L18" s="835"/>
      <c r="M18" s="835"/>
      <c r="N18" s="835"/>
      <c r="O18" s="835"/>
      <c r="P18" s="835"/>
      <c r="Q18" s="835"/>
      <c r="R18" s="835"/>
      <c r="S18" s="836"/>
    </row>
    <row r="19" spans="2:20" ht="16.95" customHeight="1" x14ac:dyDescent="0.3">
      <c r="B19" s="459"/>
      <c r="C19" s="469"/>
      <c r="D19" s="470"/>
      <c r="E19" s="589" t="s">
        <v>549</v>
      </c>
      <c r="F19" s="470"/>
      <c r="G19" s="470"/>
      <c r="H19" s="837" t="s">
        <v>470</v>
      </c>
      <c r="I19" s="838"/>
      <c r="J19" s="838"/>
      <c r="K19" s="837" t="s">
        <v>471</v>
      </c>
      <c r="L19" s="838"/>
      <c r="M19" s="838"/>
      <c r="N19" s="838" t="s">
        <v>485</v>
      </c>
      <c r="O19" s="838"/>
      <c r="P19" s="839"/>
      <c r="Q19" s="838" t="s">
        <v>548</v>
      </c>
      <c r="R19" s="838"/>
      <c r="S19" s="840"/>
    </row>
    <row r="20" spans="2:20" ht="33.6" customHeight="1" x14ac:dyDescent="0.3">
      <c r="B20" s="587" t="s">
        <v>94</v>
      </c>
      <c r="C20" s="25" t="s">
        <v>95</v>
      </c>
      <c r="D20" s="454" t="s">
        <v>70</v>
      </c>
      <c r="E20" s="454" t="s">
        <v>486</v>
      </c>
      <c r="F20" s="454"/>
      <c r="G20" s="26"/>
      <c r="H20" s="21" t="s">
        <v>95</v>
      </c>
      <c r="I20" s="23" t="s">
        <v>70</v>
      </c>
      <c r="J20" s="23" t="s">
        <v>486</v>
      </c>
      <c r="K20" s="21" t="s">
        <v>95</v>
      </c>
      <c r="L20" s="23" t="s">
        <v>70</v>
      </c>
      <c r="M20" s="23" t="s">
        <v>486</v>
      </c>
      <c r="N20" s="21" t="s">
        <v>95</v>
      </c>
      <c r="O20" s="23" t="s">
        <v>70</v>
      </c>
      <c r="P20" s="23" t="s">
        <v>486</v>
      </c>
      <c r="Q20" s="21" t="s">
        <v>95</v>
      </c>
      <c r="R20" s="23" t="s">
        <v>70</v>
      </c>
      <c r="S20" s="23" t="s">
        <v>486</v>
      </c>
      <c r="T20" s="10"/>
    </row>
    <row r="21" spans="2:20" x14ac:dyDescent="0.3">
      <c r="B21" s="17" t="s">
        <v>474</v>
      </c>
      <c r="C21" s="548"/>
      <c r="D21" s="549"/>
      <c r="E21" s="455">
        <f>+'FedEx Earnings Model'!$T$13</f>
        <v>17772.5</v>
      </c>
      <c r="F21" s="465"/>
      <c r="G21" s="466"/>
      <c r="H21" s="19"/>
      <c r="I21" s="455"/>
      <c r="J21" s="455">
        <f>+'FedEx Earnings Model'!$U$13</f>
        <v>17888.8</v>
      </c>
      <c r="K21" s="19"/>
      <c r="L21" s="455"/>
      <c r="M21" s="455">
        <f>+'FedEx Earnings Model'!$V$13</f>
        <v>18692.299999999996</v>
      </c>
      <c r="N21" s="19"/>
      <c r="O21" s="455"/>
      <c r="P21" s="455">
        <f>+'FedEx Earnings Model'!$X$13</f>
        <v>18024.890000000003</v>
      </c>
      <c r="Q21" s="19"/>
      <c r="R21" s="455"/>
      <c r="S21" s="450">
        <f>+'FedEx Earnings Model'!$Y$13</f>
        <v>18639.510413576987</v>
      </c>
      <c r="T21" s="11"/>
    </row>
    <row r="22" spans="2:20" x14ac:dyDescent="0.3">
      <c r="B22" s="17" t="s">
        <v>478</v>
      </c>
      <c r="C22" s="548"/>
      <c r="D22" s="549"/>
      <c r="E22" s="455">
        <f>+'FedEx Earnings Model'!$T$27</f>
        <v>1421.540888468963</v>
      </c>
      <c r="F22" s="455"/>
      <c r="G22" s="466"/>
      <c r="H22" s="19"/>
      <c r="I22" s="455"/>
      <c r="J22" s="455">
        <f>+'FedEx Earnings Model'!$U$27</f>
        <v>1373.7647260697183</v>
      </c>
      <c r="K22" s="19"/>
      <c r="L22" s="455"/>
      <c r="M22" s="455">
        <f>+'FedEx Earnings Model'!$V$27</f>
        <v>2167.7568618330993</v>
      </c>
      <c r="N22" s="19"/>
      <c r="O22" s="455"/>
      <c r="P22" s="455">
        <f>+'FedEx Earnings Model'!$X$27</f>
        <v>1592.8491900763365</v>
      </c>
      <c r="Q22" s="19"/>
      <c r="R22" s="455"/>
      <c r="S22" s="450">
        <f>+'FedEx Earnings Model'!$Y$27</f>
        <v>1636.7097717072429</v>
      </c>
      <c r="T22" s="11"/>
    </row>
    <row r="23" spans="2:20" x14ac:dyDescent="0.3">
      <c r="B23" s="17" t="s">
        <v>482</v>
      </c>
      <c r="C23" s="548"/>
      <c r="D23" s="456"/>
      <c r="E23" s="456">
        <f>+E22/E21</f>
        <v>7.9985420648134076E-2</v>
      </c>
      <c r="F23" s="456"/>
      <c r="G23" s="448"/>
      <c r="H23" s="19"/>
      <c r="I23" s="456"/>
      <c r="J23" s="456">
        <f>+J22/J21</f>
        <v>7.679468304580063E-2</v>
      </c>
      <c r="K23" s="19"/>
      <c r="L23" s="456"/>
      <c r="M23" s="456">
        <f>+M22/M21</f>
        <v>0.11597057942752362</v>
      </c>
      <c r="N23" s="19"/>
      <c r="O23" s="456"/>
      <c r="P23" s="456">
        <f>+P22/P21</f>
        <v>8.8369426391857936E-2</v>
      </c>
      <c r="Q23" s="19"/>
      <c r="R23" s="456"/>
      <c r="S23" s="451">
        <f>+S22/S21</f>
        <v>8.7808624550302902E-2</v>
      </c>
      <c r="T23" s="11"/>
    </row>
    <row r="24" spans="2:20" x14ac:dyDescent="0.3">
      <c r="B24" s="17" t="s">
        <v>475</v>
      </c>
      <c r="C24" s="548"/>
      <c r="D24" s="549"/>
      <c r="E24" s="455">
        <f>+'FedEx Earnings Model'!$T$36</f>
        <v>2063.3918225166017</v>
      </c>
      <c r="F24" s="455"/>
      <c r="G24" s="466"/>
      <c r="H24" s="19"/>
      <c r="I24" s="455"/>
      <c r="J24" s="455">
        <f>+'FedEx Earnings Model'!$U$36</f>
        <v>2020.0910031674503</v>
      </c>
      <c r="K24" s="19"/>
      <c r="L24" s="455"/>
      <c r="M24" s="455">
        <f>+'FedEx Earnings Model'!$V$36</f>
        <v>3062.8038771698366</v>
      </c>
      <c r="N24" s="19"/>
      <c r="O24" s="455"/>
      <c r="P24" s="455">
        <f>+'FedEx Earnings Model'!$X$36</f>
        <v>2331.2068761014762</v>
      </c>
      <c r="Q24" s="19"/>
      <c r="R24" s="455"/>
      <c r="S24" s="450">
        <f>+'FedEx Earnings Model'!$Y$36</f>
        <v>2394.3466920980954</v>
      </c>
      <c r="T24" s="11"/>
    </row>
    <row r="25" spans="2:20" x14ac:dyDescent="0.3">
      <c r="B25" s="17" t="s">
        <v>476</v>
      </c>
      <c r="C25" s="548"/>
      <c r="D25" s="549"/>
      <c r="E25" s="455">
        <f>+'FedEx Earnings Model'!$T$35</f>
        <v>1319.8138806067961</v>
      </c>
      <c r="F25" s="455"/>
      <c r="G25" s="466"/>
      <c r="H25" s="19"/>
      <c r="I25" s="455"/>
      <c r="J25" s="455">
        <f>+'FedEx Earnings Model'!$U$35</f>
        <v>1267.0694269868825</v>
      </c>
      <c r="K25" s="19"/>
      <c r="L25" s="455"/>
      <c r="M25" s="455">
        <f>+'FedEx Earnings Model'!$V$35</f>
        <v>2290.4126056761716</v>
      </c>
      <c r="N25" s="19"/>
      <c r="O25" s="455"/>
      <c r="P25" s="455">
        <f>+'FedEx Earnings Model'!$X$35</f>
        <v>1530.1884631508756</v>
      </c>
      <c r="Q25" s="19"/>
      <c r="R25" s="455"/>
      <c r="S25" s="450">
        <f>+'FedEx Earnings Model'!$Y$35</f>
        <v>1574.3450406139709</v>
      </c>
      <c r="T25" s="11"/>
    </row>
    <row r="26" spans="2:20" x14ac:dyDescent="0.3">
      <c r="B26" s="17" t="s">
        <v>477</v>
      </c>
      <c r="C26" s="548"/>
      <c r="D26" s="549"/>
      <c r="E26" s="455">
        <f>+'FedEx Earnings Model'!$T$40</f>
        <v>1080.3604104550971</v>
      </c>
      <c r="F26" s="455"/>
      <c r="G26" s="466"/>
      <c r="H26" s="19"/>
      <c r="I26" s="455"/>
      <c r="J26" s="455">
        <f>+'FedEx Earnings Model'!$U$40</f>
        <v>1040.8020702401618</v>
      </c>
      <c r="K26" s="19"/>
      <c r="L26" s="455"/>
      <c r="M26" s="455">
        <f>+'FedEx Earnings Model'!$V$40</f>
        <v>1637.8865742938935</v>
      </c>
      <c r="N26" s="19"/>
      <c r="O26" s="455"/>
      <c r="P26" s="455">
        <f>+'FedEx Earnings Model'!$X$40</f>
        <v>1199.2038473631567</v>
      </c>
      <c r="Q26" s="19"/>
      <c r="R26" s="455"/>
      <c r="S26" s="450">
        <f>+'FedEx Earnings Model'!$Y$40</f>
        <v>1232.3212804604782</v>
      </c>
      <c r="T26" s="11"/>
    </row>
    <row r="27" spans="2:20" x14ac:dyDescent="0.3">
      <c r="B27" s="17" t="s">
        <v>479</v>
      </c>
      <c r="C27" s="548"/>
      <c r="D27" s="550"/>
      <c r="E27" s="457">
        <f>+'FedEx Earnings Model'!$T$45</f>
        <v>4.003615981233426</v>
      </c>
      <c r="F27" s="457"/>
      <c r="G27" s="467"/>
      <c r="H27" s="19"/>
      <c r="I27" s="457"/>
      <c r="J27" s="457">
        <f>+'FedEx Earnings Model'!$U$45</f>
        <v>3.8526711793717623</v>
      </c>
      <c r="K27" s="19"/>
      <c r="L27" s="457"/>
      <c r="M27" s="457">
        <f>+'FedEx Earnings Model'!$V$45</f>
        <v>6.0474885872906556</v>
      </c>
      <c r="N27" s="19"/>
      <c r="O27" s="457"/>
      <c r="P27" s="457">
        <f>+'FedEx Earnings Model'!$X$45</f>
        <v>4.4300000000000015</v>
      </c>
      <c r="Q27" s="19"/>
      <c r="R27" s="457"/>
      <c r="S27" s="452">
        <f>+'FedEx Earnings Model'!$Y$45</f>
        <v>4.5459823436586007</v>
      </c>
      <c r="T27" s="11"/>
    </row>
    <row r="28" spans="2:20" x14ac:dyDescent="0.3">
      <c r="B28" s="17" t="s">
        <v>480</v>
      </c>
      <c r="C28" s="548"/>
      <c r="D28" s="549"/>
      <c r="E28" s="455"/>
      <c r="F28" s="455"/>
      <c r="G28" s="466"/>
      <c r="H28" s="19"/>
      <c r="I28" s="455"/>
      <c r="J28" s="455"/>
      <c r="K28" s="19"/>
      <c r="L28" s="455"/>
      <c r="M28" s="455"/>
      <c r="N28" s="19"/>
      <c r="O28" s="455"/>
      <c r="P28" s="455"/>
      <c r="Q28" s="19"/>
      <c r="R28" s="455"/>
      <c r="S28" s="450"/>
      <c r="T28" s="11"/>
    </row>
    <row r="29" spans="2:20" x14ac:dyDescent="0.3">
      <c r="B29" s="18" t="s">
        <v>481</v>
      </c>
      <c r="C29" s="551"/>
      <c r="D29" s="552"/>
      <c r="E29" s="458">
        <f>-'FedEx Earnings Model'!$T$327</f>
        <v>1439.5725</v>
      </c>
      <c r="F29" s="458"/>
      <c r="G29" s="468"/>
      <c r="H29" s="20"/>
      <c r="I29" s="458"/>
      <c r="J29" s="458">
        <f>-'FedEx Earnings Model'!$U$327</f>
        <v>1448.9928</v>
      </c>
      <c r="K29" s="20"/>
      <c r="L29" s="458"/>
      <c r="M29" s="458">
        <f>-'FedEx Earnings Model'!$V$327</f>
        <v>1532.4346999999996</v>
      </c>
      <c r="N29" s="20"/>
      <c r="O29" s="458"/>
      <c r="P29" s="458">
        <f>-'FedEx Earnings Model'!$X$327</f>
        <v>1411.0045517268563</v>
      </c>
      <c r="Q29" s="20"/>
      <c r="R29" s="458"/>
      <c r="S29" s="453">
        <f>-'FedEx Earnings Model'!$Y$327</f>
        <v>1501.7062931775054</v>
      </c>
      <c r="T29" s="11"/>
    </row>
    <row r="30" spans="2:20" ht="8.4" customHeight="1" x14ac:dyDescent="0.3">
      <c r="C30" s="8"/>
      <c r="D30" s="8"/>
      <c r="E30" s="8"/>
      <c r="F30" s="8"/>
      <c r="G30" s="8"/>
      <c r="H30" s="8"/>
      <c r="I30" s="8"/>
      <c r="J30" s="8"/>
      <c r="M30" s="8"/>
      <c r="N30" s="7"/>
      <c r="P30" s="8"/>
      <c r="Q30" s="7"/>
      <c r="S30" s="8"/>
    </row>
    <row r="31" spans="2:20" ht="16.95" customHeight="1" x14ac:dyDescent="0.3">
      <c r="B31" s="841" t="s">
        <v>492</v>
      </c>
      <c r="C31" s="842"/>
      <c r="D31" s="842"/>
      <c r="E31" s="842"/>
      <c r="F31" s="842"/>
      <c r="G31" s="842"/>
      <c r="H31" s="842"/>
      <c r="I31" s="842"/>
      <c r="J31" s="842"/>
      <c r="K31" s="842"/>
      <c r="L31" s="842"/>
      <c r="M31" s="842"/>
      <c r="N31" s="842"/>
      <c r="O31" s="842"/>
      <c r="P31" s="842"/>
      <c r="Q31" s="842"/>
      <c r="R31" s="842"/>
      <c r="S31" s="843"/>
    </row>
    <row r="32" spans="2:20" ht="16.95" customHeight="1" x14ac:dyDescent="0.3">
      <c r="B32" s="459"/>
      <c r="C32" s="469"/>
      <c r="D32" s="470"/>
      <c r="E32" s="589" t="s">
        <v>549</v>
      </c>
      <c r="F32" s="470"/>
      <c r="G32" s="470"/>
      <c r="H32" s="837" t="s">
        <v>470</v>
      </c>
      <c r="I32" s="838"/>
      <c r="J32" s="838"/>
      <c r="K32" s="837" t="s">
        <v>471</v>
      </c>
      <c r="L32" s="838"/>
      <c r="M32" s="838"/>
      <c r="N32" s="838" t="s">
        <v>485</v>
      </c>
      <c r="O32" s="838"/>
      <c r="P32" s="839"/>
      <c r="Q32" s="838" t="s">
        <v>548</v>
      </c>
      <c r="R32" s="838"/>
      <c r="S32" s="840"/>
    </row>
    <row r="33" spans="2:20" ht="33.6" customHeight="1" x14ac:dyDescent="0.3">
      <c r="B33" s="587" t="s">
        <v>94</v>
      </c>
      <c r="C33" s="25"/>
      <c r="D33" s="454" t="s">
        <v>70</v>
      </c>
      <c r="E33" s="454" t="s">
        <v>486</v>
      </c>
      <c r="F33" s="23"/>
      <c r="G33" s="22"/>
      <c r="H33" s="21"/>
      <c r="I33" s="23" t="s">
        <v>70</v>
      </c>
      <c r="J33" s="23" t="s">
        <v>486</v>
      </c>
      <c r="K33" s="21"/>
      <c r="L33" s="23" t="s">
        <v>70</v>
      </c>
      <c r="M33" s="23" t="s">
        <v>486</v>
      </c>
      <c r="N33" s="21"/>
      <c r="O33" s="23" t="s">
        <v>70</v>
      </c>
      <c r="P33" s="23" t="s">
        <v>486</v>
      </c>
      <c r="Q33" s="21"/>
      <c r="R33" s="23" t="s">
        <v>70</v>
      </c>
      <c r="S33" s="24" t="s">
        <v>486</v>
      </c>
      <c r="T33" s="10"/>
    </row>
    <row r="34" spans="2:20" x14ac:dyDescent="0.3">
      <c r="B34" s="17" t="s">
        <v>474</v>
      </c>
      <c r="C34" s="19"/>
      <c r="D34" s="455">
        <f>+F8-D8</f>
        <v>-0.5</v>
      </c>
      <c r="E34" s="455">
        <f>+E21-E8</f>
        <v>0</v>
      </c>
      <c r="F34" s="465"/>
      <c r="G34" s="466"/>
      <c r="H34" s="19"/>
      <c r="I34" s="455">
        <f>+I21-I8</f>
        <v>-17889</v>
      </c>
      <c r="J34" s="455">
        <f>+J21-J8</f>
        <v>0</v>
      </c>
      <c r="K34" s="19"/>
      <c r="L34" s="455">
        <f>+L21-L8</f>
        <v>-18692</v>
      </c>
      <c r="M34" s="455">
        <f>+M21-M8</f>
        <v>0</v>
      </c>
      <c r="N34" s="19"/>
      <c r="O34" s="455">
        <f>+O21-O8</f>
        <v>-18026</v>
      </c>
      <c r="P34" s="455">
        <f>+P21-P8</f>
        <v>0</v>
      </c>
      <c r="Q34" s="19"/>
      <c r="R34" s="455">
        <f>+R21-R8</f>
        <v>0</v>
      </c>
      <c r="S34" s="450">
        <f>+S21-S8</f>
        <v>0</v>
      </c>
      <c r="T34" s="11"/>
    </row>
    <row r="35" spans="2:20" x14ac:dyDescent="0.3">
      <c r="B35" s="17" t="s">
        <v>478</v>
      </c>
      <c r="C35" s="19"/>
      <c r="D35" s="455">
        <f t="shared" ref="D35:D42" si="1">+F9-D9</f>
        <v>-11.459111531037024</v>
      </c>
      <c r="E35" s="455">
        <f t="shared" ref="E35:E42" si="2">+E22-E9</f>
        <v>0</v>
      </c>
      <c r="F35" s="455"/>
      <c r="G35" s="466"/>
      <c r="H35" s="19"/>
      <c r="I35" s="455">
        <f t="shared" ref="I35:J42" si="3">+I22-I9</f>
        <v>-1383</v>
      </c>
      <c r="J35" s="455">
        <f t="shared" si="3"/>
        <v>0</v>
      </c>
      <c r="K35" s="19"/>
      <c r="L35" s="455">
        <f t="shared" ref="L35:M42" si="4">+L22-L9</f>
        <v>-2167</v>
      </c>
      <c r="M35" s="455">
        <f t="shared" si="4"/>
        <v>0</v>
      </c>
      <c r="N35" s="19"/>
      <c r="O35" s="455">
        <f t="shared" ref="O35:P42" si="5">+O22-O9</f>
        <v>-1632</v>
      </c>
      <c r="P35" s="455">
        <f t="shared" si="5"/>
        <v>0</v>
      </c>
      <c r="Q35" s="19"/>
      <c r="R35" s="455">
        <f t="shared" ref="R35:S42" si="6">+R22-R9</f>
        <v>0</v>
      </c>
      <c r="S35" s="450">
        <f t="shared" si="6"/>
        <v>0</v>
      </c>
      <c r="T35" s="11"/>
    </row>
    <row r="36" spans="2:20" x14ac:dyDescent="0.3">
      <c r="B36" s="17" t="s">
        <v>482</v>
      </c>
      <c r="C36" s="19"/>
      <c r="D36" s="455">
        <f t="shared" si="1"/>
        <v>-6.2118858245845121E-4</v>
      </c>
      <c r="E36" s="456">
        <f t="shared" si="2"/>
        <v>0</v>
      </c>
      <c r="F36" s="456"/>
      <c r="G36" s="448"/>
      <c r="H36" s="19"/>
      <c r="I36" s="456">
        <f t="shared" si="3"/>
        <v>-7.7306183069722617E-2</v>
      </c>
      <c r="J36" s="456">
        <f t="shared" si="3"/>
        <v>0</v>
      </c>
      <c r="K36" s="19"/>
      <c r="L36" s="456">
        <f t="shared" si="4"/>
        <v>-0.11591675084731336</v>
      </c>
      <c r="M36" s="456">
        <f t="shared" si="4"/>
        <v>0</v>
      </c>
      <c r="N36" s="19"/>
      <c r="O36" s="456">
        <f t="shared" si="5"/>
        <v>-9.0559518148676438E-2</v>
      </c>
      <c r="P36" s="456">
        <f t="shared" si="5"/>
        <v>0</v>
      </c>
      <c r="Q36" s="19"/>
      <c r="R36" s="456">
        <f t="shared" si="6"/>
        <v>0</v>
      </c>
      <c r="S36" s="451">
        <f t="shared" si="6"/>
        <v>0</v>
      </c>
      <c r="T36" s="11"/>
    </row>
    <row r="37" spans="2:20" x14ac:dyDescent="0.3">
      <c r="B37" s="17" t="s">
        <v>475</v>
      </c>
      <c r="C37" s="19"/>
      <c r="D37" s="455">
        <f t="shared" si="1"/>
        <v>-162.60817748339832</v>
      </c>
      <c r="E37" s="455">
        <f t="shared" si="2"/>
        <v>0</v>
      </c>
      <c r="F37" s="455"/>
      <c r="G37" s="466"/>
      <c r="H37" s="19"/>
      <c r="I37" s="455">
        <f t="shared" si="3"/>
        <v>-2226</v>
      </c>
      <c r="J37" s="455">
        <f t="shared" si="3"/>
        <v>0</v>
      </c>
      <c r="K37" s="19"/>
      <c r="L37" s="455">
        <f t="shared" si="4"/>
        <v>-2983</v>
      </c>
      <c r="M37" s="455">
        <f t="shared" si="4"/>
        <v>0</v>
      </c>
      <c r="N37" s="19"/>
      <c r="O37" s="455">
        <f t="shared" si="5"/>
        <v>-2455</v>
      </c>
      <c r="P37" s="455">
        <f t="shared" si="5"/>
        <v>0</v>
      </c>
      <c r="Q37" s="19"/>
      <c r="R37" s="455">
        <f t="shared" si="6"/>
        <v>0</v>
      </c>
      <c r="S37" s="450">
        <f t="shared" si="6"/>
        <v>0</v>
      </c>
      <c r="T37" s="11"/>
    </row>
    <row r="38" spans="2:20" x14ac:dyDescent="0.3">
      <c r="B38" s="17" t="s">
        <v>476</v>
      </c>
      <c r="C38" s="19"/>
      <c r="D38" s="455">
        <f t="shared" si="1"/>
        <v>-107.18611939320385</v>
      </c>
      <c r="E38" s="455">
        <f t="shared" si="2"/>
        <v>0</v>
      </c>
      <c r="F38" s="455"/>
      <c r="G38" s="466"/>
      <c r="H38" s="19"/>
      <c r="I38" s="455">
        <f t="shared" si="3"/>
        <v>-1361</v>
      </c>
      <c r="J38" s="455">
        <f t="shared" si="3"/>
        <v>0</v>
      </c>
      <c r="K38" s="19"/>
      <c r="L38" s="455">
        <f t="shared" si="4"/>
        <v>-2173</v>
      </c>
      <c r="M38" s="455">
        <f t="shared" si="4"/>
        <v>0</v>
      </c>
      <c r="N38" s="19"/>
      <c r="O38" s="455">
        <f t="shared" si="5"/>
        <v>-1615</v>
      </c>
      <c r="P38" s="455">
        <f t="shared" si="5"/>
        <v>0</v>
      </c>
      <c r="Q38" s="19"/>
      <c r="R38" s="455">
        <f t="shared" si="6"/>
        <v>0</v>
      </c>
      <c r="S38" s="450">
        <f t="shared" si="6"/>
        <v>0</v>
      </c>
      <c r="T38" s="11"/>
    </row>
    <row r="39" spans="2:20" x14ac:dyDescent="0.3">
      <c r="B39" s="17" t="s">
        <v>477</v>
      </c>
      <c r="C39" s="19"/>
      <c r="D39" s="455">
        <f t="shared" si="1"/>
        <v>11.360410455097053</v>
      </c>
      <c r="E39" s="455">
        <f t="shared" si="2"/>
        <v>0</v>
      </c>
      <c r="F39" s="455"/>
      <c r="G39" s="466"/>
      <c r="H39" s="19"/>
      <c r="I39" s="455">
        <f t="shared" si="3"/>
        <v>-1027</v>
      </c>
      <c r="J39" s="455">
        <f t="shared" si="3"/>
        <v>0</v>
      </c>
      <c r="K39" s="19"/>
      <c r="L39" s="455">
        <f t="shared" si="4"/>
        <v>-1618</v>
      </c>
      <c r="M39" s="455">
        <f t="shared" si="4"/>
        <v>0</v>
      </c>
      <c r="N39" s="19"/>
      <c r="O39" s="455">
        <f t="shared" si="5"/>
        <v>-1185</v>
      </c>
      <c r="P39" s="455">
        <f t="shared" si="5"/>
        <v>0</v>
      </c>
      <c r="Q39" s="19"/>
      <c r="R39" s="455">
        <f t="shared" si="6"/>
        <v>0</v>
      </c>
      <c r="S39" s="450">
        <f t="shared" si="6"/>
        <v>0</v>
      </c>
      <c r="T39" s="11"/>
    </row>
    <row r="40" spans="2:20" x14ac:dyDescent="0.3">
      <c r="B40" s="17" t="s">
        <v>479</v>
      </c>
      <c r="C40" s="19"/>
      <c r="D40" s="455">
        <f t="shared" si="1"/>
        <v>3.6159812334259911E-3</v>
      </c>
      <c r="E40" s="457">
        <f t="shared" si="2"/>
        <v>0</v>
      </c>
      <c r="F40" s="457"/>
      <c r="G40" s="467"/>
      <c r="H40" s="19"/>
      <c r="I40" s="457">
        <f t="shared" si="3"/>
        <v>-3.85</v>
      </c>
      <c r="J40" s="457">
        <f t="shared" si="3"/>
        <v>0</v>
      </c>
      <c r="K40" s="19"/>
      <c r="L40" s="457">
        <f t="shared" si="4"/>
        <v>-6.05</v>
      </c>
      <c r="M40" s="457">
        <f t="shared" si="4"/>
        <v>0</v>
      </c>
      <c r="N40" s="19"/>
      <c r="O40" s="457">
        <f t="shared" si="5"/>
        <v>-4.43</v>
      </c>
      <c r="P40" s="457">
        <f t="shared" si="5"/>
        <v>0</v>
      </c>
      <c r="Q40" s="19"/>
      <c r="R40" s="457">
        <f t="shared" si="6"/>
        <v>0</v>
      </c>
      <c r="S40" s="452">
        <f t="shared" si="6"/>
        <v>0</v>
      </c>
      <c r="T40" s="11"/>
    </row>
    <row r="41" spans="2:20" x14ac:dyDescent="0.3">
      <c r="B41" s="17" t="s">
        <v>480</v>
      </c>
      <c r="C41" s="19"/>
      <c r="D41" s="455">
        <f t="shared" si="1"/>
        <v>-534</v>
      </c>
      <c r="E41" s="455">
        <f t="shared" si="2"/>
        <v>0</v>
      </c>
      <c r="F41" s="455"/>
      <c r="G41" s="466"/>
      <c r="H41" s="19"/>
      <c r="I41" s="455">
        <f t="shared" si="3"/>
        <v>-577</v>
      </c>
      <c r="J41" s="455">
        <f t="shared" si="3"/>
        <v>0</v>
      </c>
      <c r="K41" s="19"/>
      <c r="L41" s="455">
        <f t="shared" si="4"/>
        <v>-970</v>
      </c>
      <c r="M41" s="455">
        <f t="shared" si="4"/>
        <v>0</v>
      </c>
      <c r="N41" s="19"/>
      <c r="O41" s="455">
        <f t="shared" si="5"/>
        <v>-327</v>
      </c>
      <c r="P41" s="455">
        <f t="shared" si="5"/>
        <v>0</v>
      </c>
      <c r="Q41" s="19"/>
      <c r="R41" s="455">
        <f t="shared" si="6"/>
        <v>0</v>
      </c>
      <c r="S41" s="450">
        <f t="shared" si="6"/>
        <v>0</v>
      </c>
      <c r="T41" s="11"/>
    </row>
    <row r="42" spans="2:20" x14ac:dyDescent="0.3">
      <c r="B42" s="18" t="s">
        <v>481</v>
      </c>
      <c r="C42" s="20"/>
      <c r="D42" s="458">
        <f t="shared" si="1"/>
        <v>2.5724999999999909</v>
      </c>
      <c r="E42" s="458">
        <f t="shared" si="2"/>
        <v>0</v>
      </c>
      <c r="F42" s="458"/>
      <c r="G42" s="468"/>
      <c r="H42" s="20"/>
      <c r="I42" s="458">
        <f t="shared" si="3"/>
        <v>-1493</v>
      </c>
      <c r="J42" s="458">
        <f t="shared" si="3"/>
        <v>0</v>
      </c>
      <c r="K42" s="20"/>
      <c r="L42" s="458">
        <f t="shared" si="4"/>
        <v>-1493</v>
      </c>
      <c r="M42" s="458">
        <f t="shared" si="4"/>
        <v>0</v>
      </c>
      <c r="N42" s="20"/>
      <c r="O42" s="458">
        <f t="shared" si="5"/>
        <v>-1525</v>
      </c>
      <c r="P42" s="458">
        <f t="shared" si="5"/>
        <v>0</v>
      </c>
      <c r="Q42" s="20"/>
      <c r="R42" s="458">
        <f t="shared" si="6"/>
        <v>0</v>
      </c>
      <c r="S42" s="453">
        <f t="shared" si="6"/>
        <v>0</v>
      </c>
      <c r="T42" s="11"/>
    </row>
    <row r="43" spans="2:20" ht="12.6" customHeight="1" x14ac:dyDescent="0.3">
      <c r="B43" s="7"/>
      <c r="C43" s="8"/>
      <c r="D43" s="8"/>
      <c r="E43" s="8"/>
      <c r="F43" s="8"/>
      <c r="G43" s="8"/>
      <c r="H43" s="8"/>
      <c r="I43" s="8"/>
      <c r="J43" s="8"/>
      <c r="M43" s="8"/>
      <c r="P43" s="8"/>
      <c r="S43" s="8"/>
    </row>
    <row r="44" spans="2:20" ht="21" customHeight="1" x14ac:dyDescent="0.3">
      <c r="B44" s="7"/>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830"/>
      <c r="M45" s="830"/>
      <c r="N45" s="830"/>
      <c r="O45" s="830"/>
      <c r="P45" s="830"/>
      <c r="Q45" s="830"/>
      <c r="R45" s="830"/>
      <c r="S45" s="830"/>
      <c r="T45" s="830"/>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2995-7B9E-4033-B251-A9F6C619E9A9}">
  <sheetPr>
    <tabColor theme="3" tint="0.39997558519241921"/>
  </sheetPr>
  <dimension ref="B1:T55"/>
  <sheetViews>
    <sheetView showGridLines="0" zoomScaleNormal="100" workbookViewId="0">
      <selection activeCell="O14" activeCellId="3" sqref="D14 I14 L14 O14"/>
    </sheetView>
  </sheetViews>
  <sheetFormatPr defaultColWidth="9.109375" defaultRowHeight="14.4" x14ac:dyDescent="0.3"/>
  <cols>
    <col min="1" max="1" width="1.109375" style="6" customWidth="1"/>
    <col min="2" max="2" width="26.6640625" style="6" customWidth="1"/>
    <col min="3" max="3" width="8.6640625" style="6" customWidth="1"/>
    <col min="4" max="4" width="12.33203125" style="6" customWidth="1"/>
    <col min="5" max="6" width="11.109375" style="6" customWidth="1"/>
    <col min="7" max="7" width="13.33203125" style="6" customWidth="1"/>
    <col min="8" max="8" width="8.6640625" style="6" customWidth="1"/>
    <col min="9" max="10" width="11.109375" style="6" customWidth="1"/>
    <col min="11" max="11" width="8.6640625" style="6" customWidth="1"/>
    <col min="12" max="13" width="11.109375" style="6" customWidth="1"/>
    <col min="14" max="14" width="8.6640625" style="6" customWidth="1"/>
    <col min="15" max="16" width="11.109375" style="6" customWidth="1"/>
    <col min="17" max="17" width="8.6640625" style="6" customWidth="1"/>
    <col min="18" max="19" width="11.109375" style="6" customWidth="1"/>
    <col min="20" max="20" width="1.109375" style="6" customWidth="1"/>
    <col min="21" max="16384" width="9.109375" style="6"/>
  </cols>
  <sheetData>
    <row r="1" spans="2:20" x14ac:dyDescent="0.3">
      <c r="B1" s="6" t="s">
        <v>513</v>
      </c>
    </row>
    <row r="2" spans="2:20" x14ac:dyDescent="0.3">
      <c r="B2" s="6" t="s">
        <v>467</v>
      </c>
    </row>
    <row r="3" spans="2:20" x14ac:dyDescent="0.3">
      <c r="B3" s="6" t="s">
        <v>490</v>
      </c>
    </row>
    <row r="4" spans="2:20" ht="5.4" customHeight="1" x14ac:dyDescent="0.3">
      <c r="D4" s="1"/>
      <c r="E4" s="1"/>
      <c r="F4" s="1"/>
      <c r="G4" s="1"/>
      <c r="H4" s="2"/>
      <c r="I4" s="2"/>
      <c r="J4" s="1"/>
      <c r="K4" s="9"/>
      <c r="M4" s="1"/>
      <c r="P4" s="1"/>
      <c r="S4" s="1"/>
    </row>
    <row r="5" spans="2:20" ht="16.95" customHeight="1" x14ac:dyDescent="0.3">
      <c r="B5" s="831" t="s">
        <v>483</v>
      </c>
      <c r="C5" s="832"/>
      <c r="D5" s="832"/>
      <c r="E5" s="832"/>
      <c r="F5" s="832"/>
      <c r="G5" s="832"/>
      <c r="H5" s="832"/>
      <c r="I5" s="832"/>
      <c r="J5" s="832"/>
      <c r="K5" s="832"/>
      <c r="L5" s="832"/>
      <c r="M5" s="832"/>
      <c r="N5" s="832"/>
      <c r="O5" s="832"/>
      <c r="P5" s="832"/>
      <c r="Q5" s="832"/>
      <c r="R5" s="832"/>
      <c r="S5" s="833"/>
    </row>
    <row r="6" spans="2:20" ht="16.95" customHeight="1" x14ac:dyDescent="0.3">
      <c r="B6" s="459"/>
      <c r="C6" s="469"/>
      <c r="D6" s="470"/>
      <c r="E6" s="460" t="s">
        <v>468</v>
      </c>
      <c r="F6" s="470"/>
      <c r="G6" s="470"/>
      <c r="H6" s="469"/>
      <c r="I6" s="460" t="s">
        <v>469</v>
      </c>
      <c r="J6" s="470"/>
      <c r="K6" s="469"/>
      <c r="L6" s="460" t="s">
        <v>470</v>
      </c>
      <c r="M6" s="471"/>
      <c r="N6" s="470"/>
      <c r="O6" s="460" t="s">
        <v>471</v>
      </c>
      <c r="P6" s="471"/>
      <c r="Q6" s="470"/>
      <c r="R6" s="460" t="s">
        <v>485</v>
      </c>
      <c r="S6" s="472"/>
    </row>
    <row r="7" spans="2:20" ht="27.6" customHeight="1" x14ac:dyDescent="0.3">
      <c r="B7" s="425"/>
      <c r="C7" s="25" t="s">
        <v>95</v>
      </c>
      <c r="D7" s="454" t="s">
        <v>70</v>
      </c>
      <c r="E7" s="454" t="s">
        <v>486</v>
      </c>
      <c r="F7" s="454" t="s">
        <v>487</v>
      </c>
      <c r="G7" s="26" t="s">
        <v>488</v>
      </c>
      <c r="H7" s="21" t="s">
        <v>95</v>
      </c>
      <c r="I7" s="23" t="s">
        <v>70</v>
      </c>
      <c r="J7" s="454" t="s">
        <v>486</v>
      </c>
      <c r="K7" s="25" t="s">
        <v>95</v>
      </c>
      <c r="L7" s="454" t="s">
        <v>70</v>
      </c>
      <c r="M7" s="454" t="s">
        <v>486</v>
      </c>
      <c r="N7" s="25" t="s">
        <v>95</v>
      </c>
      <c r="O7" s="454" t="s">
        <v>70</v>
      </c>
      <c r="P7" s="454" t="s">
        <v>486</v>
      </c>
      <c r="Q7" s="25" t="s">
        <v>95</v>
      </c>
      <c r="R7" s="454" t="s">
        <v>70</v>
      </c>
      <c r="S7" s="454" t="s">
        <v>486</v>
      </c>
      <c r="T7" s="10"/>
    </row>
    <row r="8" spans="2:20" x14ac:dyDescent="0.3">
      <c r="B8" s="17" t="s">
        <v>474</v>
      </c>
      <c r="C8" s="19">
        <v>18</v>
      </c>
      <c r="D8" s="455">
        <v>16871.400000000001</v>
      </c>
      <c r="E8" s="455">
        <v>16856.352795851482</v>
      </c>
      <c r="F8" s="530">
        <v>17052</v>
      </c>
      <c r="G8" s="461">
        <v>195.64720414851763</v>
      </c>
      <c r="H8" s="19">
        <v>18</v>
      </c>
      <c r="I8" s="455">
        <v>17782.3</v>
      </c>
      <c r="J8" s="455">
        <v>18044.557902588942</v>
      </c>
      <c r="K8" s="19">
        <v>18</v>
      </c>
      <c r="L8" s="455">
        <v>17880.400000000001</v>
      </c>
      <c r="M8" s="455">
        <v>17874.463721077576</v>
      </c>
      <c r="N8" s="19">
        <v>18</v>
      </c>
      <c r="O8" s="455">
        <v>18674.400000000001</v>
      </c>
      <c r="P8" s="455">
        <v>18669.58214467749</v>
      </c>
      <c r="Q8" s="19"/>
      <c r="R8" s="455"/>
      <c r="S8" s="450">
        <v>17710.844728893226</v>
      </c>
      <c r="T8" s="11"/>
    </row>
    <row r="9" spans="2:20" x14ac:dyDescent="0.3">
      <c r="B9" s="17" t="s">
        <v>489</v>
      </c>
      <c r="C9" s="19">
        <v>10</v>
      </c>
      <c r="D9" s="455">
        <v>1437.3</v>
      </c>
      <c r="E9" s="455">
        <v>1405.3010846220386</v>
      </c>
      <c r="F9" s="530">
        <v>1192</v>
      </c>
      <c r="G9" s="461">
        <v>-213.30108462203862</v>
      </c>
      <c r="H9" s="19">
        <v>12</v>
      </c>
      <c r="I9" s="455">
        <v>1454.2</v>
      </c>
      <c r="J9" s="455">
        <v>1550.7069786094653</v>
      </c>
      <c r="K9" s="19">
        <v>10</v>
      </c>
      <c r="L9" s="455">
        <v>1398.1</v>
      </c>
      <c r="M9" s="455">
        <v>1450.9662163808389</v>
      </c>
      <c r="N9" s="19">
        <v>10</v>
      </c>
      <c r="O9" s="455">
        <v>2165.6999999999998</v>
      </c>
      <c r="P9" s="455">
        <v>2313.3234359334742</v>
      </c>
      <c r="Q9" s="19"/>
      <c r="R9" s="455"/>
      <c r="S9" s="450">
        <v>1657.9367642813413</v>
      </c>
      <c r="T9" s="11"/>
    </row>
    <row r="10" spans="2:20" x14ac:dyDescent="0.3">
      <c r="B10" s="17" t="s">
        <v>482</v>
      </c>
      <c r="C10" s="19"/>
      <c r="D10" s="456">
        <v>8.5191507521604593E-2</v>
      </c>
      <c r="E10" s="456">
        <v>8.336922593171503E-2</v>
      </c>
      <c r="F10" s="531">
        <v>6.9903823598404885E-2</v>
      </c>
      <c r="G10" s="462">
        <v>-1.3465402333310145E-2</v>
      </c>
      <c r="H10" s="19"/>
      <c r="I10" s="456">
        <v>8.1777947734545026E-2</v>
      </c>
      <c r="J10" s="456">
        <v>8.5937654276748876E-2</v>
      </c>
      <c r="K10" s="19"/>
      <c r="L10" s="456">
        <v>7.819176304780652E-2</v>
      </c>
      <c r="M10" s="456">
        <v>8.1175370574606887E-2</v>
      </c>
      <c r="N10" s="19"/>
      <c r="O10" s="456">
        <v>0.11597159748104355</v>
      </c>
      <c r="P10" s="456">
        <v>0.12390868836842069</v>
      </c>
      <c r="Q10" s="19"/>
      <c r="R10" s="456"/>
      <c r="S10" s="451">
        <v>9.3611388370234333E-2</v>
      </c>
      <c r="T10" s="11"/>
    </row>
    <row r="11" spans="2:20" x14ac:dyDescent="0.3">
      <c r="B11" s="17" t="s">
        <v>475</v>
      </c>
      <c r="C11" s="19">
        <v>16</v>
      </c>
      <c r="D11" s="455">
        <v>2206.8000000000002</v>
      </c>
      <c r="E11" s="455">
        <v>1880.2300570510238</v>
      </c>
      <c r="F11" s="530">
        <v>1909</v>
      </c>
      <c r="G11" s="461">
        <v>28.769942948976222</v>
      </c>
      <c r="H11" s="19">
        <v>16</v>
      </c>
      <c r="I11" s="455">
        <v>2239.6</v>
      </c>
      <c r="J11" s="455">
        <v>2045.6622104972739</v>
      </c>
      <c r="K11" s="19">
        <v>16</v>
      </c>
      <c r="L11" s="455">
        <v>2174.8000000000002</v>
      </c>
      <c r="M11" s="455">
        <v>1950.8268922613763</v>
      </c>
      <c r="N11" s="19">
        <v>16</v>
      </c>
      <c r="O11" s="455">
        <v>2978.1</v>
      </c>
      <c r="P11" s="455">
        <v>3057.6332620036719</v>
      </c>
      <c r="Q11" s="19"/>
      <c r="R11" s="455"/>
      <c r="S11" s="450">
        <v>2243.6956534924711</v>
      </c>
      <c r="T11" s="11"/>
    </row>
    <row r="12" spans="2:20" x14ac:dyDescent="0.3">
      <c r="B12" s="17" t="s">
        <v>476</v>
      </c>
      <c r="C12" s="19">
        <v>13</v>
      </c>
      <c r="D12" s="455">
        <v>1371.2</v>
      </c>
      <c r="E12" s="455">
        <v>1153.0623564787106</v>
      </c>
      <c r="F12" s="530">
        <v>1101</v>
      </c>
      <c r="G12" s="461">
        <v>-52.062356478710626</v>
      </c>
      <c r="H12" s="19">
        <v>13</v>
      </c>
      <c r="I12" s="455">
        <v>1438.8</v>
      </c>
      <c r="J12" s="455">
        <v>1300.5249772455334</v>
      </c>
      <c r="K12" s="19">
        <v>13</v>
      </c>
      <c r="L12" s="455">
        <v>1345.5</v>
      </c>
      <c r="M12" s="455">
        <v>1196.4865822550371</v>
      </c>
      <c r="N12" s="19">
        <v>13</v>
      </c>
      <c r="O12" s="455">
        <v>2155</v>
      </c>
      <c r="P12" s="455">
        <v>2284.6819857361779</v>
      </c>
      <c r="Q12" s="19"/>
      <c r="R12" s="455"/>
      <c r="S12" s="450">
        <v>1443.1714406608933</v>
      </c>
      <c r="T12" s="11"/>
    </row>
    <row r="13" spans="2:20" x14ac:dyDescent="0.3">
      <c r="B13" s="17" t="s">
        <v>477</v>
      </c>
      <c r="C13" s="19">
        <v>14</v>
      </c>
      <c r="D13" s="455">
        <v>1026.9000000000001</v>
      </c>
      <c r="E13" s="455">
        <v>957.53426735903292</v>
      </c>
      <c r="F13" s="530">
        <v>932.6</v>
      </c>
      <c r="G13" s="461">
        <v>-24.934267359032901</v>
      </c>
      <c r="H13" s="19">
        <v>14</v>
      </c>
      <c r="I13" s="455">
        <v>1071.7</v>
      </c>
      <c r="J13" s="455">
        <v>1068.1312329341499</v>
      </c>
      <c r="K13" s="19">
        <v>14</v>
      </c>
      <c r="L13" s="455">
        <v>1025.5</v>
      </c>
      <c r="M13" s="455">
        <v>990.10243669127772</v>
      </c>
      <c r="N13" s="19">
        <v>14</v>
      </c>
      <c r="O13" s="455">
        <v>1610.1</v>
      </c>
      <c r="P13" s="455">
        <v>1635.826109338898</v>
      </c>
      <c r="Q13" s="19"/>
      <c r="R13" s="455"/>
      <c r="S13" s="450">
        <v>1133.9410804956699</v>
      </c>
      <c r="T13" s="11"/>
    </row>
    <row r="14" spans="2:20" x14ac:dyDescent="0.3">
      <c r="B14" s="17" t="s">
        <v>479</v>
      </c>
      <c r="C14" s="19">
        <v>23</v>
      </c>
      <c r="D14" s="457">
        <v>3.8</v>
      </c>
      <c r="E14" s="457">
        <v>3.5327830175235717</v>
      </c>
      <c r="F14" s="532">
        <v>3.4643387815750373</v>
      </c>
      <c r="G14" s="463">
        <v>-6.8444235948534438E-2</v>
      </c>
      <c r="H14" s="19">
        <v>23</v>
      </c>
      <c r="I14" s="457">
        <v>4.0199999999999996</v>
      </c>
      <c r="J14" s="457">
        <v>3.9449679014064687</v>
      </c>
      <c r="K14" s="19">
        <v>23</v>
      </c>
      <c r="L14" s="457">
        <v>3.84</v>
      </c>
      <c r="M14" s="457">
        <v>3.662733110844949</v>
      </c>
      <c r="N14" s="19">
        <v>23</v>
      </c>
      <c r="O14" s="457">
        <v>6.03</v>
      </c>
      <c r="P14" s="457">
        <v>6.0620790147461978</v>
      </c>
      <c r="Q14" s="19"/>
      <c r="R14" s="457"/>
      <c r="S14" s="452">
        <v>4.2083009032443623</v>
      </c>
      <c r="T14" s="11"/>
    </row>
    <row r="15" spans="2:20" x14ac:dyDescent="0.3">
      <c r="B15" s="17" t="s">
        <v>480</v>
      </c>
      <c r="C15" s="19">
        <v>3</v>
      </c>
      <c r="D15" s="455">
        <v>220.3</v>
      </c>
      <c r="E15" s="455"/>
      <c r="F15" s="530"/>
      <c r="G15" s="461">
        <v>0</v>
      </c>
      <c r="H15" s="19">
        <v>3</v>
      </c>
      <c r="I15" s="455">
        <v>533.70000000000005</v>
      </c>
      <c r="J15" s="455"/>
      <c r="K15" s="19">
        <v>3</v>
      </c>
      <c r="L15" s="455">
        <v>576.70000000000005</v>
      </c>
      <c r="M15" s="455"/>
      <c r="N15" s="19">
        <v>3</v>
      </c>
      <c r="O15" s="455">
        <v>970.3</v>
      </c>
      <c r="P15" s="455"/>
      <c r="Q15" s="19"/>
      <c r="R15" s="455"/>
      <c r="S15" s="450"/>
      <c r="T15" s="11"/>
    </row>
    <row r="16" spans="2:20" x14ac:dyDescent="0.3">
      <c r="B16" s="18" t="s">
        <v>481</v>
      </c>
      <c r="C16" s="20">
        <v>3</v>
      </c>
      <c r="D16" s="458">
        <v>1382.7</v>
      </c>
      <c r="E16" s="458">
        <v>1331.6518708722672</v>
      </c>
      <c r="F16" s="533">
        <v>1179</v>
      </c>
      <c r="G16" s="464">
        <v>-152.65187087226718</v>
      </c>
      <c r="H16" s="20">
        <v>2</v>
      </c>
      <c r="I16" s="458">
        <v>1437</v>
      </c>
      <c r="J16" s="458">
        <v>1425.5200743045264</v>
      </c>
      <c r="K16" s="20">
        <v>3</v>
      </c>
      <c r="L16" s="458">
        <v>1492.5</v>
      </c>
      <c r="M16" s="458">
        <v>1412.0826339651285</v>
      </c>
      <c r="N16" s="20">
        <v>3</v>
      </c>
      <c r="O16" s="458">
        <v>1492.5</v>
      </c>
      <c r="P16" s="458">
        <v>1430.0708285481967</v>
      </c>
      <c r="Q16" s="20"/>
      <c r="R16" s="458"/>
      <c r="S16" s="453">
        <v>1388.5256818400935</v>
      </c>
      <c r="T16" s="11"/>
    </row>
    <row r="17" spans="2:20" ht="6" customHeight="1" x14ac:dyDescent="0.3"/>
    <row r="18" spans="2:20" ht="16.95" customHeight="1" x14ac:dyDescent="0.3">
      <c r="B18" s="834" t="s">
        <v>484</v>
      </c>
      <c r="C18" s="835"/>
      <c r="D18" s="835"/>
      <c r="E18" s="835"/>
      <c r="F18" s="835"/>
      <c r="G18" s="835"/>
      <c r="H18" s="835"/>
      <c r="I18" s="835"/>
      <c r="J18" s="835"/>
      <c r="K18" s="835"/>
      <c r="L18" s="835"/>
      <c r="M18" s="835"/>
      <c r="N18" s="835"/>
      <c r="O18" s="835"/>
      <c r="P18" s="835"/>
      <c r="Q18" s="835"/>
      <c r="R18" s="835"/>
      <c r="S18" s="836"/>
    </row>
    <row r="19" spans="2:20" ht="16.95" customHeight="1" x14ac:dyDescent="0.3">
      <c r="B19" s="459"/>
      <c r="C19" s="469"/>
      <c r="D19" s="470"/>
      <c r="E19" s="460" t="s">
        <v>491</v>
      </c>
      <c r="F19" s="470"/>
      <c r="G19" s="470"/>
      <c r="H19" s="837" t="s">
        <v>469</v>
      </c>
      <c r="I19" s="838"/>
      <c r="J19" s="838"/>
      <c r="K19" s="837" t="s">
        <v>470</v>
      </c>
      <c r="L19" s="838"/>
      <c r="M19" s="838"/>
      <c r="N19" s="838" t="s">
        <v>471</v>
      </c>
      <c r="O19" s="838"/>
      <c r="P19" s="839"/>
      <c r="Q19" s="838" t="s">
        <v>485</v>
      </c>
      <c r="R19" s="838"/>
      <c r="S19" s="840"/>
    </row>
    <row r="20" spans="2:20" ht="33.6" customHeight="1" x14ac:dyDescent="0.3">
      <c r="B20" s="424" t="s">
        <v>94</v>
      </c>
      <c r="C20" s="25" t="s">
        <v>95</v>
      </c>
      <c r="D20" s="454" t="s">
        <v>70</v>
      </c>
      <c r="E20" s="454" t="s">
        <v>486</v>
      </c>
      <c r="F20" s="454"/>
      <c r="G20" s="26"/>
      <c r="H20" s="21" t="s">
        <v>95</v>
      </c>
      <c r="I20" s="23" t="s">
        <v>70</v>
      </c>
      <c r="J20" s="23" t="s">
        <v>486</v>
      </c>
      <c r="K20" s="21" t="s">
        <v>95</v>
      </c>
      <c r="L20" s="23" t="s">
        <v>70</v>
      </c>
      <c r="M20" s="23" t="s">
        <v>486</v>
      </c>
      <c r="N20" s="21" t="s">
        <v>95</v>
      </c>
      <c r="O20" s="23" t="s">
        <v>70</v>
      </c>
      <c r="P20" s="23" t="s">
        <v>486</v>
      </c>
      <c r="Q20" s="21" t="s">
        <v>95</v>
      </c>
      <c r="R20" s="23" t="s">
        <v>70</v>
      </c>
      <c r="S20" s="23" t="s">
        <v>486</v>
      </c>
      <c r="T20" s="10"/>
    </row>
    <row r="21" spans="2:20" x14ac:dyDescent="0.3">
      <c r="B21" s="17" t="s">
        <v>474</v>
      </c>
      <c r="C21" s="548"/>
      <c r="D21" s="549"/>
      <c r="E21" s="455">
        <v>17052</v>
      </c>
      <c r="F21" s="465"/>
      <c r="G21" s="466"/>
      <c r="H21" s="19">
        <v>17</v>
      </c>
      <c r="I21" s="455">
        <v>17773</v>
      </c>
      <c r="J21" s="455">
        <v>17772.5</v>
      </c>
      <c r="K21" s="19">
        <v>17</v>
      </c>
      <c r="L21" s="455">
        <v>17889</v>
      </c>
      <c r="M21" s="455">
        <v>17888.8</v>
      </c>
      <c r="N21" s="19">
        <v>17</v>
      </c>
      <c r="O21" s="455">
        <v>18692</v>
      </c>
      <c r="P21" s="455">
        <v>18692.299999999996</v>
      </c>
      <c r="Q21" s="19"/>
      <c r="R21" s="455"/>
      <c r="S21" s="450">
        <v>18024.890000000003</v>
      </c>
      <c r="T21" s="11"/>
    </row>
    <row r="22" spans="2:20" x14ac:dyDescent="0.3">
      <c r="B22" s="17" t="s">
        <v>478</v>
      </c>
      <c r="C22" s="548"/>
      <c r="D22" s="549"/>
      <c r="E22" s="455">
        <v>1192</v>
      </c>
      <c r="F22" s="455"/>
      <c r="G22" s="466"/>
      <c r="H22" s="19">
        <v>12</v>
      </c>
      <c r="I22" s="455">
        <v>1433</v>
      </c>
      <c r="J22" s="455">
        <v>1421.540888468963</v>
      </c>
      <c r="K22" s="19">
        <v>12</v>
      </c>
      <c r="L22" s="455">
        <v>1383</v>
      </c>
      <c r="M22" s="455">
        <v>1373.7647260697183</v>
      </c>
      <c r="N22" s="19">
        <v>10</v>
      </c>
      <c r="O22" s="455">
        <v>2167</v>
      </c>
      <c r="P22" s="455">
        <v>2167.7568618330993</v>
      </c>
      <c r="Q22" s="19"/>
      <c r="R22" s="455"/>
      <c r="S22" s="450">
        <v>1592.8491900763365</v>
      </c>
      <c r="T22" s="11"/>
    </row>
    <row r="23" spans="2:20" x14ac:dyDescent="0.3">
      <c r="B23" s="17" t="s">
        <v>482</v>
      </c>
      <c r="C23" s="548"/>
      <c r="D23" s="456"/>
      <c r="E23" s="456">
        <v>6.9903823598404885E-2</v>
      </c>
      <c r="F23" s="456"/>
      <c r="G23" s="448"/>
      <c r="H23" s="19"/>
      <c r="I23" s="456">
        <v>8.0606609230592527E-2</v>
      </c>
      <c r="J23" s="456">
        <v>7.9985420648134076E-2</v>
      </c>
      <c r="K23" s="19"/>
      <c r="L23" s="456">
        <v>7.7306183069722617E-2</v>
      </c>
      <c r="M23" s="456">
        <v>7.679468304580063E-2</v>
      </c>
      <c r="N23" s="19"/>
      <c r="O23" s="456">
        <v>0.11591675084731336</v>
      </c>
      <c r="P23" s="456">
        <v>0.11597057942752362</v>
      </c>
      <c r="Q23" s="19"/>
      <c r="R23" s="456"/>
      <c r="S23" s="451">
        <v>8.8369426391857936E-2</v>
      </c>
      <c r="T23" s="11"/>
    </row>
    <row r="24" spans="2:20" x14ac:dyDescent="0.3">
      <c r="B24" s="17" t="s">
        <v>475</v>
      </c>
      <c r="C24" s="548"/>
      <c r="D24" s="549"/>
      <c r="E24" s="455">
        <v>1909</v>
      </c>
      <c r="F24" s="455"/>
      <c r="G24" s="466"/>
      <c r="H24" s="19">
        <v>15</v>
      </c>
      <c r="I24" s="455">
        <v>2226</v>
      </c>
      <c r="J24" s="455">
        <v>2063.3918225166017</v>
      </c>
      <c r="K24" s="19">
        <v>15</v>
      </c>
      <c r="L24" s="455">
        <v>2226</v>
      </c>
      <c r="M24" s="455">
        <v>2020.0910031674503</v>
      </c>
      <c r="N24" s="19">
        <v>15</v>
      </c>
      <c r="O24" s="455">
        <v>2983</v>
      </c>
      <c r="P24" s="455">
        <v>3062.8038771698366</v>
      </c>
      <c r="Q24" s="19"/>
      <c r="R24" s="455"/>
      <c r="S24" s="450">
        <v>2331.2068761014762</v>
      </c>
      <c r="T24" s="11"/>
    </row>
    <row r="25" spans="2:20" x14ac:dyDescent="0.3">
      <c r="B25" s="17" t="s">
        <v>476</v>
      </c>
      <c r="C25" s="548"/>
      <c r="D25" s="549"/>
      <c r="E25" s="455">
        <v>1101</v>
      </c>
      <c r="F25" s="455"/>
      <c r="G25" s="466"/>
      <c r="H25" s="19">
        <v>11</v>
      </c>
      <c r="I25" s="455">
        <v>1427</v>
      </c>
      <c r="J25" s="455">
        <v>1319.8138806067961</v>
      </c>
      <c r="K25" s="19">
        <v>11</v>
      </c>
      <c r="L25" s="455">
        <v>1361</v>
      </c>
      <c r="M25" s="455">
        <v>1267.0694269868825</v>
      </c>
      <c r="N25" s="19">
        <v>11</v>
      </c>
      <c r="O25" s="455">
        <v>2173</v>
      </c>
      <c r="P25" s="455">
        <v>2290.4126056761716</v>
      </c>
      <c r="Q25" s="19"/>
      <c r="R25" s="455"/>
      <c r="S25" s="450">
        <v>1530.1884631508756</v>
      </c>
      <c r="T25" s="11"/>
    </row>
    <row r="26" spans="2:20" x14ac:dyDescent="0.3">
      <c r="B26" s="17" t="s">
        <v>477</v>
      </c>
      <c r="C26" s="548"/>
      <c r="D26" s="549"/>
      <c r="E26" s="455">
        <v>932.6</v>
      </c>
      <c r="F26" s="455"/>
      <c r="G26" s="466"/>
      <c r="H26" s="19">
        <v>15</v>
      </c>
      <c r="I26" s="455">
        <v>1069</v>
      </c>
      <c r="J26" s="455">
        <v>1080.3604104550971</v>
      </c>
      <c r="K26" s="19">
        <v>15</v>
      </c>
      <c r="L26" s="455">
        <v>1027</v>
      </c>
      <c r="M26" s="455">
        <v>1040.8020702401618</v>
      </c>
      <c r="N26" s="19">
        <v>15</v>
      </c>
      <c r="O26" s="455">
        <v>1618</v>
      </c>
      <c r="P26" s="455">
        <v>1637.8865742938935</v>
      </c>
      <c r="Q26" s="19"/>
      <c r="R26" s="455"/>
      <c r="S26" s="450">
        <v>1199.2038473631567</v>
      </c>
      <c r="T26" s="11"/>
    </row>
    <row r="27" spans="2:20" x14ac:dyDescent="0.3">
      <c r="B27" s="17" t="s">
        <v>479</v>
      </c>
      <c r="C27" s="548"/>
      <c r="D27" s="550"/>
      <c r="E27" s="457">
        <v>3.4643387815750373</v>
      </c>
      <c r="F27" s="457"/>
      <c r="G27" s="467"/>
      <c r="H27" s="19">
        <v>22</v>
      </c>
      <c r="I27" s="457">
        <v>4</v>
      </c>
      <c r="J27" s="457">
        <v>4.003615981233426</v>
      </c>
      <c r="K27" s="19">
        <v>22</v>
      </c>
      <c r="L27" s="457">
        <v>3.85</v>
      </c>
      <c r="M27" s="457">
        <v>3.8526711793717623</v>
      </c>
      <c r="N27" s="19">
        <v>21</v>
      </c>
      <c r="O27" s="457">
        <v>6.05</v>
      </c>
      <c r="P27" s="457">
        <v>6.0474885872906556</v>
      </c>
      <c r="Q27" s="19"/>
      <c r="R27" s="457"/>
      <c r="S27" s="452">
        <v>4.4300000000000015</v>
      </c>
      <c r="T27" s="11"/>
    </row>
    <row r="28" spans="2:20" x14ac:dyDescent="0.3">
      <c r="B28" s="17" t="s">
        <v>480</v>
      </c>
      <c r="C28" s="548"/>
      <c r="D28" s="549"/>
      <c r="E28" s="455"/>
      <c r="F28" s="455"/>
      <c r="G28" s="466"/>
      <c r="H28" s="19">
        <v>3</v>
      </c>
      <c r="I28" s="455">
        <v>534</v>
      </c>
      <c r="J28" s="455"/>
      <c r="K28" s="19">
        <v>3</v>
      </c>
      <c r="L28" s="455">
        <v>577</v>
      </c>
      <c r="M28" s="455"/>
      <c r="N28" s="19">
        <v>3</v>
      </c>
      <c r="O28" s="455">
        <v>970</v>
      </c>
      <c r="P28" s="455"/>
      <c r="Q28" s="19"/>
      <c r="R28" s="455"/>
      <c r="S28" s="450"/>
      <c r="T28" s="11"/>
    </row>
    <row r="29" spans="2:20" x14ac:dyDescent="0.3">
      <c r="B29" s="18" t="s">
        <v>481</v>
      </c>
      <c r="C29" s="551"/>
      <c r="D29" s="552"/>
      <c r="E29" s="458">
        <v>1179</v>
      </c>
      <c r="F29" s="458"/>
      <c r="G29" s="468"/>
      <c r="H29" s="20">
        <v>2</v>
      </c>
      <c r="I29" s="458">
        <v>1437</v>
      </c>
      <c r="J29" s="458">
        <v>1439.5725</v>
      </c>
      <c r="K29" s="20">
        <v>2</v>
      </c>
      <c r="L29" s="458">
        <v>1493</v>
      </c>
      <c r="M29" s="458">
        <v>1448.9928</v>
      </c>
      <c r="N29" s="20">
        <v>2</v>
      </c>
      <c r="O29" s="458">
        <v>1493</v>
      </c>
      <c r="P29" s="458">
        <v>1532.4346999999996</v>
      </c>
      <c r="Q29" s="20"/>
      <c r="R29" s="458"/>
      <c r="S29" s="453">
        <v>1411.0045517268563</v>
      </c>
      <c r="T29" s="11"/>
    </row>
    <row r="30" spans="2:20" ht="8.4" customHeight="1" x14ac:dyDescent="0.3">
      <c r="C30" s="8"/>
      <c r="D30" s="8"/>
      <c r="E30" s="8"/>
      <c r="F30" s="8"/>
      <c r="G30" s="8"/>
      <c r="H30" s="8"/>
      <c r="I30" s="8"/>
      <c r="J30" s="8"/>
      <c r="M30" s="8"/>
      <c r="N30" s="7"/>
      <c r="P30" s="8"/>
      <c r="Q30" s="7"/>
      <c r="S30" s="8"/>
    </row>
    <row r="31" spans="2:20" ht="16.95" customHeight="1" x14ac:dyDescent="0.3">
      <c r="B31" s="844" t="s">
        <v>492</v>
      </c>
      <c r="C31" s="845"/>
      <c r="D31" s="845"/>
      <c r="E31" s="845"/>
      <c r="F31" s="845"/>
      <c r="G31" s="845"/>
      <c r="H31" s="845"/>
      <c r="I31" s="845"/>
      <c r="J31" s="845"/>
      <c r="K31" s="845"/>
      <c r="L31" s="845"/>
      <c r="M31" s="845"/>
      <c r="N31" s="845"/>
      <c r="O31" s="845"/>
      <c r="P31" s="845"/>
      <c r="Q31" s="845"/>
      <c r="R31" s="845"/>
      <c r="S31" s="846"/>
    </row>
    <row r="32" spans="2:20" ht="16.95" customHeight="1" x14ac:dyDescent="0.3">
      <c r="B32" s="459"/>
      <c r="C32" s="469"/>
      <c r="D32" s="470"/>
      <c r="E32" s="589" t="s">
        <v>491</v>
      </c>
      <c r="F32" s="470"/>
      <c r="G32" s="470"/>
      <c r="H32" s="837" t="s">
        <v>469</v>
      </c>
      <c r="I32" s="838"/>
      <c r="J32" s="838"/>
      <c r="K32" s="837" t="s">
        <v>470</v>
      </c>
      <c r="L32" s="838"/>
      <c r="M32" s="838"/>
      <c r="N32" s="838" t="s">
        <v>471</v>
      </c>
      <c r="O32" s="838"/>
      <c r="P32" s="839"/>
      <c r="Q32" s="838" t="s">
        <v>485</v>
      </c>
      <c r="R32" s="838"/>
      <c r="S32" s="840"/>
    </row>
    <row r="33" spans="2:20" ht="33.6" customHeight="1" x14ac:dyDescent="0.3">
      <c r="B33" s="587" t="s">
        <v>94</v>
      </c>
      <c r="C33" s="25"/>
      <c r="D33" s="454" t="s">
        <v>70</v>
      </c>
      <c r="E33" s="454" t="s">
        <v>486</v>
      </c>
      <c r="F33" s="23"/>
      <c r="G33" s="22"/>
      <c r="H33" s="21"/>
      <c r="I33" s="23" t="s">
        <v>70</v>
      </c>
      <c r="J33" s="23" t="s">
        <v>486</v>
      </c>
      <c r="K33" s="21"/>
      <c r="L33" s="23" t="s">
        <v>70</v>
      </c>
      <c r="M33" s="23" t="s">
        <v>486</v>
      </c>
      <c r="N33" s="21"/>
      <c r="O33" s="23" t="s">
        <v>70</v>
      </c>
      <c r="P33" s="23" t="s">
        <v>486</v>
      </c>
      <c r="Q33" s="21"/>
      <c r="R33" s="23"/>
      <c r="S33" s="24" t="s">
        <v>486</v>
      </c>
      <c r="T33" s="10"/>
    </row>
    <row r="34" spans="2:20" x14ac:dyDescent="0.3">
      <c r="B34" s="17" t="s">
        <v>474</v>
      </c>
      <c r="C34" s="19"/>
      <c r="D34" s="455">
        <v>180.59999999999854</v>
      </c>
      <c r="E34" s="455">
        <v>195.64720414851763</v>
      </c>
      <c r="F34" s="465"/>
      <c r="G34" s="466"/>
      <c r="H34" s="19"/>
      <c r="I34" s="455">
        <f>+I21-I8</f>
        <v>-9.2999999999992724</v>
      </c>
      <c r="J34" s="455">
        <v>-272.05790258894194</v>
      </c>
      <c r="K34" s="19"/>
      <c r="L34" s="455">
        <f>+L21-L8</f>
        <v>8.5999999999985448</v>
      </c>
      <c r="M34" s="455">
        <v>14.336278922422935</v>
      </c>
      <c r="N34" s="19"/>
      <c r="O34" s="455">
        <f>+O21-O8</f>
        <v>17.599999999998545</v>
      </c>
      <c r="P34" s="455">
        <v>22.717855322505784</v>
      </c>
      <c r="Q34" s="19"/>
      <c r="R34" s="455"/>
      <c r="S34" s="450">
        <v>314.04527110677736</v>
      </c>
      <c r="T34" s="11"/>
    </row>
    <row r="35" spans="2:20" x14ac:dyDescent="0.3">
      <c r="B35" s="17" t="s">
        <v>478</v>
      </c>
      <c r="C35" s="19"/>
      <c r="D35" s="455">
        <v>-245.29999999999995</v>
      </c>
      <c r="E35" s="455">
        <v>-213.30108462203862</v>
      </c>
      <c r="F35" s="455"/>
      <c r="G35" s="466"/>
      <c r="H35" s="19"/>
      <c r="I35" s="455">
        <f t="shared" ref="I35:I42" si="0">+I22-I9</f>
        <v>-21.200000000000045</v>
      </c>
      <c r="J35" s="455">
        <v>-129.16609014050232</v>
      </c>
      <c r="K35" s="19"/>
      <c r="L35" s="455">
        <f t="shared" ref="L35:L42" si="1">+L22-L9</f>
        <v>-15.099999999999909</v>
      </c>
      <c r="M35" s="455">
        <v>-77.201490311120551</v>
      </c>
      <c r="N35" s="19"/>
      <c r="O35" s="455">
        <f t="shared" ref="O35:O42" si="2">+O22-O9</f>
        <v>1.3000000000001819</v>
      </c>
      <c r="P35" s="455">
        <v>-145.56657410037496</v>
      </c>
      <c r="Q35" s="19"/>
      <c r="R35" s="455"/>
      <c r="S35" s="450">
        <v>-65.087574205004785</v>
      </c>
      <c r="T35" s="11"/>
    </row>
    <row r="36" spans="2:20" x14ac:dyDescent="0.3">
      <c r="B36" s="17" t="s">
        <v>482</v>
      </c>
      <c r="C36" s="19"/>
      <c r="D36" s="455">
        <v>-1.5287683923199707E-2</v>
      </c>
      <c r="E36" s="456">
        <v>-1.3465402333310145E-2</v>
      </c>
      <c r="F36" s="456"/>
      <c r="G36" s="448"/>
      <c r="H36" s="19"/>
      <c r="I36" s="455">
        <f t="shared" si="0"/>
        <v>-1.1713385039524987E-3</v>
      </c>
      <c r="J36" s="456">
        <v>-5.9522336286148003E-3</v>
      </c>
      <c r="K36" s="19"/>
      <c r="L36" s="455">
        <f t="shared" si="1"/>
        <v>-8.8557997808390299E-4</v>
      </c>
      <c r="M36" s="456">
        <v>-4.3806875288062569E-3</v>
      </c>
      <c r="N36" s="19"/>
      <c r="O36" s="455">
        <f t="shared" si="2"/>
        <v>-5.4846633730190608E-5</v>
      </c>
      <c r="P36" s="456">
        <v>-7.9381089408970679E-3</v>
      </c>
      <c r="Q36" s="19"/>
      <c r="R36" s="455"/>
      <c r="S36" s="451">
        <v>-5.2419619783763971E-3</v>
      </c>
      <c r="T36" s="11"/>
    </row>
    <row r="37" spans="2:20" x14ac:dyDescent="0.3">
      <c r="B37" s="17" t="s">
        <v>475</v>
      </c>
      <c r="C37" s="19"/>
      <c r="D37" s="455">
        <v>-297.80000000000018</v>
      </c>
      <c r="E37" s="455">
        <v>28.769942948976222</v>
      </c>
      <c r="F37" s="455"/>
      <c r="G37" s="466"/>
      <c r="H37" s="19"/>
      <c r="I37" s="455">
        <f t="shared" si="0"/>
        <v>-13.599999999999909</v>
      </c>
      <c r="J37" s="455">
        <v>17.72961201932776</v>
      </c>
      <c r="K37" s="19"/>
      <c r="L37" s="455">
        <f t="shared" si="1"/>
        <v>51.199999999999818</v>
      </c>
      <c r="M37" s="455">
        <v>69.264110906073938</v>
      </c>
      <c r="N37" s="19"/>
      <c r="O37" s="455">
        <f>+O24-O11</f>
        <v>4.9000000000000909</v>
      </c>
      <c r="P37" s="455">
        <v>5.17061516616468</v>
      </c>
      <c r="Q37" s="19"/>
      <c r="R37" s="455"/>
      <c r="S37" s="450">
        <v>87.511222609005017</v>
      </c>
      <c r="T37" s="11"/>
    </row>
    <row r="38" spans="2:20" x14ac:dyDescent="0.3">
      <c r="B38" s="17" t="s">
        <v>476</v>
      </c>
      <c r="C38" s="19"/>
      <c r="D38" s="455">
        <v>-270.20000000000005</v>
      </c>
      <c r="E38" s="455">
        <v>-52.062356478710626</v>
      </c>
      <c r="F38" s="455"/>
      <c r="G38" s="466"/>
      <c r="H38" s="19"/>
      <c r="I38" s="455">
        <f t="shared" si="0"/>
        <v>-11.799999999999955</v>
      </c>
      <c r="J38" s="455">
        <v>19.288903361262783</v>
      </c>
      <c r="K38" s="19"/>
      <c r="L38" s="455">
        <f t="shared" si="1"/>
        <v>15.5</v>
      </c>
      <c r="M38" s="455">
        <v>70.582844731845398</v>
      </c>
      <c r="N38" s="19"/>
      <c r="O38" s="455">
        <f t="shared" si="2"/>
        <v>18</v>
      </c>
      <c r="P38" s="455">
        <v>5.7306199399936304</v>
      </c>
      <c r="Q38" s="19"/>
      <c r="R38" s="455"/>
      <c r="S38" s="450">
        <v>87.01702248998231</v>
      </c>
      <c r="T38" s="11"/>
    </row>
    <row r="39" spans="2:20" x14ac:dyDescent="0.3">
      <c r="B39" s="17" t="s">
        <v>477</v>
      </c>
      <c r="C39" s="19"/>
      <c r="D39" s="455">
        <v>-94.300000000000068</v>
      </c>
      <c r="E39" s="455">
        <v>-24.934267359032901</v>
      </c>
      <c r="F39" s="455"/>
      <c r="G39" s="466"/>
      <c r="H39" s="19"/>
      <c r="I39" s="455">
        <f t="shared" si="0"/>
        <v>-2.7000000000000455</v>
      </c>
      <c r="J39" s="455">
        <v>12.229177520947133</v>
      </c>
      <c r="K39" s="19"/>
      <c r="L39" s="455">
        <f t="shared" si="1"/>
        <v>1.5</v>
      </c>
      <c r="M39" s="455">
        <v>50.699633548884094</v>
      </c>
      <c r="N39" s="19"/>
      <c r="O39" s="455">
        <f t="shared" si="2"/>
        <v>7.9000000000000909</v>
      </c>
      <c r="P39" s="455">
        <v>2.0604649549954956</v>
      </c>
      <c r="Q39" s="19"/>
      <c r="R39" s="455"/>
      <c r="S39" s="450">
        <v>65.262766867486789</v>
      </c>
      <c r="T39" s="11"/>
    </row>
    <row r="40" spans="2:20" x14ac:dyDescent="0.3">
      <c r="B40" s="17" t="s">
        <v>479</v>
      </c>
      <c r="C40" s="19"/>
      <c r="D40" s="455">
        <v>-0.33566121842496255</v>
      </c>
      <c r="E40" s="457">
        <v>-6.8444235948534438E-2</v>
      </c>
      <c r="F40" s="457"/>
      <c r="G40" s="467"/>
      <c r="H40" s="19"/>
      <c r="I40" s="455">
        <f t="shared" si="0"/>
        <v>-1.9999999999999574E-2</v>
      </c>
      <c r="J40" s="457">
        <v>5.86480798269573E-2</v>
      </c>
      <c r="K40" s="19"/>
      <c r="L40" s="455">
        <f t="shared" si="1"/>
        <v>1.0000000000000231E-2</v>
      </c>
      <c r="M40" s="457">
        <v>0.18993806852681328</v>
      </c>
      <c r="N40" s="19"/>
      <c r="O40" s="455">
        <f t="shared" si="2"/>
        <v>1.9999999999999574E-2</v>
      </c>
      <c r="P40" s="457">
        <v>-1.4590427455542176E-2</v>
      </c>
      <c r="Q40" s="19"/>
      <c r="R40" s="455"/>
      <c r="S40" s="452">
        <v>0.22169909675563915</v>
      </c>
      <c r="T40" s="11"/>
    </row>
    <row r="41" spans="2:20" x14ac:dyDescent="0.3">
      <c r="B41" s="17" t="s">
        <v>480</v>
      </c>
      <c r="C41" s="19"/>
      <c r="D41" s="455">
        <v>-220.3</v>
      </c>
      <c r="E41" s="455">
        <v>0</v>
      </c>
      <c r="F41" s="455"/>
      <c r="G41" s="466"/>
      <c r="H41" s="19"/>
      <c r="I41" s="455">
        <f t="shared" si="0"/>
        <v>0.29999999999995453</v>
      </c>
      <c r="J41" s="455">
        <v>0</v>
      </c>
      <c r="K41" s="19"/>
      <c r="L41" s="455">
        <f t="shared" si="1"/>
        <v>0.29999999999995453</v>
      </c>
      <c r="M41" s="455">
        <v>0</v>
      </c>
      <c r="N41" s="19"/>
      <c r="O41" s="455">
        <f t="shared" si="2"/>
        <v>-0.29999999999995453</v>
      </c>
      <c r="P41" s="455">
        <v>0</v>
      </c>
      <c r="Q41" s="19"/>
      <c r="R41" s="455"/>
      <c r="S41" s="450">
        <v>0</v>
      </c>
      <c r="T41" s="11"/>
    </row>
    <row r="42" spans="2:20" x14ac:dyDescent="0.3">
      <c r="B42" s="18" t="s">
        <v>481</v>
      </c>
      <c r="C42" s="20"/>
      <c r="D42" s="458">
        <v>-203.70000000000005</v>
      </c>
      <c r="E42" s="458">
        <v>-152.65187087226718</v>
      </c>
      <c r="F42" s="458"/>
      <c r="G42" s="468"/>
      <c r="H42" s="20"/>
      <c r="I42" s="458">
        <f t="shared" si="0"/>
        <v>0</v>
      </c>
      <c r="J42" s="458">
        <v>14.05242569547363</v>
      </c>
      <c r="K42" s="20"/>
      <c r="L42" s="458">
        <f t="shared" si="1"/>
        <v>0.5</v>
      </c>
      <c r="M42" s="458">
        <v>36.910166034871509</v>
      </c>
      <c r="N42" s="20"/>
      <c r="O42" s="458">
        <f t="shared" si="2"/>
        <v>0.5</v>
      </c>
      <c r="P42" s="458">
        <v>102.36387145180288</v>
      </c>
      <c r="Q42" s="20"/>
      <c r="R42" s="458"/>
      <c r="S42" s="453">
        <v>22.478869886762823</v>
      </c>
      <c r="T42" s="11"/>
    </row>
    <row r="43" spans="2:20" ht="12.6" customHeight="1" x14ac:dyDescent="0.3">
      <c r="B43" s="7"/>
      <c r="C43" s="8"/>
      <c r="D43" s="8"/>
      <c r="E43" s="8"/>
      <c r="F43" s="8"/>
      <c r="G43" s="8"/>
      <c r="H43" s="8"/>
      <c r="I43" s="8"/>
      <c r="J43" s="8"/>
      <c r="M43" s="8"/>
      <c r="P43" s="8"/>
      <c r="S43" s="8"/>
    </row>
    <row r="44" spans="2:20" ht="21" customHeight="1" x14ac:dyDescent="0.3">
      <c r="C44" s="13"/>
      <c r="D44" s="14"/>
      <c r="E44" s="14"/>
      <c r="F44" s="14"/>
      <c r="G44" s="14"/>
      <c r="H44" s="14"/>
      <c r="I44" s="14"/>
      <c r="J44" s="14"/>
      <c r="L44" s="7"/>
      <c r="M44" s="14"/>
      <c r="P44" s="14"/>
      <c r="S44" s="14"/>
    </row>
    <row r="45" spans="2:20" s="5" customFormat="1" ht="21" customHeight="1" x14ac:dyDescent="0.3">
      <c r="C45" s="14"/>
      <c r="D45" s="14"/>
      <c r="E45" s="14"/>
      <c r="F45" s="14"/>
      <c r="G45" s="14"/>
      <c r="H45" s="14"/>
      <c r="I45" s="14"/>
      <c r="J45" s="14"/>
      <c r="L45" s="830"/>
      <c r="M45" s="830"/>
      <c r="N45" s="830"/>
      <c r="O45" s="830"/>
      <c r="P45" s="830"/>
      <c r="Q45" s="830"/>
      <c r="R45" s="830"/>
      <c r="S45" s="830"/>
      <c r="T45" s="830"/>
    </row>
    <row r="46" spans="2:20" ht="21" customHeight="1" x14ac:dyDescent="0.3">
      <c r="C46" s="8"/>
      <c r="D46" s="12"/>
      <c r="E46" s="12"/>
      <c r="F46" s="12"/>
      <c r="G46" s="12"/>
      <c r="H46" s="12"/>
      <c r="I46" s="12"/>
      <c r="J46" s="12"/>
      <c r="K46" s="9"/>
      <c r="M46" s="12"/>
      <c r="P46" s="12"/>
      <c r="S46" s="12"/>
    </row>
    <row r="47" spans="2:20" ht="21" customHeight="1" x14ac:dyDescent="0.3">
      <c r="C47" s="8"/>
      <c r="D47" s="12"/>
      <c r="E47" s="12"/>
      <c r="F47" s="12"/>
      <c r="G47" s="12"/>
      <c r="H47" s="12"/>
      <c r="I47" s="12"/>
      <c r="J47" s="12"/>
      <c r="K47" s="9"/>
      <c r="M47" s="12"/>
      <c r="P47" s="12"/>
      <c r="S47" s="12"/>
    </row>
    <row r="48" spans="2:20" ht="21" customHeight="1" x14ac:dyDescent="0.3">
      <c r="C48" s="8"/>
      <c r="D48" s="12"/>
      <c r="E48" s="12"/>
      <c r="F48" s="12"/>
      <c r="G48" s="12"/>
      <c r="H48" s="12"/>
      <c r="I48" s="12"/>
      <c r="J48" s="12"/>
      <c r="K48" s="9"/>
      <c r="M48" s="12"/>
      <c r="P48" s="12"/>
      <c r="S48" s="12"/>
    </row>
    <row r="49" spans="3:19" ht="21" customHeight="1" x14ac:dyDescent="0.3">
      <c r="C49" s="8"/>
      <c r="D49" s="12"/>
      <c r="E49" s="12"/>
      <c r="F49" s="12"/>
      <c r="G49" s="12"/>
      <c r="H49" s="12"/>
      <c r="I49" s="12"/>
      <c r="J49" s="12"/>
      <c r="K49" s="9"/>
      <c r="M49" s="12"/>
      <c r="P49" s="12"/>
      <c r="S49" s="12"/>
    </row>
    <row r="50" spans="3:19" ht="21" customHeight="1" x14ac:dyDescent="0.3">
      <c r="C50" s="8"/>
      <c r="D50" s="12"/>
      <c r="E50" s="12"/>
      <c r="F50" s="12"/>
      <c r="G50" s="12"/>
      <c r="H50" s="12"/>
      <c r="I50" s="15"/>
      <c r="J50" s="12"/>
      <c r="K50" s="9"/>
      <c r="M50" s="12"/>
      <c r="P50" s="12"/>
      <c r="S50" s="12"/>
    </row>
    <row r="51" spans="3:19" ht="21" customHeight="1" x14ac:dyDescent="0.3">
      <c r="C51" s="8"/>
      <c r="D51" s="12"/>
      <c r="E51" s="12"/>
      <c r="F51" s="12"/>
      <c r="G51" s="12"/>
      <c r="H51" s="16"/>
      <c r="I51" s="16"/>
      <c r="J51" s="12"/>
      <c r="K51" s="9"/>
      <c r="M51" s="12"/>
      <c r="P51" s="12"/>
      <c r="S51" s="12"/>
    </row>
    <row r="52" spans="3:19" ht="21" customHeight="1" x14ac:dyDescent="0.3">
      <c r="C52" s="8"/>
      <c r="D52" s="12"/>
      <c r="E52" s="12"/>
      <c r="F52" s="12"/>
      <c r="G52" s="12"/>
      <c r="H52" s="16"/>
      <c r="I52" s="16"/>
      <c r="J52" s="12"/>
      <c r="K52" s="9"/>
      <c r="M52" s="12"/>
      <c r="P52" s="12"/>
      <c r="S52" s="12"/>
    </row>
    <row r="53" spans="3:19" ht="21" customHeight="1" x14ac:dyDescent="0.3">
      <c r="C53" s="8"/>
      <c r="D53" s="12"/>
      <c r="E53" s="12"/>
      <c r="F53" s="12"/>
      <c r="G53" s="12"/>
      <c r="H53" s="16"/>
      <c r="I53" s="16"/>
      <c r="J53" s="12"/>
      <c r="K53" s="9"/>
      <c r="M53" s="12"/>
      <c r="P53" s="12"/>
      <c r="S53" s="12"/>
    </row>
    <row r="54" spans="3:19" ht="21" customHeight="1" x14ac:dyDescent="0.3">
      <c r="D54" s="1"/>
      <c r="E54" s="1"/>
      <c r="F54" s="1"/>
      <c r="G54" s="1"/>
      <c r="H54" s="2"/>
      <c r="I54" s="2"/>
      <c r="J54" s="1"/>
      <c r="K54" s="9"/>
      <c r="M54" s="1"/>
      <c r="P54" s="1"/>
      <c r="S54" s="1"/>
    </row>
    <row r="55" spans="3:19" ht="21" customHeight="1" x14ac:dyDescent="0.3">
      <c r="D55" s="1"/>
      <c r="E55" s="1"/>
      <c r="F55" s="1"/>
      <c r="G55" s="1"/>
      <c r="H55" s="2"/>
      <c r="I55" s="2"/>
      <c r="J55" s="1"/>
      <c r="K55" s="9"/>
      <c r="M55" s="1"/>
      <c r="P55" s="1"/>
      <c r="S55" s="1"/>
    </row>
  </sheetData>
  <mergeCells count="12">
    <mergeCell ref="L45:T45"/>
    <mergeCell ref="B5:S5"/>
    <mergeCell ref="B18:S18"/>
    <mergeCell ref="H19:J19"/>
    <mergeCell ref="K19:M19"/>
    <mergeCell ref="N19:P19"/>
    <mergeCell ref="Q19:S19"/>
    <mergeCell ref="B31:S31"/>
    <mergeCell ref="H32:J32"/>
    <mergeCell ref="K32:M32"/>
    <mergeCell ref="N32:P32"/>
    <mergeCell ref="Q32:S32"/>
  </mergeCells>
  <pageMargins left="0.7" right="0.7" top="0.75" bottom="0.75" header="0.3" footer="0.3"/>
  <pageSetup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FedEx Earnings Model</vt:lpstr>
      <vt:lpstr>Charts</vt:lpstr>
      <vt:lpstr>Guidance</vt:lpstr>
      <vt:lpstr>Std Dev &amp; Mean Return</vt:lpstr>
      <vt:lpstr>Consensus (Before F2Q19)</vt:lpstr>
      <vt:lpstr>Surprise</vt:lpstr>
      <vt:lpstr>Forecast vs Actual (F2Q19)</vt:lpstr>
      <vt:lpstr>Forecast vs Actual (F1Q19)</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2019-01-16T18:41:32Z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