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drawings/drawing3.xml" ContentType="application/vnd.openxmlformats-officedocument.drawingml.chartshapes+xml"/>
  <Override PartName="/xl/charts/chart7.xml" ContentType="application/vnd.openxmlformats-officedocument.drawingml.chart+xml"/>
  <Override PartName="/xl/drawings/drawing4.xml" ContentType="application/vnd.openxmlformats-officedocument.drawingml.chartshapes+xml"/>
  <Override PartName="/xl/charts/chart8.xml" ContentType="application/vnd.openxmlformats-officedocument.drawingml.chart+xml"/>
  <Override PartName="/xl/drawings/drawing5.xml" ContentType="application/vnd.openxmlformats-officedocument.drawingml.chartshapes+xml"/>
  <Override PartName="/xl/charts/chart9.xml" ContentType="application/vnd.openxmlformats-officedocument.drawingml.chart+xml"/>
  <Override PartName="/xl/drawings/drawing6.xml" ContentType="application/vnd.openxmlformats-officedocument.drawingml.chartshapes+xml"/>
  <Override PartName="/xl/charts/chart10.xml" ContentType="application/vnd.openxmlformats-officedocument.drawingml.chart+xml"/>
  <Override PartName="/xl/drawings/drawing7.xml" ContentType="application/vnd.openxmlformats-officedocument.drawingml.chartshapes+xml"/>
  <Override PartName="/xl/charts/chart11.xml" ContentType="application/vnd.openxmlformats-officedocument.drawingml.chart+xml"/>
  <Override PartName="/xl/drawings/drawing8.xml" ContentType="application/vnd.openxmlformats-officedocument.drawingml.chartshapes+xml"/>
  <Override PartName="/xl/charts/chart12.xml" ContentType="application/vnd.openxmlformats-officedocument.drawingml.chart+xml"/>
  <Override PartName="/xl/drawings/drawing9.xml" ContentType="application/vnd.openxmlformats-officedocument.drawingml.chartshapes+xml"/>
  <Override PartName="/xl/charts/chart13.xml" ContentType="application/vnd.openxmlformats-officedocument.drawingml.chart+xml"/>
  <Override PartName="/xl/drawings/drawing10.xml" ContentType="application/vnd.openxmlformats-officedocument.drawingml.chartshapes+xml"/>
  <Override PartName="/xl/charts/chart14.xml" ContentType="application/vnd.openxmlformats-officedocument.drawingml.chart+xml"/>
  <Override PartName="/xl/drawings/drawing11.xml" ContentType="application/vnd.openxmlformats-officedocument.drawingml.chartshapes+xml"/>
  <Override PartName="/xl/charts/chart15.xml" ContentType="application/vnd.openxmlformats-officedocument.drawingml.chart+xml"/>
  <Override PartName="/xl/drawings/drawing12.xml" ContentType="application/vnd.openxmlformats-officedocument.drawingml.chartshapes+xml"/>
  <Override PartName="/xl/charts/chart16.xml" ContentType="application/vnd.openxmlformats-officedocument.drawingml.chart+xml"/>
  <Override PartName="/xl/drawings/drawing13.xml" ContentType="application/vnd.openxmlformats-officedocument.drawingml.chartshapes+xml"/>
  <Override PartName="/xl/comments2.xml" ContentType="application/vnd.openxmlformats-officedocument.spreadsheetml.comments+xml"/>
  <Override PartName="/xl/drawings/drawing14.xml" ContentType="application/vnd.openxmlformats-officedocument.drawing+xml"/>
  <Override PartName="/xl/charts/chart17.xml" ContentType="application/vnd.openxmlformats-officedocument.drawingml.chart+xml"/>
  <Override PartName="/xl/drawings/drawing15.xml" ContentType="application/vnd.openxmlformats-officedocument.drawingml.chartshapes+xml"/>
  <Override PartName="/xl/comments3.xml" ContentType="application/vnd.openxmlformats-officedocument.spreadsheetml.comments+xml"/>
  <Override PartName="/xl/drawings/drawing16.xml" ContentType="application/vnd.openxmlformats-officedocument.drawing+xml"/>
  <Override PartName="/xl/charts/chart18.xml" ContentType="application/vnd.openxmlformats-officedocument.drawingml.chart+xml"/>
  <Override PartName="/xl/drawings/drawing17.xml" ContentType="application/vnd.openxmlformats-officedocument.drawingml.chartshape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defaultThemeVersion="124226"/>
  <mc:AlternateContent xmlns:mc="http://schemas.openxmlformats.org/markup-compatibility/2006">
    <mc:Choice Requires="x15">
      <x15ac:absPath xmlns:x15ac="http://schemas.microsoft.com/office/spreadsheetml/2010/11/ac" url="C:\Users\Admin\Documents\Gutenberg\3-CERTIFICATE PROGRAM\6-2-2018\Templates to Include with the Program\"/>
    </mc:Choice>
  </mc:AlternateContent>
  <xr:revisionPtr revIDLastSave="0" documentId="13_ncr:1_{18A72485-6A28-4B1C-82DD-42185E76D7F3}" xr6:coauthVersionLast="43" xr6:coauthVersionMax="43" xr10:uidLastSave="{00000000-0000-0000-0000-000000000000}"/>
  <bookViews>
    <workbookView xWindow="29505" yWindow="105" windowWidth="12945" windowHeight="13680" tabRatio="767" xr2:uid="{00000000-000D-0000-FFFF-FFFF00000000}"/>
  </bookViews>
  <sheets>
    <sheet name="FedEx Earnings Model" sheetId="3" r:id="rId1"/>
    <sheet name="Charts" sheetId="21" r:id="rId2"/>
    <sheet name="Guidance" sheetId="24" r:id="rId3"/>
    <sheet name="Std Dev &amp; Mean Return" sheetId="29" r:id="rId4"/>
    <sheet name="Forecast vs Actual (F3Q19)" sheetId="37" state="hidden" r:id="rId5"/>
    <sheet name="Consensus (Before F3Q19)" sheetId="36" state="hidden" r:id="rId6"/>
    <sheet name="Surprise" sheetId="34" state="hidden" r:id="rId7"/>
    <sheet name="Forecast vs Actual (F2Q19)" sheetId="31" state="hidden" r:id="rId8"/>
    <sheet name="Consensus (Before F2Q19)" sheetId="30" state="hidden" r:id="rId9"/>
    <sheet name="Forecast vs Actual (F1Q19)" sheetId="26" state="hidden" r:id="rId10"/>
  </sheets>
  <definedNames>
    <definedName name="DATA" localSheetId="1">#REF!</definedName>
    <definedName name="DATA" localSheetId="8">#REF!</definedName>
    <definedName name="DATA" localSheetId="5">#REF!</definedName>
    <definedName name="DATA" localSheetId="9">#REF!</definedName>
    <definedName name="DATA" localSheetId="7">#REF!</definedName>
    <definedName name="DATA" localSheetId="4">#REF!</definedName>
    <definedName name="DATA" localSheetId="6">#REF!</definedName>
    <definedName name="DATA">#REF!</definedName>
    <definedName name="_xlnm.Print_Area" localSheetId="0">'FedEx Earnings Model'!$B$2:$AQ$412</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83" i="3" l="1"/>
  <c r="AV204" i="3"/>
  <c r="AV350" i="3"/>
  <c r="AV348" i="3"/>
  <c r="AV347" i="3"/>
  <c r="AU346" i="3"/>
  <c r="AT346" i="3"/>
  <c r="AS346" i="3"/>
  <c r="AR346" i="3"/>
  <c r="AV344" i="3"/>
  <c r="AV337" i="3"/>
  <c r="AT331" i="3"/>
  <c r="AS331" i="3"/>
  <c r="AR331" i="3"/>
  <c r="AV327" i="3"/>
  <c r="AU326" i="3"/>
  <c r="AU325" i="3"/>
  <c r="AT325" i="3"/>
  <c r="AS325" i="3"/>
  <c r="AR325" i="3"/>
  <c r="AV261" i="3"/>
  <c r="AV253" i="3"/>
  <c r="AV250" i="3"/>
  <c r="AV249" i="3"/>
  <c r="AV247" i="3"/>
  <c r="AV245" i="3"/>
  <c r="AU243" i="3"/>
  <c r="AU74" i="3" s="1"/>
  <c r="AT243" i="3"/>
  <c r="AS243" i="3"/>
  <c r="AS74" i="3" s="1"/>
  <c r="AR243" i="3"/>
  <c r="AV241" i="3"/>
  <c r="AV239" i="3"/>
  <c r="AV236" i="3"/>
  <c r="AT211" i="3"/>
  <c r="AT22" i="3" s="1"/>
  <c r="AT326" i="3" s="1"/>
  <c r="AS211" i="3"/>
  <c r="AS22" i="3" s="1"/>
  <c r="AS326" i="3" s="1"/>
  <c r="AR211" i="3"/>
  <c r="AR22" i="3" s="1"/>
  <c r="AR326" i="3" s="1"/>
  <c r="AV210" i="3"/>
  <c r="AV205" i="3"/>
  <c r="AV202" i="3"/>
  <c r="AT74" i="3"/>
  <c r="AU26" i="3"/>
  <c r="AT26" i="3"/>
  <c r="AS26" i="3"/>
  <c r="AR26" i="3"/>
  <c r="AV21" i="3"/>
  <c r="AM229" i="3"/>
  <c r="AV243" i="3" l="1"/>
  <c r="AR74" i="3"/>
  <c r="AV26" i="3"/>
  <c r="AV325" i="3"/>
  <c r="AV346" i="3"/>
  <c r="AV22" i="3"/>
  <c r="AV326" i="3"/>
  <c r="AA241" i="3" l="1"/>
  <c r="AA26" i="3" s="1"/>
  <c r="Z241" i="3"/>
  <c r="Y241" i="3"/>
  <c r="X241" i="3"/>
  <c r="V241" i="3"/>
  <c r="V26" i="3" s="1"/>
  <c r="W253" i="3"/>
  <c r="AP26" i="3"/>
  <c r="AK26" i="3"/>
  <c r="AF26" i="3"/>
  <c r="V47" i="3" l="1"/>
  <c r="W219" i="3"/>
  <c r="W218" i="3"/>
  <c r="V211" i="3"/>
  <c r="V251" i="3" s="1"/>
  <c r="V210" i="3"/>
  <c r="W204" i="3"/>
  <c r="W205" i="3"/>
  <c r="AQ204" i="3" l="1"/>
  <c r="AL204" i="3"/>
  <c r="AG204" i="3"/>
  <c r="AB204" i="3"/>
  <c r="V179" i="3"/>
  <c r="V175" i="3"/>
  <c r="V163" i="3"/>
  <c r="V161" i="3"/>
  <c r="V145" i="3"/>
  <c r="V146" i="3" s="1"/>
  <c r="V144" i="3"/>
  <c r="V142" i="3"/>
  <c r="V67" i="3"/>
  <c r="V59" i="3"/>
  <c r="V136" i="3"/>
  <c r="V134" i="3"/>
  <c r="V130" i="3"/>
  <c r="V128" i="3"/>
  <c r="V124" i="3"/>
  <c r="V122" i="3"/>
  <c r="V118" i="3"/>
  <c r="V116" i="3"/>
  <c r="V112" i="3"/>
  <c r="V110" i="3"/>
  <c r="V106" i="3"/>
  <c r="V104" i="3"/>
  <c r="V100" i="3"/>
  <c r="V98" i="3"/>
  <c r="V94" i="3"/>
  <c r="V92" i="3"/>
  <c r="V88" i="3"/>
  <c r="V86" i="3"/>
  <c r="V82" i="3"/>
  <c r="V80" i="3"/>
  <c r="V314" i="3" l="1"/>
  <c r="V313" i="3"/>
  <c r="V310" i="3"/>
  <c r="V309" i="3"/>
  <c r="V307" i="3"/>
  <c r="V306" i="3"/>
  <c r="V305" i="3"/>
  <c r="V303" i="3"/>
  <c r="W279" i="3"/>
  <c r="W277" i="3"/>
  <c r="V33" i="3"/>
  <c r="U30" i="3"/>
  <c r="T30" i="3"/>
  <c r="S30" i="3"/>
  <c r="T29" i="3"/>
  <c r="U29" i="3"/>
  <c r="V29" i="3"/>
  <c r="V231" i="3" s="1"/>
  <c r="S29" i="3"/>
  <c r="V21" i="3"/>
  <c r="C409" i="3" l="1"/>
  <c r="C408" i="3"/>
  <c r="Z249" i="3" l="1"/>
  <c r="AA249" i="3"/>
  <c r="Y249" i="3"/>
  <c r="X249" i="3"/>
  <c r="V248" i="3"/>
  <c r="X248" i="3" s="1"/>
  <c r="Y248" i="3" s="1"/>
  <c r="Z248" i="3" s="1"/>
  <c r="AA248" i="3" s="1"/>
  <c r="X244" i="3"/>
  <c r="I242" i="3"/>
  <c r="J242" i="3" s="1"/>
  <c r="K242" i="3" s="1"/>
  <c r="L242" i="3" s="1"/>
  <c r="N242" i="3" s="1"/>
  <c r="O242" i="3" s="1"/>
  <c r="P242" i="3" s="1"/>
  <c r="Q242" i="3" s="1"/>
  <c r="S242" i="3" s="1"/>
  <c r="T242" i="3" s="1"/>
  <c r="U242" i="3" s="1"/>
  <c r="V242" i="3" s="1"/>
  <c r="X242" i="3" s="1"/>
  <c r="Y242" i="3" s="1"/>
  <c r="Z242" i="3" s="1"/>
  <c r="AA242" i="3" s="1"/>
  <c r="AC242" i="3" s="1"/>
  <c r="AD242" i="3" s="1"/>
  <c r="AE242" i="3" s="1"/>
  <c r="AF242" i="3" s="1"/>
  <c r="H26" i="24" l="1"/>
  <c r="O34" i="37"/>
  <c r="R23" i="37"/>
  <c r="O23" i="37"/>
  <c r="L23" i="37"/>
  <c r="I23" i="37"/>
  <c r="I34" i="37"/>
  <c r="E21" i="37"/>
  <c r="F8" i="37"/>
  <c r="D34" i="37" s="1"/>
  <c r="G15" i="37"/>
  <c r="G8" i="37" l="1"/>
  <c r="O42" i="37"/>
  <c r="L42" i="37"/>
  <c r="I42" i="37"/>
  <c r="S41" i="37"/>
  <c r="P41" i="37"/>
  <c r="O41" i="37"/>
  <c r="M41" i="37"/>
  <c r="L41" i="37"/>
  <c r="J41" i="37"/>
  <c r="I41" i="37"/>
  <c r="E41" i="37"/>
  <c r="D41" i="37"/>
  <c r="O40" i="37"/>
  <c r="L40" i="37"/>
  <c r="I40" i="37"/>
  <c r="O39" i="37"/>
  <c r="L39" i="37"/>
  <c r="I39" i="37"/>
  <c r="O38" i="37"/>
  <c r="L38" i="37"/>
  <c r="I38" i="37"/>
  <c r="O37" i="37"/>
  <c r="L37" i="37"/>
  <c r="I37" i="37"/>
  <c r="O35" i="37"/>
  <c r="L35" i="37"/>
  <c r="I35" i="37"/>
  <c r="L34" i="37"/>
  <c r="O36" i="37"/>
  <c r="L36" i="37"/>
  <c r="I36" i="37"/>
  <c r="E34" i="37"/>
  <c r="U98" i="3"/>
  <c r="U100" i="3"/>
  <c r="U205" i="3"/>
  <c r="U182" i="3"/>
  <c r="T182" i="3"/>
  <c r="U181" i="3"/>
  <c r="T179" i="3"/>
  <c r="U175" i="3"/>
  <c r="T175" i="3"/>
  <c r="U165" i="3"/>
  <c r="U170" i="3" s="1"/>
  <c r="Z170" i="3" s="1"/>
  <c r="U163" i="3"/>
  <c r="U161" i="3"/>
  <c r="U145" i="3"/>
  <c r="U146" i="3" s="1"/>
  <c r="U144" i="3"/>
  <c r="U142" i="3"/>
  <c r="U66" i="3"/>
  <c r="T66" i="3"/>
  <c r="U59" i="3"/>
  <c r="U136" i="3"/>
  <c r="U134" i="3"/>
  <c r="U130" i="3"/>
  <c r="U128" i="3"/>
  <c r="U124" i="3"/>
  <c r="U122" i="3"/>
  <c r="U118" i="3"/>
  <c r="U116" i="3"/>
  <c r="U112" i="3"/>
  <c r="U110" i="3"/>
  <c r="U106" i="3"/>
  <c r="U104" i="3"/>
  <c r="U94" i="3"/>
  <c r="U92" i="3"/>
  <c r="U88" i="3"/>
  <c r="U86" i="3"/>
  <c r="U82" i="3"/>
  <c r="U80" i="3"/>
  <c r="U231" i="3" l="1"/>
  <c r="U314" i="3"/>
  <c r="U313" i="3"/>
  <c r="U310" i="3"/>
  <c r="Z310" i="3" s="1"/>
  <c r="AE310" i="3" s="1"/>
  <c r="AJ310" i="3" s="1"/>
  <c r="AO310" i="3" s="1"/>
  <c r="AT310" i="3" s="1"/>
  <c r="U309" i="3"/>
  <c r="Z309" i="3" s="1"/>
  <c r="AE309" i="3" s="1"/>
  <c r="AJ309" i="3" s="1"/>
  <c r="AO309" i="3" s="1"/>
  <c r="AT309" i="3" s="1"/>
  <c r="U306" i="3"/>
  <c r="Z306" i="3" s="1"/>
  <c r="AE306" i="3" s="1"/>
  <c r="AJ306" i="3" s="1"/>
  <c r="AO306" i="3" s="1"/>
  <c r="AT306" i="3" s="1"/>
  <c r="U305" i="3"/>
  <c r="U303" i="3"/>
  <c r="U293" i="3"/>
  <c r="U292" i="3"/>
  <c r="U276" i="3"/>
  <c r="U347" i="3"/>
  <c r="V347" i="3" s="1"/>
  <c r="U337" i="3"/>
  <c r="V337" i="3" s="1"/>
  <c r="U327" i="3"/>
  <c r="U47" i="3"/>
  <c r="U23" i="3"/>
  <c r="U307" i="3" s="1"/>
  <c r="U308" i="3" s="1"/>
  <c r="T80" i="3"/>
  <c r="X80" i="3" s="1"/>
  <c r="Y80" i="3" s="1"/>
  <c r="Z80" i="3" s="1"/>
  <c r="S80" i="3"/>
  <c r="Q80" i="3"/>
  <c r="P80" i="3"/>
  <c r="T82" i="3"/>
  <c r="X82" i="3" s="1"/>
  <c r="Y82" i="3" s="1"/>
  <c r="Z82" i="3" s="1"/>
  <c r="AA82" i="3" s="1"/>
  <c r="S82" i="3"/>
  <c r="Q82" i="3"/>
  <c r="P82" i="3"/>
  <c r="T86" i="3"/>
  <c r="S86" i="3"/>
  <c r="Q86" i="3"/>
  <c r="P86" i="3"/>
  <c r="T88" i="3"/>
  <c r="X88" i="3" s="1"/>
  <c r="Y88" i="3" s="1"/>
  <c r="Z88" i="3" s="1"/>
  <c r="AA88" i="3" s="1"/>
  <c r="S88" i="3"/>
  <c r="Q88" i="3"/>
  <c r="P88" i="3"/>
  <c r="T92" i="3"/>
  <c r="X92" i="3" s="1"/>
  <c r="Y92" i="3" s="1"/>
  <c r="Z92" i="3" s="1"/>
  <c r="AA92" i="3" s="1"/>
  <c r="S92" i="3"/>
  <c r="Q92" i="3"/>
  <c r="P92" i="3"/>
  <c r="T94" i="3"/>
  <c r="X94" i="3" s="1"/>
  <c r="Y94" i="3" s="1"/>
  <c r="Z94" i="3" s="1"/>
  <c r="AA94" i="3" s="1"/>
  <c r="S94" i="3"/>
  <c r="Q94" i="3"/>
  <c r="P94" i="3"/>
  <c r="T98" i="3"/>
  <c r="X98" i="3" s="1"/>
  <c r="S98" i="3"/>
  <c r="Q98" i="3"/>
  <c r="T100" i="3"/>
  <c r="S100" i="3"/>
  <c r="Q100" i="3"/>
  <c r="T104" i="3"/>
  <c r="S104" i="3"/>
  <c r="Q104" i="3"/>
  <c r="P104" i="3"/>
  <c r="T106" i="3"/>
  <c r="S106" i="3"/>
  <c r="Q106" i="3"/>
  <c r="P106" i="3"/>
  <c r="T110" i="3"/>
  <c r="S110" i="3"/>
  <c r="Q110" i="3"/>
  <c r="P110" i="3"/>
  <c r="T112" i="3"/>
  <c r="S112" i="3"/>
  <c r="Q112" i="3"/>
  <c r="P112" i="3"/>
  <c r="T116" i="3"/>
  <c r="S116" i="3"/>
  <c r="Q116" i="3"/>
  <c r="P116" i="3"/>
  <c r="T118" i="3"/>
  <c r="S118" i="3"/>
  <c r="Q118" i="3"/>
  <c r="P118" i="3"/>
  <c r="T122" i="3"/>
  <c r="S122" i="3"/>
  <c r="Q122" i="3"/>
  <c r="P122" i="3"/>
  <c r="T124" i="3"/>
  <c r="S124" i="3"/>
  <c r="Q124" i="3"/>
  <c r="P124" i="3"/>
  <c r="T128" i="3"/>
  <c r="S128" i="3"/>
  <c r="Q128" i="3"/>
  <c r="P128" i="3"/>
  <c r="T130" i="3"/>
  <c r="S130" i="3"/>
  <c r="Q130" i="3"/>
  <c r="P130" i="3"/>
  <c r="T134" i="3"/>
  <c r="S134" i="3"/>
  <c r="Q134" i="3"/>
  <c r="P134" i="3"/>
  <c r="T136" i="3"/>
  <c r="S136" i="3"/>
  <c r="Q136" i="3"/>
  <c r="P136" i="3"/>
  <c r="T59" i="3"/>
  <c r="S59" i="3"/>
  <c r="Q59" i="3"/>
  <c r="P59" i="3"/>
  <c r="T142" i="3"/>
  <c r="S142" i="3"/>
  <c r="Q142" i="3"/>
  <c r="P142" i="3"/>
  <c r="T144" i="3"/>
  <c r="S144" i="3"/>
  <c r="Q144" i="3"/>
  <c r="P144" i="3"/>
  <c r="T145" i="3"/>
  <c r="S146" i="3"/>
  <c r="S158" i="3"/>
  <c r="S165" i="3" s="1"/>
  <c r="O158" i="3"/>
  <c r="T159" i="3"/>
  <c r="N158" i="3"/>
  <c r="N165" i="3" s="1"/>
  <c r="N157" i="3" s="1"/>
  <c r="Q158" i="3"/>
  <c r="V159" i="3" s="1"/>
  <c r="L158" i="3"/>
  <c r="P158" i="3"/>
  <c r="K158" i="3"/>
  <c r="K165" i="3" s="1"/>
  <c r="K157" i="3" s="1"/>
  <c r="T163" i="3"/>
  <c r="S163" i="3"/>
  <c r="Q163" i="3"/>
  <c r="P163" i="3"/>
  <c r="S175" i="3"/>
  <c r="Q175" i="3"/>
  <c r="P175" i="3"/>
  <c r="X177" i="3"/>
  <c r="Y177" i="3" s="1"/>
  <c r="S83" i="3"/>
  <c r="S89" i="3"/>
  <c r="S95" i="3"/>
  <c r="S101" i="3"/>
  <c r="S107" i="3"/>
  <c r="S113" i="3"/>
  <c r="S119" i="3"/>
  <c r="S125" i="3"/>
  <c r="S131" i="3"/>
  <c r="S138" i="3"/>
  <c r="S148" i="3"/>
  <c r="S179" i="3"/>
  <c r="P178" i="3"/>
  <c r="P179" i="3" s="1"/>
  <c r="U95" i="3"/>
  <c r="U101" i="3"/>
  <c r="S368" i="3"/>
  <c r="T336" i="3"/>
  <c r="F16" i="31" s="1"/>
  <c r="T67" i="3"/>
  <c r="T52" i="3"/>
  <c r="T55" i="3"/>
  <c r="T56" i="3" s="1"/>
  <c r="S52" i="3"/>
  <c r="S53" i="3" s="1"/>
  <c r="S55" i="3"/>
  <c r="T181" i="3"/>
  <c r="T187" i="3" s="1"/>
  <c r="S181" i="3"/>
  <c r="S187" i="3" s="1"/>
  <c r="Q181" i="3"/>
  <c r="P181" i="3"/>
  <c r="X211" i="3"/>
  <c r="X22" i="3" s="1"/>
  <c r="X326" i="3" s="1"/>
  <c r="X26" i="3"/>
  <c r="W288" i="3"/>
  <c r="T323" i="3"/>
  <c r="T366" i="3" s="1"/>
  <c r="S366" i="3"/>
  <c r="O323" i="3"/>
  <c r="O366" i="3" s="1"/>
  <c r="Q83" i="3"/>
  <c r="Q89" i="3"/>
  <c r="Q95" i="3"/>
  <c r="Q101" i="3"/>
  <c r="Q107" i="3"/>
  <c r="Q113" i="3"/>
  <c r="Q119" i="3"/>
  <c r="Q125" i="3"/>
  <c r="Q131" i="3"/>
  <c r="Q138" i="3"/>
  <c r="Q148" i="3"/>
  <c r="Q165" i="3"/>
  <c r="Q157" i="3" s="1"/>
  <c r="P70" i="3"/>
  <c r="P83" i="3"/>
  <c r="P89" i="3"/>
  <c r="P95" i="3"/>
  <c r="P101" i="3"/>
  <c r="P107" i="3"/>
  <c r="P113" i="3"/>
  <c r="P119" i="3"/>
  <c r="P125" i="3"/>
  <c r="P131" i="3"/>
  <c r="P138" i="3"/>
  <c r="P152" i="3"/>
  <c r="P148" i="3"/>
  <c r="P169" i="3"/>
  <c r="P23" i="3"/>
  <c r="P307" i="3" s="1"/>
  <c r="P52" i="3"/>
  <c r="P53" i="3" s="1"/>
  <c r="P55" i="3"/>
  <c r="P56" i="3" s="1"/>
  <c r="U211" i="3"/>
  <c r="U22" i="3" s="1"/>
  <c r="T231" i="3"/>
  <c r="D349" i="3"/>
  <c r="D339" i="3"/>
  <c r="D24" i="3"/>
  <c r="D25" i="3" s="1"/>
  <c r="D34" i="3"/>
  <c r="E341" i="3"/>
  <c r="E342" i="3"/>
  <c r="E343" i="3"/>
  <c r="F343" i="3" s="1"/>
  <c r="G343" i="3" s="1"/>
  <c r="E344" i="3"/>
  <c r="F344" i="3" s="1"/>
  <c r="G344" i="3" s="1"/>
  <c r="E345" i="3"/>
  <c r="F345" i="3" s="1"/>
  <c r="G345" i="3" s="1"/>
  <c r="E346" i="3"/>
  <c r="F346" i="3" s="1"/>
  <c r="G346" i="3" s="1"/>
  <c r="E348" i="3"/>
  <c r="E336" i="3"/>
  <c r="E368" i="3" s="1"/>
  <c r="E337" i="3"/>
  <c r="F337" i="3" s="1"/>
  <c r="G337" i="3" s="1"/>
  <c r="E338" i="3"/>
  <c r="F338" i="3" s="1"/>
  <c r="G338" i="3" s="1"/>
  <c r="H338" i="3" s="1"/>
  <c r="E24" i="3"/>
  <c r="E25" i="3" s="1"/>
  <c r="E34" i="3"/>
  <c r="E321" i="3"/>
  <c r="F321" i="3" s="1"/>
  <c r="G321" i="3" s="1"/>
  <c r="G311" i="3" s="1"/>
  <c r="E322" i="3"/>
  <c r="F322" i="3" s="1"/>
  <c r="G322" i="3" s="1"/>
  <c r="E323" i="3"/>
  <c r="E324" i="3"/>
  <c r="E325" i="3"/>
  <c r="F325" i="3" s="1"/>
  <c r="G325" i="3" s="1"/>
  <c r="E326" i="3"/>
  <c r="F326" i="3" s="1"/>
  <c r="G326" i="3" s="1"/>
  <c r="E327" i="3"/>
  <c r="E329" i="3"/>
  <c r="F329" i="3" s="1"/>
  <c r="G329" i="3" s="1"/>
  <c r="H329" i="3" s="1"/>
  <c r="E330" i="3"/>
  <c r="F330" i="3" s="1"/>
  <c r="G330" i="3" s="1"/>
  <c r="E331" i="3"/>
  <c r="F331" i="3" s="1"/>
  <c r="G331" i="3" s="1"/>
  <c r="E332" i="3"/>
  <c r="E333" i="3"/>
  <c r="F333" i="3" s="1"/>
  <c r="G333" i="3" s="1"/>
  <c r="E350" i="3"/>
  <c r="F350" i="3" s="1"/>
  <c r="G350" i="3" s="1"/>
  <c r="F348" i="3"/>
  <c r="G348" i="3" s="1"/>
  <c r="H348" i="3" s="1"/>
  <c r="F24" i="3"/>
  <c r="F25" i="3" s="1"/>
  <c r="F223" i="3" s="1"/>
  <c r="F34" i="3"/>
  <c r="F323" i="3"/>
  <c r="G323" i="3" s="1"/>
  <c r="G366" i="3" s="1"/>
  <c r="F327" i="3"/>
  <c r="G327" i="3" s="1"/>
  <c r="F332" i="3"/>
  <c r="G332" i="3" s="1"/>
  <c r="G24" i="3"/>
  <c r="G25" i="3" s="1"/>
  <c r="G34" i="3"/>
  <c r="J341" i="3"/>
  <c r="K341" i="3" s="1"/>
  <c r="J342" i="3"/>
  <c r="K342" i="3" s="1"/>
  <c r="J343" i="3"/>
  <c r="K343" i="3" s="1"/>
  <c r="J344" i="3"/>
  <c r="K344" i="3" s="1"/>
  <c r="J345" i="3"/>
  <c r="K345" i="3" s="1"/>
  <c r="J346" i="3"/>
  <c r="K346" i="3" s="1"/>
  <c r="J347" i="3"/>
  <c r="K347" i="3" s="1"/>
  <c r="I348" i="3"/>
  <c r="J348" i="3" s="1"/>
  <c r="J336" i="3"/>
  <c r="K336" i="3" s="1"/>
  <c r="L336" i="3" s="1"/>
  <c r="L368" i="3" s="1"/>
  <c r="J337" i="3"/>
  <c r="K337" i="3" s="1"/>
  <c r="L337" i="3" s="1"/>
  <c r="J338" i="3"/>
  <c r="K338" i="3" s="1"/>
  <c r="L338" i="3" s="1"/>
  <c r="M13" i="3"/>
  <c r="M15" i="3"/>
  <c r="M16" i="3"/>
  <c r="M17" i="3"/>
  <c r="M18" i="3"/>
  <c r="M19" i="3"/>
  <c r="M20" i="3"/>
  <c r="M21" i="3"/>
  <c r="M22" i="3"/>
  <c r="I23" i="3"/>
  <c r="I307" i="3" s="1"/>
  <c r="I308" i="3" s="1"/>
  <c r="J23" i="3"/>
  <c r="K23" i="3"/>
  <c r="L23" i="3"/>
  <c r="L307" i="3" s="1"/>
  <c r="L308" i="3" s="1"/>
  <c r="M31" i="3"/>
  <c r="M32" i="3"/>
  <c r="M33" i="3"/>
  <c r="M37" i="3"/>
  <c r="J321" i="3"/>
  <c r="K321" i="3" s="1"/>
  <c r="L321" i="3" s="1"/>
  <c r="L311" i="3" s="1"/>
  <c r="J322" i="3"/>
  <c r="K322" i="3" s="1"/>
  <c r="K365" i="3" s="1"/>
  <c r="J323" i="3"/>
  <c r="K323" i="3" s="1"/>
  <c r="L323" i="3" s="1"/>
  <c r="L366" i="3" s="1"/>
  <c r="J324" i="3"/>
  <c r="K324" i="3" s="1"/>
  <c r="J325" i="3"/>
  <c r="K325" i="3" s="1"/>
  <c r="L325" i="3" s="1"/>
  <c r="J326" i="3"/>
  <c r="K326" i="3" s="1"/>
  <c r="J327" i="3"/>
  <c r="K327" i="3" s="1"/>
  <c r="L327" i="3" s="1"/>
  <c r="J329" i="3"/>
  <c r="K329" i="3" s="1"/>
  <c r="J330" i="3"/>
  <c r="K330" i="3" s="1"/>
  <c r="L330" i="3" s="1"/>
  <c r="J331" i="3"/>
  <c r="K331" i="3" s="1"/>
  <c r="J332" i="3"/>
  <c r="K332" i="3" s="1"/>
  <c r="L332" i="3" s="1"/>
  <c r="J333" i="3"/>
  <c r="K333" i="3" s="1"/>
  <c r="J350" i="3"/>
  <c r="K350" i="3" s="1"/>
  <c r="O341" i="3"/>
  <c r="P341" i="3" s="1"/>
  <c r="Q341" i="3" s="1"/>
  <c r="O342" i="3"/>
  <c r="P342" i="3" s="1"/>
  <c r="Q342" i="3" s="1"/>
  <c r="O343" i="3"/>
  <c r="P343" i="3" s="1"/>
  <c r="Q343" i="3" s="1"/>
  <c r="O344" i="3"/>
  <c r="P344" i="3" s="1"/>
  <c r="Q344" i="3" s="1"/>
  <c r="O345" i="3"/>
  <c r="P345" i="3" s="1"/>
  <c r="Q345" i="3" s="1"/>
  <c r="O346" i="3"/>
  <c r="P346" i="3" s="1"/>
  <c r="Q346" i="3" s="1"/>
  <c r="Q347" i="3"/>
  <c r="R347" i="3" s="1"/>
  <c r="O348" i="3"/>
  <c r="O336" i="3"/>
  <c r="P336" i="3" s="1"/>
  <c r="O337" i="3"/>
  <c r="P337" i="3" s="1"/>
  <c r="Q337" i="3" s="1"/>
  <c r="O338" i="3"/>
  <c r="P338" i="3" s="1"/>
  <c r="R15" i="3"/>
  <c r="R16" i="3"/>
  <c r="R17" i="3"/>
  <c r="R18" i="3"/>
  <c r="R19" i="3"/>
  <c r="R20" i="3"/>
  <c r="R21" i="3"/>
  <c r="R22" i="3"/>
  <c r="N23" i="3"/>
  <c r="N307" i="3" s="1"/>
  <c r="N308" i="3" s="1"/>
  <c r="O23" i="3"/>
  <c r="Q23" i="3"/>
  <c r="Q307" i="3" s="1"/>
  <c r="AA307" i="3" s="1"/>
  <c r="AF307" i="3" s="1"/>
  <c r="R31" i="3"/>
  <c r="R32" i="3"/>
  <c r="R33" i="3"/>
  <c r="R37" i="3"/>
  <c r="O321" i="3"/>
  <c r="P321" i="3" s="1"/>
  <c r="Q321" i="3" s="1"/>
  <c r="Q311" i="3" s="1"/>
  <c r="O322" i="3"/>
  <c r="P322" i="3" s="1"/>
  <c r="Q322" i="3" s="1"/>
  <c r="Q365" i="3" s="1"/>
  <c r="O324" i="3"/>
  <c r="P324" i="3" s="1"/>
  <c r="Q324" i="3" s="1"/>
  <c r="O325" i="3"/>
  <c r="P325" i="3" s="1"/>
  <c r="O326" i="3"/>
  <c r="P326" i="3" s="1"/>
  <c r="Q326" i="3" s="1"/>
  <c r="O327" i="3"/>
  <c r="P327" i="3" s="1"/>
  <c r="O329" i="3"/>
  <c r="P329" i="3" s="1"/>
  <c r="Q329" i="3" s="1"/>
  <c r="O330" i="3"/>
  <c r="P330" i="3" s="1"/>
  <c r="O331" i="3"/>
  <c r="P331" i="3" s="1"/>
  <c r="Q331" i="3" s="1"/>
  <c r="O332" i="3"/>
  <c r="P332" i="3" s="1"/>
  <c r="O333" i="3"/>
  <c r="P333" i="3" s="1"/>
  <c r="Q333" i="3" s="1"/>
  <c r="O350" i="3"/>
  <c r="P350" i="3" s="1"/>
  <c r="S349" i="3"/>
  <c r="S339" i="3"/>
  <c r="S24" i="3"/>
  <c r="S25" i="3" s="1"/>
  <c r="S223" i="3" s="1"/>
  <c r="S31" i="3"/>
  <c r="S34" i="3" s="1"/>
  <c r="T341" i="3"/>
  <c r="U341" i="3" s="1"/>
  <c r="V341" i="3" s="1"/>
  <c r="T342" i="3"/>
  <c r="T343" i="3"/>
  <c r="U343" i="3" s="1"/>
  <c r="V343" i="3" s="1"/>
  <c r="T344" i="3"/>
  <c r="U344" i="3" s="1"/>
  <c r="V344" i="3" s="1"/>
  <c r="T345" i="3"/>
  <c r="U345" i="3" s="1"/>
  <c r="V345" i="3" s="1"/>
  <c r="T346" i="3"/>
  <c r="T348" i="3"/>
  <c r="U348" i="3" s="1"/>
  <c r="V348" i="3" s="1"/>
  <c r="T338" i="3"/>
  <c r="U338" i="3" s="1"/>
  <c r="V338" i="3" s="1"/>
  <c r="T211" i="3"/>
  <c r="T22" i="3" s="1"/>
  <c r="T31" i="3"/>
  <c r="T34" i="3" s="1"/>
  <c r="T321" i="3"/>
  <c r="U321" i="3" s="1"/>
  <c r="T322" i="3"/>
  <c r="U322" i="3" s="1"/>
  <c r="T324" i="3"/>
  <c r="T325" i="3"/>
  <c r="U325" i="3" s="1"/>
  <c r="V325" i="3" s="1"/>
  <c r="T329" i="3"/>
  <c r="U329" i="3" s="1"/>
  <c r="V329" i="3" s="1"/>
  <c r="T330" i="3"/>
  <c r="U330" i="3" s="1"/>
  <c r="V330" i="3" s="1"/>
  <c r="T331" i="3"/>
  <c r="U331" i="3" s="1"/>
  <c r="V331" i="3" s="1"/>
  <c r="T332" i="3"/>
  <c r="U332" i="3" s="1"/>
  <c r="V332" i="3" s="1"/>
  <c r="T333" i="3"/>
  <c r="U333" i="3" s="1"/>
  <c r="V333" i="3" s="1"/>
  <c r="T350" i="3"/>
  <c r="U350" i="3" s="1"/>
  <c r="V350" i="3" s="1"/>
  <c r="U31" i="3"/>
  <c r="U34" i="3" s="1"/>
  <c r="T233" i="3"/>
  <c r="S233" i="3"/>
  <c r="Q237" i="3"/>
  <c r="P233" i="3"/>
  <c r="U237" i="3"/>
  <c r="Q70" i="3"/>
  <c r="Q152" i="3"/>
  <c r="Q154" i="3" s="1"/>
  <c r="Q149" i="3" s="1"/>
  <c r="Q169" i="3"/>
  <c r="Q52" i="3"/>
  <c r="Q53" i="3" s="1"/>
  <c r="Q55" i="3"/>
  <c r="Q56" i="3" s="1"/>
  <c r="T292" i="3"/>
  <c r="T293" i="3"/>
  <c r="R197" i="3"/>
  <c r="R198" i="3" s="1"/>
  <c r="U295" i="3"/>
  <c r="U297" i="3" s="1"/>
  <c r="U312" i="3" s="1"/>
  <c r="T313" i="3"/>
  <c r="T314" i="3"/>
  <c r="S365" i="3"/>
  <c r="P303" i="3"/>
  <c r="P304" i="3" s="1"/>
  <c r="T305" i="3"/>
  <c r="S305" i="3"/>
  <c r="Q305" i="3"/>
  <c r="P305" i="3"/>
  <c r="P309" i="3"/>
  <c r="P310" i="3"/>
  <c r="P306" i="3"/>
  <c r="W202" i="3"/>
  <c r="S205" i="3"/>
  <c r="T205" i="3"/>
  <c r="AB197" i="3"/>
  <c r="AG197" i="3" s="1"/>
  <c r="AL197" i="3" s="1"/>
  <c r="AQ197" i="3" s="1"/>
  <c r="AV197" i="3" s="1"/>
  <c r="R194" i="3"/>
  <c r="R279" i="3"/>
  <c r="AA46" i="3"/>
  <c r="AF46" i="3" s="1"/>
  <c r="AK46" i="3" s="1"/>
  <c r="V237" i="3"/>
  <c r="X281" i="3"/>
  <c r="Y281" i="3" s="1"/>
  <c r="Z281" i="3" s="1"/>
  <c r="AA281" i="3" s="1"/>
  <c r="X268" i="3"/>
  <c r="Y268" i="3" s="1"/>
  <c r="Z268" i="3" s="1"/>
  <c r="AA268" i="3" s="1"/>
  <c r="Q306" i="3"/>
  <c r="AA306" i="3"/>
  <c r="AF306" i="3" s="1"/>
  <c r="AK306" i="3" s="1"/>
  <c r="AP306" i="3" s="1"/>
  <c r="AU306" i="3" s="1"/>
  <c r="X33" i="3"/>
  <c r="Y33" i="3" s="1"/>
  <c r="Z33" i="3" s="1"/>
  <c r="AA33" i="3" s="1"/>
  <c r="AC33" i="3" s="1"/>
  <c r="AD33" i="3" s="1"/>
  <c r="X240" i="3"/>
  <c r="X246" i="3"/>
  <c r="X252" i="3"/>
  <c r="T234" i="3"/>
  <c r="S234" i="3"/>
  <c r="P234" i="3"/>
  <c r="T236" i="3"/>
  <c r="S236" i="3"/>
  <c r="Y235" i="3"/>
  <c r="Z235" i="3" s="1"/>
  <c r="AA235" i="3" s="1"/>
  <c r="AC235" i="3" s="1"/>
  <c r="AD235" i="3" s="1"/>
  <c r="AE235" i="3" s="1"/>
  <c r="AF235" i="3" s="1"/>
  <c r="AH235" i="3" s="1"/>
  <c r="AI235" i="3" s="1"/>
  <c r="AJ235" i="3" s="1"/>
  <c r="AK235" i="3" s="1"/>
  <c r="AM235" i="3" s="1"/>
  <c r="AN235" i="3" s="1"/>
  <c r="AO235" i="3" s="1"/>
  <c r="AP235" i="3" s="1"/>
  <c r="AR235" i="3" s="1"/>
  <c r="T70" i="3"/>
  <c r="T83" i="3"/>
  <c r="T89" i="3"/>
  <c r="T95" i="3"/>
  <c r="T101" i="3"/>
  <c r="T107" i="3"/>
  <c r="T113" i="3"/>
  <c r="T119" i="3"/>
  <c r="T125" i="3"/>
  <c r="T131" i="3"/>
  <c r="T138" i="3"/>
  <c r="T152" i="3"/>
  <c r="T169" i="3"/>
  <c r="T165" i="3"/>
  <c r="Y211" i="3"/>
  <c r="Y22" i="3" s="1"/>
  <c r="Y326" i="3" s="1"/>
  <c r="Y26" i="3"/>
  <c r="X46" i="3"/>
  <c r="S199" i="3"/>
  <c r="S313" i="3"/>
  <c r="S314" i="3"/>
  <c r="W337" i="3"/>
  <c r="W21" i="3"/>
  <c r="W33" i="3"/>
  <c r="W327" i="3"/>
  <c r="X278" i="3"/>
  <c r="X325" i="3"/>
  <c r="S303" i="3"/>
  <c r="X303" i="3" s="1"/>
  <c r="AC303" i="3" s="1"/>
  <c r="AH303" i="3" s="1"/>
  <c r="X331" i="3"/>
  <c r="S307" i="3"/>
  <c r="X307" i="3" s="1"/>
  <c r="AC307" i="3" s="1"/>
  <c r="AC308" i="3" s="1"/>
  <c r="S309" i="3"/>
  <c r="X309" i="3" s="1"/>
  <c r="AC309" i="3" s="1"/>
  <c r="AH309" i="3" s="1"/>
  <c r="AM309" i="3" s="1"/>
  <c r="AR309" i="3" s="1"/>
  <c r="X283" i="3"/>
  <c r="Y283" i="3" s="1"/>
  <c r="Z283" i="3" s="1"/>
  <c r="AA283" i="3" s="1"/>
  <c r="AB283" i="3" s="1"/>
  <c r="S310" i="3"/>
  <c r="X310" i="3" s="1"/>
  <c r="AC310" i="3" s="1"/>
  <c r="AH310" i="3" s="1"/>
  <c r="AM310" i="3" s="1"/>
  <c r="AR310" i="3" s="1"/>
  <c r="X282" i="3"/>
  <c r="Y282" i="3" s="1"/>
  <c r="Z282" i="3" s="1"/>
  <c r="AA282" i="3" s="1"/>
  <c r="AC282" i="3" s="1"/>
  <c r="AD282" i="3" s="1"/>
  <c r="AE282" i="3" s="1"/>
  <c r="AF282" i="3" s="1"/>
  <c r="AH282" i="3" s="1"/>
  <c r="AI282" i="3" s="1"/>
  <c r="AJ282" i="3" s="1"/>
  <c r="AK282" i="3" s="1"/>
  <c r="S306" i="3"/>
  <c r="X306" i="3" s="1"/>
  <c r="AC306" i="3" s="1"/>
  <c r="AH306" i="3" s="1"/>
  <c r="AM306" i="3" s="1"/>
  <c r="AR306" i="3" s="1"/>
  <c r="AB202" i="3"/>
  <c r="AB205" i="3"/>
  <c r="U26" i="3"/>
  <c r="W249" i="3"/>
  <c r="T359" i="3"/>
  <c r="AE170" i="3"/>
  <c r="AJ170" i="3" s="1"/>
  <c r="AO170" i="3" s="1"/>
  <c r="AT170" i="3" s="1"/>
  <c r="AQ21" i="3"/>
  <c r="AM211" i="3"/>
  <c r="AM22" i="3" s="1"/>
  <c r="AM326" i="3" s="1"/>
  <c r="AN211" i="3"/>
  <c r="AN22" i="3" s="1"/>
  <c r="AO211" i="3"/>
  <c r="AO22" i="3" s="1"/>
  <c r="AO326" i="3" s="1"/>
  <c r="AB213" i="3"/>
  <c r="AG213" i="3" s="1"/>
  <c r="AB214" i="3"/>
  <c r="AG214" i="3" s="1"/>
  <c r="AL214" i="3" s="1"/>
  <c r="AQ214" i="3" s="1"/>
  <c r="AV214" i="3" s="1"/>
  <c r="AL219" i="3"/>
  <c r="AQ219" i="3" s="1"/>
  <c r="AV219" i="3" s="1"/>
  <c r="AB217" i="3"/>
  <c r="AG217" i="3" s="1"/>
  <c r="AL217" i="3" s="1"/>
  <c r="AQ217" i="3" s="1"/>
  <c r="AV217" i="3" s="1"/>
  <c r="Y46" i="3"/>
  <c r="AD46" i="3" s="1"/>
  <c r="AI46" i="3" s="1"/>
  <c r="Z211" i="3"/>
  <c r="Z22" i="3" s="1"/>
  <c r="Z326" i="3" s="1"/>
  <c r="Y325" i="3"/>
  <c r="T303" i="3"/>
  <c r="Y303" i="3" s="1"/>
  <c r="Y331" i="3"/>
  <c r="T307" i="3"/>
  <c r="T309" i="3"/>
  <c r="Y309" i="3" s="1"/>
  <c r="AD309" i="3" s="1"/>
  <c r="AI309" i="3" s="1"/>
  <c r="AN309" i="3" s="1"/>
  <c r="AS309" i="3" s="1"/>
  <c r="T310" i="3"/>
  <c r="Y310" i="3" s="1"/>
  <c r="AD310" i="3" s="1"/>
  <c r="AI310" i="3" s="1"/>
  <c r="AN310" i="3" s="1"/>
  <c r="AS310" i="3" s="1"/>
  <c r="T306" i="3"/>
  <c r="Y306" i="3" s="1"/>
  <c r="AD306" i="3" s="1"/>
  <c r="AI306" i="3" s="1"/>
  <c r="AN306" i="3" s="1"/>
  <c r="AS306" i="3" s="1"/>
  <c r="Z46" i="3"/>
  <c r="AE46" i="3" s="1"/>
  <c r="AB210" i="3"/>
  <c r="Z325" i="3"/>
  <c r="Z331" i="3"/>
  <c r="AC211" i="3"/>
  <c r="AC22" i="3" s="1"/>
  <c r="AC326" i="3" s="1"/>
  <c r="AA325" i="3"/>
  <c r="AD211" i="3"/>
  <c r="AD22" i="3" s="1"/>
  <c r="AD326" i="3" s="1"/>
  <c r="AB344" i="3"/>
  <c r="AB347" i="3"/>
  <c r="AB348" i="3"/>
  <c r="AB337" i="3"/>
  <c r="AB21" i="3"/>
  <c r="AB327" i="3"/>
  <c r="AB350" i="3"/>
  <c r="AC325" i="3"/>
  <c r="AC331" i="3"/>
  <c r="AG202" i="3"/>
  <c r="AG205" i="3"/>
  <c r="AE211" i="3"/>
  <c r="AE22" i="3" s="1"/>
  <c r="AD325" i="3"/>
  <c r="AD331" i="3"/>
  <c r="AE325" i="3"/>
  <c r="AE331" i="3"/>
  <c r="AH211" i="3"/>
  <c r="AF325" i="3"/>
  <c r="AI211" i="3"/>
  <c r="AI22" i="3" s="1"/>
  <c r="AI326" i="3" s="1"/>
  <c r="AG344" i="3"/>
  <c r="AG347" i="3"/>
  <c r="AG348" i="3"/>
  <c r="AG337" i="3"/>
  <c r="AG21" i="3"/>
  <c r="AG327" i="3"/>
  <c r="AG350" i="3"/>
  <c r="AH325" i="3"/>
  <c r="AH331" i="3"/>
  <c r="AL202" i="3"/>
  <c r="AL205" i="3"/>
  <c r="AJ211" i="3"/>
  <c r="AJ22" i="3" s="1"/>
  <c r="AJ326" i="3" s="1"/>
  <c r="AI325" i="3"/>
  <c r="AI331" i="3"/>
  <c r="AJ325" i="3"/>
  <c r="AJ331" i="3"/>
  <c r="AK325" i="3"/>
  <c r="AL344" i="3"/>
  <c r="AL347" i="3"/>
  <c r="AL348" i="3"/>
  <c r="AL337" i="3"/>
  <c r="AL21" i="3"/>
  <c r="AL327" i="3"/>
  <c r="AL350" i="3"/>
  <c r="AM325" i="3"/>
  <c r="AM331" i="3"/>
  <c r="AQ202" i="3"/>
  <c r="AQ205" i="3"/>
  <c r="AN325" i="3"/>
  <c r="AN331" i="3"/>
  <c r="AO325" i="3"/>
  <c r="AO331" i="3"/>
  <c r="AP325" i="3"/>
  <c r="AQ327" i="3"/>
  <c r="R272" i="3"/>
  <c r="R277" i="3"/>
  <c r="M272" i="3"/>
  <c r="M277" i="3"/>
  <c r="C384" i="3"/>
  <c r="C391" i="3" s="1"/>
  <c r="C388" i="3"/>
  <c r="C390" i="3" s="1"/>
  <c r="AB355" i="3"/>
  <c r="AG355" i="3" s="1"/>
  <c r="AL355" i="3" s="1"/>
  <c r="AQ355" i="3" s="1"/>
  <c r="AV355" i="3" s="1"/>
  <c r="I5" i="29"/>
  <c r="I17" i="29" s="1"/>
  <c r="K22" i="29" s="1"/>
  <c r="I6" i="29"/>
  <c r="I7" i="29"/>
  <c r="I8" i="29"/>
  <c r="I9" i="29"/>
  <c r="I10" i="29"/>
  <c r="I11" i="29"/>
  <c r="I12" i="29"/>
  <c r="I13" i="29"/>
  <c r="I14" i="29"/>
  <c r="I15" i="29"/>
  <c r="I16" i="29"/>
  <c r="O9" i="36"/>
  <c r="M9" i="36"/>
  <c r="K9" i="36"/>
  <c r="I9" i="36"/>
  <c r="G9" i="36"/>
  <c r="F9" i="36"/>
  <c r="E9" i="36"/>
  <c r="D9" i="36"/>
  <c r="C9" i="36"/>
  <c r="R23" i="31"/>
  <c r="O23" i="31"/>
  <c r="O36" i="31" s="1"/>
  <c r="L23" i="31"/>
  <c r="L36" i="31" s="1"/>
  <c r="I23" i="31"/>
  <c r="AQ239" i="3"/>
  <c r="AQ241" i="3"/>
  <c r="AQ245" i="3"/>
  <c r="AQ247" i="3"/>
  <c r="AL239" i="3"/>
  <c r="AL241" i="3"/>
  <c r="AL245" i="3"/>
  <c r="AL247" i="3"/>
  <c r="AG239" i="3"/>
  <c r="AG241" i="3"/>
  <c r="AG245" i="3"/>
  <c r="AG247" i="3"/>
  <c r="AB239" i="3"/>
  <c r="AB241" i="3"/>
  <c r="AB245" i="3"/>
  <c r="AB247" i="3"/>
  <c r="AQ253" i="3"/>
  <c r="AQ249" i="3"/>
  <c r="AL253" i="3"/>
  <c r="AL249" i="3"/>
  <c r="AG253" i="3"/>
  <c r="AG249" i="3"/>
  <c r="AB253" i="3"/>
  <c r="AB249" i="3"/>
  <c r="S231" i="3"/>
  <c r="S26" i="3"/>
  <c r="S39" i="3"/>
  <c r="AQ250" i="3"/>
  <c r="AM243" i="3"/>
  <c r="AM74" i="3" s="1"/>
  <c r="AN243" i="3"/>
  <c r="AN74" i="3" s="1"/>
  <c r="AO243" i="3"/>
  <c r="AP243" i="3"/>
  <c r="AP74" i="3" s="1"/>
  <c r="AL250" i="3"/>
  <c r="AH243" i="3"/>
  <c r="AH74" i="3" s="1"/>
  <c r="AI243" i="3"/>
  <c r="AJ243" i="3"/>
  <c r="AJ74" i="3" s="1"/>
  <c r="AK243" i="3"/>
  <c r="AK74" i="3" s="1"/>
  <c r="AG250" i="3"/>
  <c r="AC243" i="3"/>
  <c r="AC74" i="3" s="1"/>
  <c r="AD243" i="3"/>
  <c r="AD74" i="3" s="1"/>
  <c r="AE243" i="3"/>
  <c r="AF243" i="3"/>
  <c r="AF74" i="3" s="1"/>
  <c r="AA250" i="3"/>
  <c r="X243" i="3"/>
  <c r="X74" i="3" s="1"/>
  <c r="Y243" i="3"/>
  <c r="Z243" i="3"/>
  <c r="Z74" i="3" s="1"/>
  <c r="AA243" i="3"/>
  <c r="AA74" i="3" s="1"/>
  <c r="W247" i="3"/>
  <c r="AO26" i="3"/>
  <c r="AN26" i="3"/>
  <c r="AM26" i="3"/>
  <c r="AJ26" i="3"/>
  <c r="AI26" i="3"/>
  <c r="AH26" i="3"/>
  <c r="AE26" i="3"/>
  <c r="AD26" i="3"/>
  <c r="AC26" i="3"/>
  <c r="Z26" i="3"/>
  <c r="U250" i="3"/>
  <c r="H25" i="24"/>
  <c r="T74" i="3"/>
  <c r="S74" i="3"/>
  <c r="Q74" i="3"/>
  <c r="P74" i="3"/>
  <c r="O74" i="3"/>
  <c r="N74" i="3"/>
  <c r="L74" i="3"/>
  <c r="K74" i="3"/>
  <c r="J74" i="3"/>
  <c r="I74" i="3"/>
  <c r="W243" i="3"/>
  <c r="R243" i="3"/>
  <c r="M243" i="3"/>
  <c r="T161" i="3"/>
  <c r="U74" i="3"/>
  <c r="H9" i="30"/>
  <c r="O37" i="26"/>
  <c r="O42" i="26"/>
  <c r="O41" i="26"/>
  <c r="O40" i="26"/>
  <c r="O39" i="26"/>
  <c r="O38" i="26"/>
  <c r="O36" i="26"/>
  <c r="O35" i="26"/>
  <c r="O34" i="26"/>
  <c r="L42" i="26"/>
  <c r="L41" i="26"/>
  <c r="L40" i="26"/>
  <c r="L39" i="26"/>
  <c r="L38" i="26"/>
  <c r="L37" i="26"/>
  <c r="L36" i="26"/>
  <c r="L35" i="26"/>
  <c r="L34" i="26"/>
  <c r="I35" i="26"/>
  <c r="I36" i="26"/>
  <c r="I37" i="26"/>
  <c r="I38" i="26"/>
  <c r="I39" i="26"/>
  <c r="I40" i="26"/>
  <c r="I41" i="26"/>
  <c r="I42" i="26"/>
  <c r="I34" i="26"/>
  <c r="D9" i="30"/>
  <c r="E9" i="30"/>
  <c r="F9" i="30"/>
  <c r="C9" i="30"/>
  <c r="O42" i="31"/>
  <c r="L42" i="31"/>
  <c r="I42" i="31"/>
  <c r="S41" i="31"/>
  <c r="P41" i="31"/>
  <c r="O41" i="31"/>
  <c r="M41" i="31"/>
  <c r="L41" i="31"/>
  <c r="J41" i="31"/>
  <c r="I41" i="31"/>
  <c r="E41" i="31"/>
  <c r="D41" i="31"/>
  <c r="O40" i="31"/>
  <c r="L40" i="31"/>
  <c r="I40" i="31"/>
  <c r="O39" i="31"/>
  <c r="L39" i="31"/>
  <c r="I39" i="31"/>
  <c r="O38" i="31"/>
  <c r="L38" i="31"/>
  <c r="I38" i="31"/>
  <c r="O37" i="31"/>
  <c r="L37" i="31"/>
  <c r="I37" i="31"/>
  <c r="O35" i="31"/>
  <c r="L35" i="31"/>
  <c r="I35" i="31"/>
  <c r="O34" i="31"/>
  <c r="L34" i="31"/>
  <c r="I34" i="31"/>
  <c r="I36" i="31"/>
  <c r="G15" i="31"/>
  <c r="H24" i="24"/>
  <c r="H23" i="24"/>
  <c r="M252" i="3"/>
  <c r="M251" i="3"/>
  <c r="Q178" i="3"/>
  <c r="Q179" i="3" s="1"/>
  <c r="O178" i="3"/>
  <c r="N178" i="3"/>
  <c r="N179" i="3" s="1"/>
  <c r="L178" i="3"/>
  <c r="L179" i="3" s="1"/>
  <c r="K178" i="3"/>
  <c r="K179" i="3" s="1"/>
  <c r="J178" i="3"/>
  <c r="J179" i="3" s="1"/>
  <c r="I178" i="3"/>
  <c r="I179" i="3" s="1"/>
  <c r="O169" i="3"/>
  <c r="N169" i="3"/>
  <c r="L169" i="3"/>
  <c r="K169" i="3"/>
  <c r="J169" i="3"/>
  <c r="I169" i="3"/>
  <c r="O152" i="3"/>
  <c r="N152" i="3"/>
  <c r="L152" i="3"/>
  <c r="K152" i="3"/>
  <c r="J152" i="3"/>
  <c r="I152" i="3"/>
  <c r="I70" i="3"/>
  <c r="J70" i="3"/>
  <c r="K70" i="3"/>
  <c r="L70" i="3"/>
  <c r="N70" i="3"/>
  <c r="O70" i="3"/>
  <c r="H32" i="3"/>
  <c r="L34" i="3"/>
  <c r="K34" i="3"/>
  <c r="J34" i="3"/>
  <c r="I34" i="3"/>
  <c r="Q34" i="3"/>
  <c r="P34" i="3"/>
  <c r="O34" i="3"/>
  <c r="N34" i="3"/>
  <c r="S304" i="3"/>
  <c r="S182" i="3"/>
  <c r="S186" i="3" s="1"/>
  <c r="S161" i="3"/>
  <c r="S47" i="3"/>
  <c r="O306" i="3"/>
  <c r="N306" i="3"/>
  <c r="I306" i="3"/>
  <c r="J306" i="3"/>
  <c r="K306" i="3"/>
  <c r="L306" i="3"/>
  <c r="F306" i="3"/>
  <c r="G306" i="3"/>
  <c r="E306" i="3"/>
  <c r="E82" i="3"/>
  <c r="AQ210" i="3"/>
  <c r="AL210" i="3"/>
  <c r="AG210" i="3"/>
  <c r="D310" i="3"/>
  <c r="H205" i="3"/>
  <c r="G211" i="3"/>
  <c r="W241" i="3"/>
  <c r="W239" i="3"/>
  <c r="AQ350" i="3"/>
  <c r="AQ348" i="3"/>
  <c r="AQ347" i="3"/>
  <c r="AQ344" i="3"/>
  <c r="AQ337" i="3"/>
  <c r="AQ261" i="3"/>
  <c r="AL261" i="3"/>
  <c r="AG261" i="3"/>
  <c r="AB261" i="3"/>
  <c r="R296" i="3"/>
  <c r="D366" i="3"/>
  <c r="I365" i="3"/>
  <c r="N365" i="3"/>
  <c r="D365" i="3"/>
  <c r="Q314" i="3"/>
  <c r="Q313" i="3"/>
  <c r="I95" i="3"/>
  <c r="D26" i="3"/>
  <c r="E26" i="3"/>
  <c r="F26" i="3"/>
  <c r="G26" i="3"/>
  <c r="H26" i="3"/>
  <c r="D39" i="3"/>
  <c r="E39" i="3"/>
  <c r="F39" i="3"/>
  <c r="G39" i="3"/>
  <c r="H39" i="3"/>
  <c r="L246" i="3"/>
  <c r="L39" i="3" s="1"/>
  <c r="L245" i="3"/>
  <c r="L26" i="3" s="1"/>
  <c r="R39" i="3"/>
  <c r="I39" i="3"/>
  <c r="J39" i="3"/>
  <c r="K39" i="3"/>
  <c r="N39" i="3"/>
  <c r="O39" i="3"/>
  <c r="P39" i="3"/>
  <c r="T26" i="3"/>
  <c r="I26" i="3"/>
  <c r="J26" i="3"/>
  <c r="K26" i="3"/>
  <c r="N26" i="3"/>
  <c r="O26" i="3"/>
  <c r="P26" i="3"/>
  <c r="R26" i="3"/>
  <c r="Q39" i="3"/>
  <c r="Q26" i="3"/>
  <c r="M246" i="3"/>
  <c r="M245" i="3"/>
  <c r="E359" i="3"/>
  <c r="F359" i="3"/>
  <c r="G359" i="3"/>
  <c r="I359" i="3"/>
  <c r="J359" i="3"/>
  <c r="K359" i="3"/>
  <c r="L359" i="3"/>
  <c r="N359" i="3"/>
  <c r="O359" i="3"/>
  <c r="P359" i="3"/>
  <c r="Q359" i="3"/>
  <c r="D359" i="3"/>
  <c r="N236" i="3"/>
  <c r="P236" i="3"/>
  <c r="H236" i="3"/>
  <c r="G236" i="3" s="1"/>
  <c r="M236" i="3"/>
  <c r="L236" i="3" s="1"/>
  <c r="H31" i="3"/>
  <c r="R205" i="3"/>
  <c r="R202" i="3"/>
  <c r="Q203" i="3"/>
  <c r="R203" i="3" s="1"/>
  <c r="R208" i="3"/>
  <c r="O138" i="3"/>
  <c r="W245" i="3"/>
  <c r="G59" i="3"/>
  <c r="F59" i="3"/>
  <c r="E59" i="3"/>
  <c r="D59" i="3"/>
  <c r="G175" i="3"/>
  <c r="F175" i="3"/>
  <c r="E175" i="3"/>
  <c r="D175" i="3"/>
  <c r="G161" i="3"/>
  <c r="F161" i="3"/>
  <c r="E161" i="3"/>
  <c r="D161" i="3"/>
  <c r="G159" i="3"/>
  <c r="F159" i="3"/>
  <c r="E159" i="3"/>
  <c r="D159" i="3"/>
  <c r="G144" i="3"/>
  <c r="F144" i="3"/>
  <c r="E144" i="3"/>
  <c r="D144" i="3"/>
  <c r="G142" i="3"/>
  <c r="F142" i="3"/>
  <c r="E142" i="3"/>
  <c r="D142" i="3"/>
  <c r="G136" i="3"/>
  <c r="F136" i="3"/>
  <c r="E136" i="3"/>
  <c r="D136" i="3"/>
  <c r="G134" i="3"/>
  <c r="F134" i="3"/>
  <c r="E134" i="3"/>
  <c r="D134" i="3"/>
  <c r="G130" i="3"/>
  <c r="F130" i="3"/>
  <c r="E130" i="3"/>
  <c r="D130" i="3"/>
  <c r="G128" i="3"/>
  <c r="F128" i="3"/>
  <c r="E128" i="3"/>
  <c r="D128" i="3"/>
  <c r="G124" i="3"/>
  <c r="F124" i="3"/>
  <c r="E124" i="3"/>
  <c r="D124" i="3"/>
  <c r="G122" i="3"/>
  <c r="F122" i="3"/>
  <c r="E122" i="3"/>
  <c r="D122" i="3"/>
  <c r="G118" i="3"/>
  <c r="F118" i="3"/>
  <c r="E118" i="3"/>
  <c r="D118" i="3"/>
  <c r="G116" i="3"/>
  <c r="F116" i="3"/>
  <c r="E116" i="3"/>
  <c r="D116" i="3"/>
  <c r="G112" i="3"/>
  <c r="F112" i="3"/>
  <c r="E112" i="3"/>
  <c r="D112" i="3"/>
  <c r="G110" i="3"/>
  <c r="F110" i="3"/>
  <c r="E110" i="3"/>
  <c r="D110" i="3"/>
  <c r="G106" i="3"/>
  <c r="F106" i="3"/>
  <c r="E106" i="3"/>
  <c r="D106" i="3"/>
  <c r="G104" i="3"/>
  <c r="F104" i="3"/>
  <c r="E104" i="3"/>
  <c r="D104" i="3"/>
  <c r="G100" i="3"/>
  <c r="F100" i="3"/>
  <c r="E100" i="3"/>
  <c r="D100" i="3"/>
  <c r="G98" i="3"/>
  <c r="F98" i="3"/>
  <c r="E98" i="3"/>
  <c r="D98" i="3"/>
  <c r="G94" i="3"/>
  <c r="F94" i="3"/>
  <c r="E94" i="3"/>
  <c r="D94" i="3"/>
  <c r="G92" i="3"/>
  <c r="F92" i="3"/>
  <c r="E92" i="3"/>
  <c r="D92" i="3"/>
  <c r="G88" i="3"/>
  <c r="F88" i="3"/>
  <c r="E88" i="3"/>
  <c r="D88" i="3"/>
  <c r="G86" i="3"/>
  <c r="F86" i="3"/>
  <c r="E86" i="3"/>
  <c r="D86" i="3"/>
  <c r="G80" i="3"/>
  <c r="F80" i="3"/>
  <c r="E80" i="3"/>
  <c r="D80" i="3"/>
  <c r="G82" i="3"/>
  <c r="F82" i="3"/>
  <c r="D82" i="3"/>
  <c r="G47" i="3"/>
  <c r="F47" i="3"/>
  <c r="E47" i="3"/>
  <c r="D47" i="3"/>
  <c r="H295" i="3"/>
  <c r="W261" i="3"/>
  <c r="W282" i="3"/>
  <c r="R267" i="3"/>
  <c r="P297" i="3"/>
  <c r="P312" i="3" s="1"/>
  <c r="Q182" i="3"/>
  <c r="Q47" i="3"/>
  <c r="L47" i="3"/>
  <c r="D211" i="3"/>
  <c r="H207" i="3"/>
  <c r="D179" i="3"/>
  <c r="D182" i="3"/>
  <c r="D181" i="3"/>
  <c r="I158" i="3"/>
  <c r="G165" i="3"/>
  <c r="G157" i="3" s="1"/>
  <c r="F165" i="3"/>
  <c r="F157" i="3" s="1"/>
  <c r="E165" i="3"/>
  <c r="D165" i="3"/>
  <c r="D171" i="3" s="1"/>
  <c r="D172" i="3" s="1"/>
  <c r="O148" i="3"/>
  <c r="O154" i="3" s="1"/>
  <c r="N148" i="3"/>
  <c r="L148" i="3"/>
  <c r="L140" i="3" s="1"/>
  <c r="K148" i="3"/>
  <c r="K154" i="3" s="1"/>
  <c r="J148" i="3"/>
  <c r="J154" i="3" s="1"/>
  <c r="J155" i="3" s="1"/>
  <c r="I148" i="3"/>
  <c r="G148" i="3"/>
  <c r="G140" i="3" s="1"/>
  <c r="F148" i="3"/>
  <c r="F154" i="3" s="1"/>
  <c r="E148" i="3"/>
  <c r="E153" i="3" s="1"/>
  <c r="D148" i="3"/>
  <c r="N138" i="3"/>
  <c r="L138" i="3"/>
  <c r="K138" i="3"/>
  <c r="J138" i="3"/>
  <c r="I138" i="3"/>
  <c r="G138" i="3"/>
  <c r="F138" i="3"/>
  <c r="E138" i="3"/>
  <c r="D138" i="3"/>
  <c r="O131" i="3"/>
  <c r="N131" i="3"/>
  <c r="L131" i="3"/>
  <c r="K131" i="3"/>
  <c r="J131" i="3"/>
  <c r="I131" i="3"/>
  <c r="G131" i="3"/>
  <c r="F131" i="3"/>
  <c r="E131" i="3"/>
  <c r="D131" i="3"/>
  <c r="O125" i="3"/>
  <c r="N125" i="3"/>
  <c r="L125" i="3"/>
  <c r="K125" i="3"/>
  <c r="J125" i="3"/>
  <c r="I125" i="3"/>
  <c r="G125" i="3"/>
  <c r="F125" i="3"/>
  <c r="E125" i="3"/>
  <c r="D125" i="3"/>
  <c r="O119" i="3"/>
  <c r="N119" i="3"/>
  <c r="L119" i="3"/>
  <c r="K119" i="3"/>
  <c r="J119" i="3"/>
  <c r="I119" i="3"/>
  <c r="G119" i="3"/>
  <c r="F119" i="3"/>
  <c r="E119" i="3"/>
  <c r="D119" i="3"/>
  <c r="O113" i="3"/>
  <c r="N113" i="3"/>
  <c r="L113" i="3"/>
  <c r="K113" i="3"/>
  <c r="J113" i="3"/>
  <c r="I113" i="3"/>
  <c r="G113" i="3"/>
  <c r="F113" i="3"/>
  <c r="E113" i="3"/>
  <c r="D113" i="3"/>
  <c r="O107" i="3"/>
  <c r="N107" i="3"/>
  <c r="L107" i="3"/>
  <c r="K107" i="3"/>
  <c r="J107" i="3"/>
  <c r="I107" i="3"/>
  <c r="G107" i="3"/>
  <c r="F107" i="3"/>
  <c r="E107" i="3"/>
  <c r="D107" i="3"/>
  <c r="O101" i="3"/>
  <c r="N101" i="3"/>
  <c r="L101" i="3"/>
  <c r="K101" i="3"/>
  <c r="J101" i="3"/>
  <c r="I101" i="3"/>
  <c r="G101" i="3"/>
  <c r="F101" i="3"/>
  <c r="E101" i="3"/>
  <c r="D101" i="3"/>
  <c r="O95" i="3"/>
  <c r="N95" i="3"/>
  <c r="L95" i="3"/>
  <c r="K95" i="3"/>
  <c r="J95" i="3"/>
  <c r="G95" i="3"/>
  <c r="F95" i="3"/>
  <c r="E95" i="3"/>
  <c r="D95" i="3"/>
  <c r="O89" i="3"/>
  <c r="N89" i="3"/>
  <c r="L89" i="3"/>
  <c r="K89" i="3"/>
  <c r="J89" i="3"/>
  <c r="I89" i="3"/>
  <c r="G89" i="3"/>
  <c r="F89" i="3"/>
  <c r="E89" i="3"/>
  <c r="D89" i="3"/>
  <c r="O83" i="3"/>
  <c r="N83" i="3"/>
  <c r="N78" i="3" s="1"/>
  <c r="L83" i="3"/>
  <c r="L78" i="3" s="1"/>
  <c r="K83" i="3"/>
  <c r="K78" i="3" s="1"/>
  <c r="J83" i="3"/>
  <c r="J78" i="3" s="1"/>
  <c r="I83" i="3"/>
  <c r="I78" i="3" s="1"/>
  <c r="G83" i="3"/>
  <c r="G78" i="3" s="1"/>
  <c r="F83" i="3"/>
  <c r="F78" i="3" s="1"/>
  <c r="E83" i="3"/>
  <c r="E78" i="3" s="1"/>
  <c r="D83" i="3"/>
  <c r="D78" i="3" s="1"/>
  <c r="Q146" i="3"/>
  <c r="P146" i="3"/>
  <c r="O146" i="3"/>
  <c r="N146" i="3"/>
  <c r="L146" i="3"/>
  <c r="J146" i="3"/>
  <c r="K146" i="3"/>
  <c r="I146" i="3"/>
  <c r="N52" i="3"/>
  <c r="N53" i="3" s="1"/>
  <c r="L55" i="3"/>
  <c r="L56" i="3" s="1"/>
  <c r="L52" i="3"/>
  <c r="L53" i="3" s="1"/>
  <c r="K52" i="3"/>
  <c r="K53" i="3" s="1"/>
  <c r="J55" i="3"/>
  <c r="J56" i="3" s="1"/>
  <c r="J52" i="3"/>
  <c r="J53" i="3" s="1"/>
  <c r="Q161" i="3"/>
  <c r="N310" i="3"/>
  <c r="O310" i="3"/>
  <c r="I310" i="3"/>
  <c r="L310" i="3"/>
  <c r="K310" i="3"/>
  <c r="J310" i="3"/>
  <c r="F310" i="3"/>
  <c r="G310" i="3"/>
  <c r="E310" i="3"/>
  <c r="F205" i="3"/>
  <c r="E205" i="3"/>
  <c r="E202" i="3"/>
  <c r="F202" i="3" s="1"/>
  <c r="G202" i="3" s="1"/>
  <c r="D205" i="3"/>
  <c r="K202" i="3"/>
  <c r="L202" i="3" s="1"/>
  <c r="J205" i="3"/>
  <c r="O205" i="3"/>
  <c r="O202" i="3"/>
  <c r="P202" i="3" s="1"/>
  <c r="J199" i="3"/>
  <c r="O199" i="3"/>
  <c r="I205" i="3"/>
  <c r="N205" i="3"/>
  <c r="I199" i="3"/>
  <c r="R209" i="3"/>
  <c r="K205" i="3"/>
  <c r="P205" i="3"/>
  <c r="K199" i="3"/>
  <c r="P199" i="3"/>
  <c r="M197" i="3"/>
  <c r="M198" i="3" s="1"/>
  <c r="M199" i="3" s="1"/>
  <c r="H197" i="3"/>
  <c r="R294" i="3"/>
  <c r="R295" i="3" s="1"/>
  <c r="O309" i="3"/>
  <c r="N309" i="3"/>
  <c r="I309" i="3"/>
  <c r="L309" i="3"/>
  <c r="K309" i="3"/>
  <c r="J309" i="3"/>
  <c r="F309" i="3"/>
  <c r="G309" i="3"/>
  <c r="E309" i="3"/>
  <c r="D309" i="3"/>
  <c r="P314" i="3"/>
  <c r="O314" i="3"/>
  <c r="N314" i="3"/>
  <c r="P313" i="3"/>
  <c r="O313" i="3"/>
  <c r="N313" i="3"/>
  <c r="L314" i="3"/>
  <c r="K314" i="3"/>
  <c r="J314" i="3"/>
  <c r="I314" i="3"/>
  <c r="L313" i="3"/>
  <c r="K313" i="3"/>
  <c r="J313" i="3"/>
  <c r="I313" i="3"/>
  <c r="E313" i="3"/>
  <c r="F313" i="3"/>
  <c r="G313" i="3"/>
  <c r="E314" i="3"/>
  <c r="F314" i="3"/>
  <c r="G314" i="3"/>
  <c r="D314" i="3"/>
  <c r="D313" i="3"/>
  <c r="I368" i="3"/>
  <c r="N368" i="3"/>
  <c r="D368" i="3"/>
  <c r="R278" i="3"/>
  <c r="O305" i="3"/>
  <c r="N305" i="3"/>
  <c r="L305" i="3"/>
  <c r="K305" i="3"/>
  <c r="J305" i="3"/>
  <c r="I305" i="3"/>
  <c r="E305" i="3"/>
  <c r="F305" i="3"/>
  <c r="G305" i="3"/>
  <c r="D305" i="3"/>
  <c r="O303" i="3"/>
  <c r="O304" i="3" s="1"/>
  <c r="N303" i="3"/>
  <c r="N304" i="3" s="1"/>
  <c r="E303" i="3"/>
  <c r="E304" i="3" s="1"/>
  <c r="D303" i="3"/>
  <c r="D304" i="3" s="1"/>
  <c r="I303" i="3"/>
  <c r="I304" i="3" s="1"/>
  <c r="W267" i="3"/>
  <c r="D226" i="3"/>
  <c r="E226" i="3"/>
  <c r="F226" i="3"/>
  <c r="G226" i="3"/>
  <c r="I226" i="3"/>
  <c r="J226" i="3"/>
  <c r="K226" i="3"/>
  <c r="L226" i="3"/>
  <c r="N226" i="3"/>
  <c r="O226" i="3"/>
  <c r="P226" i="3"/>
  <c r="D227" i="3"/>
  <c r="E227" i="3"/>
  <c r="F227" i="3"/>
  <c r="G227" i="3"/>
  <c r="I227" i="3"/>
  <c r="J227" i="3"/>
  <c r="K227" i="3"/>
  <c r="L227" i="3"/>
  <c r="N227" i="3"/>
  <c r="O227" i="3"/>
  <c r="P227" i="3"/>
  <c r="D228" i="3"/>
  <c r="E228" i="3"/>
  <c r="F228" i="3"/>
  <c r="G228" i="3"/>
  <c r="I228" i="3"/>
  <c r="J228" i="3"/>
  <c r="K228" i="3"/>
  <c r="L228" i="3"/>
  <c r="N228" i="3"/>
  <c r="O228" i="3"/>
  <c r="P228" i="3"/>
  <c r="G222" i="3"/>
  <c r="F222" i="3"/>
  <c r="E222" i="3"/>
  <c r="D222" i="3"/>
  <c r="M205" i="3"/>
  <c r="W210" i="3"/>
  <c r="P211" i="3"/>
  <c r="O211" i="3"/>
  <c r="N211" i="3"/>
  <c r="R210" i="3"/>
  <c r="I211" i="3"/>
  <c r="J211" i="3"/>
  <c r="M209" i="3"/>
  <c r="M195" i="3"/>
  <c r="H195" i="3"/>
  <c r="M194" i="3"/>
  <c r="H194" i="3"/>
  <c r="L211" i="3"/>
  <c r="K211" i="3"/>
  <c r="F211" i="3"/>
  <c r="E211" i="3"/>
  <c r="H210" i="3"/>
  <c r="H209" i="3"/>
  <c r="M210" i="3"/>
  <c r="M207" i="3"/>
  <c r="G182" i="3"/>
  <c r="G186" i="3" s="1"/>
  <c r="F182" i="3"/>
  <c r="E182" i="3"/>
  <c r="E186" i="3" s="1"/>
  <c r="D186" i="3"/>
  <c r="G181" i="3"/>
  <c r="G187" i="3" s="1"/>
  <c r="F181" i="3"/>
  <c r="F187" i="3" s="1"/>
  <c r="E181" i="3"/>
  <c r="E187" i="3" s="1"/>
  <c r="G179" i="3"/>
  <c r="F179" i="3"/>
  <c r="E179" i="3"/>
  <c r="L182" i="3"/>
  <c r="L186" i="3" s="1"/>
  <c r="K182" i="3"/>
  <c r="K186" i="3" s="1"/>
  <c r="J182" i="3"/>
  <c r="I182" i="3"/>
  <c r="I186" i="3" s="1"/>
  <c r="L181" i="3"/>
  <c r="K181" i="3"/>
  <c r="K187" i="3" s="1"/>
  <c r="J181" i="3"/>
  <c r="J187" i="3" s="1"/>
  <c r="I181" i="3"/>
  <c r="I187" i="3" s="1"/>
  <c r="O182" i="3"/>
  <c r="O186" i="3" s="1"/>
  <c r="N182" i="3"/>
  <c r="N186" i="3" s="1"/>
  <c r="O181" i="3"/>
  <c r="O187" i="3" s="1"/>
  <c r="N181" i="3"/>
  <c r="N187" i="3" s="1"/>
  <c r="O179" i="3"/>
  <c r="P182" i="3"/>
  <c r="P186" i="3" s="1"/>
  <c r="P187" i="3"/>
  <c r="S295" i="3"/>
  <c r="S297" i="3" s="1"/>
  <c r="S312" i="3" s="1"/>
  <c r="Q211" i="3"/>
  <c r="R195" i="3"/>
  <c r="S211" i="3"/>
  <c r="R207" i="3"/>
  <c r="W207" i="3"/>
  <c r="H171" i="3"/>
  <c r="M171" i="3"/>
  <c r="G66" i="3"/>
  <c r="G67" i="3" s="1"/>
  <c r="F66" i="3"/>
  <c r="F67" i="3" s="1"/>
  <c r="E66" i="3"/>
  <c r="E67" i="3" s="1"/>
  <c r="D66" i="3"/>
  <c r="D67" i="3" s="1"/>
  <c r="L66" i="3"/>
  <c r="L67" i="3" s="1"/>
  <c r="K66" i="3"/>
  <c r="K67" i="3" s="1"/>
  <c r="J66" i="3"/>
  <c r="J67" i="3" s="1"/>
  <c r="I66" i="3"/>
  <c r="I67" i="3" s="1"/>
  <c r="O66" i="3"/>
  <c r="O67" i="3" s="1"/>
  <c r="P66" i="3"/>
  <c r="P67" i="3" s="1"/>
  <c r="N66" i="3"/>
  <c r="N67" i="3" s="1"/>
  <c r="O175" i="3"/>
  <c r="N175" i="3"/>
  <c r="L175" i="3"/>
  <c r="K175" i="3"/>
  <c r="J175" i="3"/>
  <c r="I175" i="3"/>
  <c r="O163" i="3"/>
  <c r="N163" i="3"/>
  <c r="L163" i="3"/>
  <c r="K163" i="3"/>
  <c r="J163" i="3"/>
  <c r="I163" i="3"/>
  <c r="P161" i="3"/>
  <c r="O161" i="3"/>
  <c r="N161" i="3"/>
  <c r="L161" i="3"/>
  <c r="K161" i="3"/>
  <c r="J161" i="3"/>
  <c r="I161" i="3"/>
  <c r="L165" i="3"/>
  <c r="J158" i="3"/>
  <c r="J159" i="3" s="1"/>
  <c r="F297" i="3"/>
  <c r="F312" i="3" s="1"/>
  <c r="G297" i="3"/>
  <c r="G312" i="3" s="1"/>
  <c r="D297" i="3"/>
  <c r="D312" i="3" s="1"/>
  <c r="E297" i="3"/>
  <c r="E312" i="3" s="1"/>
  <c r="I297" i="3"/>
  <c r="I312" i="3" s="1"/>
  <c r="J297" i="3"/>
  <c r="K297" i="3"/>
  <c r="K312" i="3" s="1"/>
  <c r="N297" i="3"/>
  <c r="O297" i="3"/>
  <c r="O312" i="3" s="1"/>
  <c r="R289" i="3"/>
  <c r="R282" i="3"/>
  <c r="R281" i="3"/>
  <c r="H296" i="3"/>
  <c r="H290" i="3"/>
  <c r="H289" i="3"/>
  <c r="H288" i="3"/>
  <c r="H283" i="3"/>
  <c r="H282" i="3"/>
  <c r="H281" i="3"/>
  <c r="H280" i="3"/>
  <c r="H279" i="3"/>
  <c r="H278" i="3"/>
  <c r="H277" i="3"/>
  <c r="H275" i="3"/>
  <c r="H274" i="3"/>
  <c r="H273" i="3"/>
  <c r="H272" i="3"/>
  <c r="H359" i="3" s="1"/>
  <c r="H268" i="3"/>
  <c r="H267" i="3"/>
  <c r="H265" i="3"/>
  <c r="H264" i="3"/>
  <c r="H262" i="3"/>
  <c r="H261" i="3"/>
  <c r="H260" i="3"/>
  <c r="H259" i="3"/>
  <c r="L297" i="3"/>
  <c r="L312" i="3" s="1"/>
  <c r="M283" i="3"/>
  <c r="M260" i="3"/>
  <c r="M265" i="3"/>
  <c r="M273" i="3"/>
  <c r="M278" i="3"/>
  <c r="M279" i="3"/>
  <c r="M280" i="3"/>
  <c r="M281" i="3"/>
  <c r="M282" i="3"/>
  <c r="M289" i="3"/>
  <c r="M296" i="3"/>
  <c r="D276" i="3"/>
  <c r="D284" i="3" s="1"/>
  <c r="E276" i="3"/>
  <c r="E284" i="3" s="1"/>
  <c r="F276" i="3"/>
  <c r="F284" i="3" s="1"/>
  <c r="G276" i="3"/>
  <c r="G284" i="3" s="1"/>
  <c r="I276" i="3"/>
  <c r="I284" i="3" s="1"/>
  <c r="J276" i="3"/>
  <c r="J284" i="3" s="1"/>
  <c r="K276" i="3"/>
  <c r="K284" i="3" s="1"/>
  <c r="L276" i="3"/>
  <c r="L284" i="3" s="1"/>
  <c r="N276" i="3"/>
  <c r="N284" i="3" s="1"/>
  <c r="O276" i="3"/>
  <c r="O284" i="3" s="1"/>
  <c r="D266" i="3"/>
  <c r="E266" i="3"/>
  <c r="F266" i="3"/>
  <c r="G266" i="3"/>
  <c r="I266" i="3"/>
  <c r="J266" i="3"/>
  <c r="K266" i="3"/>
  <c r="L266" i="3"/>
  <c r="N266" i="3"/>
  <c r="O266" i="3"/>
  <c r="P266" i="3"/>
  <c r="N349" i="3"/>
  <c r="O165" i="3"/>
  <c r="O157" i="3" s="1"/>
  <c r="E365" i="3"/>
  <c r="L159" i="3"/>
  <c r="J368" i="3"/>
  <c r="I349" i="3"/>
  <c r="Q66" i="3"/>
  <c r="Q67" i="3" s="1"/>
  <c r="O144" i="3"/>
  <c r="N144" i="3"/>
  <c r="O142" i="3"/>
  <c r="N142" i="3"/>
  <c r="L144" i="3"/>
  <c r="K144" i="3"/>
  <c r="J144" i="3"/>
  <c r="I144" i="3"/>
  <c r="L142" i="3"/>
  <c r="K142" i="3"/>
  <c r="J142" i="3"/>
  <c r="I142" i="3"/>
  <c r="N59" i="3"/>
  <c r="O59" i="3"/>
  <c r="L59" i="3"/>
  <c r="K59" i="3"/>
  <c r="J59" i="3"/>
  <c r="I59" i="3"/>
  <c r="O134" i="3"/>
  <c r="N134" i="3"/>
  <c r="L134" i="3"/>
  <c r="K134" i="3"/>
  <c r="J134" i="3"/>
  <c r="I134" i="3"/>
  <c r="O128" i="3"/>
  <c r="N128" i="3"/>
  <c r="L128" i="3"/>
  <c r="K128" i="3"/>
  <c r="J128" i="3"/>
  <c r="I128" i="3"/>
  <c r="O122" i="3"/>
  <c r="N122" i="3"/>
  <c r="L122" i="3"/>
  <c r="K122" i="3"/>
  <c r="J122" i="3"/>
  <c r="I122" i="3"/>
  <c r="O116" i="3"/>
  <c r="N116" i="3"/>
  <c r="L116" i="3"/>
  <c r="K116" i="3"/>
  <c r="J116" i="3"/>
  <c r="I116" i="3"/>
  <c r="O110" i="3"/>
  <c r="N110" i="3"/>
  <c r="L110" i="3"/>
  <c r="K110" i="3"/>
  <c r="J110" i="3"/>
  <c r="I110" i="3"/>
  <c r="O104" i="3"/>
  <c r="N104" i="3"/>
  <c r="L104" i="3"/>
  <c r="K104" i="3"/>
  <c r="J104" i="3"/>
  <c r="I104" i="3"/>
  <c r="P98" i="3"/>
  <c r="O98" i="3"/>
  <c r="N98" i="3"/>
  <c r="L98" i="3"/>
  <c r="K98" i="3"/>
  <c r="J98" i="3"/>
  <c r="I98" i="3"/>
  <c r="O92" i="3"/>
  <c r="N92" i="3"/>
  <c r="L92" i="3"/>
  <c r="K92" i="3"/>
  <c r="J92" i="3"/>
  <c r="I92" i="3"/>
  <c r="O136" i="3"/>
  <c r="N136" i="3"/>
  <c r="L136" i="3"/>
  <c r="K136" i="3"/>
  <c r="J136" i="3"/>
  <c r="I136" i="3"/>
  <c r="O130" i="3"/>
  <c r="N130" i="3"/>
  <c r="L130" i="3"/>
  <c r="K130" i="3"/>
  <c r="J130" i="3"/>
  <c r="I130" i="3"/>
  <c r="O124" i="3"/>
  <c r="N124" i="3"/>
  <c r="L124" i="3"/>
  <c r="K124" i="3"/>
  <c r="J124" i="3"/>
  <c r="I124" i="3"/>
  <c r="O118" i="3"/>
  <c r="N118" i="3"/>
  <c r="L118" i="3"/>
  <c r="K118" i="3"/>
  <c r="J118" i="3"/>
  <c r="I118" i="3"/>
  <c r="O112" i="3"/>
  <c r="N112" i="3"/>
  <c r="L112" i="3"/>
  <c r="K112" i="3"/>
  <c r="J112" i="3"/>
  <c r="I112" i="3"/>
  <c r="O106" i="3"/>
  <c r="N106" i="3"/>
  <c r="L106" i="3"/>
  <c r="K106" i="3"/>
  <c r="J106" i="3"/>
  <c r="I106" i="3"/>
  <c r="P100" i="3"/>
  <c r="O100" i="3"/>
  <c r="N100" i="3"/>
  <c r="L100" i="3"/>
  <c r="K100" i="3"/>
  <c r="J100" i="3"/>
  <c r="I100" i="3"/>
  <c r="O94" i="3"/>
  <c r="N94" i="3"/>
  <c r="L94" i="3"/>
  <c r="K94" i="3"/>
  <c r="J94" i="3"/>
  <c r="I94" i="3"/>
  <c r="O88" i="3"/>
  <c r="N88" i="3"/>
  <c r="L88" i="3"/>
  <c r="K88" i="3"/>
  <c r="J88" i="3"/>
  <c r="I88" i="3"/>
  <c r="O86" i="3"/>
  <c r="N86" i="3"/>
  <c r="L86" i="3"/>
  <c r="K86" i="3"/>
  <c r="J86" i="3"/>
  <c r="I86" i="3"/>
  <c r="L80" i="3"/>
  <c r="O80" i="3"/>
  <c r="N80" i="3"/>
  <c r="K80" i="3"/>
  <c r="J80" i="3"/>
  <c r="I80" i="3"/>
  <c r="I82" i="3"/>
  <c r="L82" i="3"/>
  <c r="K82" i="3"/>
  <c r="J82" i="3"/>
  <c r="N82" i="3"/>
  <c r="O82" i="3"/>
  <c r="O55" i="3"/>
  <c r="O56" i="3" s="1"/>
  <c r="N55" i="3"/>
  <c r="N56" i="3" s="1"/>
  <c r="O52" i="3"/>
  <c r="O53" i="3" s="1"/>
  <c r="K55" i="3"/>
  <c r="K56" i="3" s="1"/>
  <c r="I55" i="3"/>
  <c r="I56" i="3" s="1"/>
  <c r="I52" i="3"/>
  <c r="I53" i="3" s="1"/>
  <c r="G55" i="3"/>
  <c r="G56" i="3" s="1"/>
  <c r="F55" i="3"/>
  <c r="F56" i="3" s="1"/>
  <c r="E55" i="3"/>
  <c r="E56" i="3" s="1"/>
  <c r="D55" i="3"/>
  <c r="D56" i="3" s="1"/>
  <c r="G52" i="3"/>
  <c r="G53" i="3" s="1"/>
  <c r="F52" i="3"/>
  <c r="F53" i="3" s="1"/>
  <c r="E52" i="3"/>
  <c r="E53" i="3" s="1"/>
  <c r="D52" i="3"/>
  <c r="D53" i="3" s="1"/>
  <c r="G365" i="3"/>
  <c r="F365" i="3"/>
  <c r="P368" i="3"/>
  <c r="H347" i="3"/>
  <c r="H343" i="3"/>
  <c r="H331" i="3"/>
  <c r="H326" i="3"/>
  <c r="H327" i="3"/>
  <c r="N47" i="3"/>
  <c r="O47" i="3"/>
  <c r="P47" i="3"/>
  <c r="K47" i="3"/>
  <c r="J47" i="3"/>
  <c r="I47" i="3"/>
  <c r="M46" i="3"/>
  <c r="H46" i="3"/>
  <c r="H37" i="3"/>
  <c r="H33" i="3"/>
  <c r="H23" i="3"/>
  <c r="H22" i="3"/>
  <c r="H21" i="3"/>
  <c r="H20" i="3"/>
  <c r="H19" i="3"/>
  <c r="H18" i="3"/>
  <c r="H17" i="3"/>
  <c r="H16" i="3"/>
  <c r="H15" i="3"/>
  <c r="J24" i="3"/>
  <c r="J25" i="3" s="1"/>
  <c r="K24" i="3"/>
  <c r="K25" i="3" s="1"/>
  <c r="L24" i="3"/>
  <c r="L25" i="3" s="1"/>
  <c r="L223" i="3" s="1"/>
  <c r="O24" i="3"/>
  <c r="O25" i="3" s="1"/>
  <c r="H322" i="3"/>
  <c r="Q187" i="3"/>
  <c r="Q140" i="3"/>
  <c r="S56" i="3"/>
  <c r="O307" i="3"/>
  <c r="O308" i="3" s="1"/>
  <c r="O222" i="3"/>
  <c r="N222" i="3"/>
  <c r="L222" i="3"/>
  <c r="K222" i="3"/>
  <c r="I222" i="3"/>
  <c r="R283" i="3"/>
  <c r="N366" i="3"/>
  <c r="I366" i="3"/>
  <c r="L303" i="3"/>
  <c r="L304" i="3" s="1"/>
  <c r="K307" i="3"/>
  <c r="K308" i="3" s="1"/>
  <c r="K303" i="3"/>
  <c r="K304" i="3" s="1"/>
  <c r="K237" i="3"/>
  <c r="K233" i="3" s="1"/>
  <c r="I237" i="3"/>
  <c r="I233" i="3" s="1"/>
  <c r="J307" i="3"/>
  <c r="J308" i="3" s="1"/>
  <c r="J303" i="3"/>
  <c r="J304" i="3" s="1"/>
  <c r="P308" i="3"/>
  <c r="G303" i="3"/>
  <c r="G304" i="3" s="1"/>
  <c r="N233" i="3"/>
  <c r="F303" i="3"/>
  <c r="F304" i="3" s="1"/>
  <c r="F237" i="3"/>
  <c r="E286" i="3"/>
  <c r="F286" i="3" s="1"/>
  <c r="G286" i="3" s="1"/>
  <c r="H286" i="3" s="1"/>
  <c r="I286" i="3" s="1"/>
  <c r="J286" i="3" s="1"/>
  <c r="K286" i="3" s="1"/>
  <c r="L286" i="3" s="1"/>
  <c r="M286" i="3" s="1"/>
  <c r="N286" i="3" s="1"/>
  <c r="O286" i="3" s="1"/>
  <c r="P286" i="3" s="1"/>
  <c r="Q286" i="3" s="1"/>
  <c r="R286" i="3" s="1"/>
  <c r="S286" i="3" s="1"/>
  <c r="T286" i="3" s="1"/>
  <c r="U286" i="3" s="1"/>
  <c r="V286" i="3" s="1"/>
  <c r="W286" i="3" s="1"/>
  <c r="X286" i="3" s="1"/>
  <c r="Y286" i="3" s="1"/>
  <c r="Z286" i="3" s="1"/>
  <c r="AA286" i="3" s="1"/>
  <c r="AB286" i="3" s="1"/>
  <c r="AC286" i="3" s="1"/>
  <c r="AD286" i="3" s="1"/>
  <c r="AE286" i="3" s="1"/>
  <c r="AF286" i="3" s="1"/>
  <c r="AG286" i="3" s="1"/>
  <c r="AH286" i="3" s="1"/>
  <c r="AI286" i="3" s="1"/>
  <c r="AJ286" i="3" s="1"/>
  <c r="AK286" i="3" s="1"/>
  <c r="AL286" i="3" s="1"/>
  <c r="AM286" i="3" s="1"/>
  <c r="AN286" i="3" s="1"/>
  <c r="AO286" i="3" s="1"/>
  <c r="AP286" i="3" s="1"/>
  <c r="AQ286" i="3" s="1"/>
  <c r="AR286" i="3" s="1"/>
  <c r="AS286" i="3" s="1"/>
  <c r="AT286" i="3" s="1"/>
  <c r="AU286" i="3" s="1"/>
  <c r="AV286" i="3" s="1"/>
  <c r="J237" i="3"/>
  <c r="J234" i="3" s="1"/>
  <c r="D237" i="3"/>
  <c r="D233" i="3" s="1"/>
  <c r="E237" i="3"/>
  <c r="J261" i="3"/>
  <c r="K261" i="3" s="1"/>
  <c r="L261" i="3" s="1"/>
  <c r="M261" i="3" s="1"/>
  <c r="N261" i="3" s="1"/>
  <c r="R261" i="3"/>
  <c r="M268" i="3"/>
  <c r="M288" i="3"/>
  <c r="M275" i="3"/>
  <c r="M267" i="3"/>
  <c r="M262" i="3"/>
  <c r="M264" i="3"/>
  <c r="I339" i="3"/>
  <c r="M259" i="3"/>
  <c r="M274" i="3"/>
  <c r="N339" i="3"/>
  <c r="M290" i="3"/>
  <c r="P222" i="3"/>
  <c r="T53" i="3"/>
  <c r="S66" i="3"/>
  <c r="S67" i="3" s="1"/>
  <c r="R280" i="3"/>
  <c r="R275" i="3"/>
  <c r="R268" i="3"/>
  <c r="R262" i="3"/>
  <c r="H13" i="3"/>
  <c r="N234" i="3"/>
  <c r="E366" i="3"/>
  <c r="J222" i="3"/>
  <c r="W268" i="3"/>
  <c r="S228" i="3"/>
  <c r="F8" i="31"/>
  <c r="E21" i="31"/>
  <c r="E34" i="31" s="1"/>
  <c r="J21" i="31"/>
  <c r="W283" i="3"/>
  <c r="R260" i="3"/>
  <c r="R265" i="3"/>
  <c r="R264" i="3"/>
  <c r="V308" i="3"/>
  <c r="Q266" i="3"/>
  <c r="S266" i="3"/>
  <c r="T266" i="3"/>
  <c r="U266" i="3"/>
  <c r="S222" i="3"/>
  <c r="R259" i="3"/>
  <c r="T222" i="3"/>
  <c r="R288" i="3"/>
  <c r="U222" i="3"/>
  <c r="R46" i="3"/>
  <c r="P276" i="3"/>
  <c r="P284" i="3" s="1"/>
  <c r="P298" i="3" s="1"/>
  <c r="R273" i="3"/>
  <c r="Q24" i="3"/>
  <c r="T227" i="3"/>
  <c r="S154" i="3"/>
  <c r="R274" i="3"/>
  <c r="U227" i="3"/>
  <c r="S226" i="3"/>
  <c r="S227" i="3"/>
  <c r="T226" i="3"/>
  <c r="U226" i="3"/>
  <c r="R290" i="3"/>
  <c r="Q276" i="3"/>
  <c r="Q284" i="3" s="1"/>
  <c r="R271" i="3"/>
  <c r="R236" i="3"/>
  <c r="O234" i="3"/>
  <c r="O233" i="3"/>
  <c r="O236" i="3"/>
  <c r="W296" i="3"/>
  <c r="Q297" i="3"/>
  <c r="Q312" i="3" s="1"/>
  <c r="S359" i="3"/>
  <c r="S276" i="3"/>
  <c r="S284" i="3" s="1"/>
  <c r="T228" i="3"/>
  <c r="U228" i="3"/>
  <c r="T276" i="3"/>
  <c r="T284" i="3" s="1"/>
  <c r="U284" i="3"/>
  <c r="U359" i="3"/>
  <c r="T47" i="3"/>
  <c r="S298" i="3" l="1"/>
  <c r="J366" i="3"/>
  <c r="F153" i="3"/>
  <c r="X100" i="3"/>
  <c r="K153" i="3"/>
  <c r="K366" i="3"/>
  <c r="D170" i="3"/>
  <c r="E183" i="3"/>
  <c r="E188" i="3" s="1"/>
  <c r="K140" i="3"/>
  <c r="P339" i="3"/>
  <c r="O368" i="3"/>
  <c r="J365" i="3"/>
  <c r="O365" i="3"/>
  <c r="D298" i="3"/>
  <c r="G171" i="3"/>
  <c r="G172" i="3" s="1"/>
  <c r="P365" i="3"/>
  <c r="K149" i="3"/>
  <c r="K155" i="3"/>
  <c r="R47" i="3"/>
  <c r="F366" i="3"/>
  <c r="D157" i="3"/>
  <c r="F140" i="3"/>
  <c r="O311" i="3"/>
  <c r="F298" i="3"/>
  <c r="L154" i="3"/>
  <c r="L149" i="3" s="1"/>
  <c r="W350" i="3"/>
  <c r="O339" i="3"/>
  <c r="L339" i="3"/>
  <c r="J339" i="3"/>
  <c r="I24" i="3"/>
  <c r="I25" i="3" s="1"/>
  <c r="I223" i="3" s="1"/>
  <c r="H323" i="3"/>
  <c r="P311" i="3"/>
  <c r="P24" i="3"/>
  <c r="P25" i="3" s="1"/>
  <c r="P223" i="3" s="1"/>
  <c r="G57" i="3"/>
  <c r="L57" i="3"/>
  <c r="E57" i="3"/>
  <c r="J57" i="3"/>
  <c r="O57" i="3"/>
  <c r="T365" i="3"/>
  <c r="K159" i="3"/>
  <c r="L205" i="3"/>
  <c r="O153" i="3"/>
  <c r="L170" i="3"/>
  <c r="J349" i="3"/>
  <c r="X144" i="3"/>
  <c r="Y144" i="3" s="1"/>
  <c r="Z144" i="3" s="1"/>
  <c r="AA144" i="3" s="1"/>
  <c r="X134" i="3"/>
  <c r="Y134" i="3" s="1"/>
  <c r="Z134" i="3" s="1"/>
  <c r="AA134" i="3" s="1"/>
  <c r="AC134" i="3" s="1"/>
  <c r="AD134" i="3" s="1"/>
  <c r="AE134" i="3" s="1"/>
  <c r="AF134" i="3" s="1"/>
  <c r="AH134" i="3" s="1"/>
  <c r="AI134" i="3" s="1"/>
  <c r="AJ134" i="3" s="1"/>
  <c r="AK134" i="3" s="1"/>
  <c r="K368" i="3"/>
  <c r="K311" i="3"/>
  <c r="J311" i="3"/>
  <c r="Z307" i="3"/>
  <c r="Z308" i="3" s="1"/>
  <c r="K339" i="3"/>
  <c r="H332" i="3"/>
  <c r="F311" i="3"/>
  <c r="F27" i="3"/>
  <c r="F224" i="3" s="1"/>
  <c r="W237" i="3"/>
  <c r="R322" i="3"/>
  <c r="M47" i="3"/>
  <c r="I298" i="3"/>
  <c r="W26" i="3"/>
  <c r="E140" i="3"/>
  <c r="O159" i="3"/>
  <c r="W294" i="3"/>
  <c r="AB294" i="3" s="1"/>
  <c r="AG294" i="3" s="1"/>
  <c r="AL294" i="3" s="1"/>
  <c r="AQ294" i="3" s="1"/>
  <c r="AV294" i="3" s="1"/>
  <c r="F336" i="3"/>
  <c r="F368" i="3" s="1"/>
  <c r="AU209" i="3"/>
  <c r="AV209" i="3" s="1"/>
  <c r="V205" i="3"/>
  <c r="R321" i="3"/>
  <c r="R23" i="3"/>
  <c r="R24" i="3" s="1"/>
  <c r="O349" i="3"/>
  <c r="M226" i="3"/>
  <c r="M266" i="3"/>
  <c r="L171" i="3"/>
  <c r="L166" i="3" s="1"/>
  <c r="Q171" i="3"/>
  <c r="Q166" i="3" s="1"/>
  <c r="X130" i="3"/>
  <c r="Y130" i="3" s="1"/>
  <c r="Z130" i="3" s="1"/>
  <c r="AA130" i="3" s="1"/>
  <c r="AC130" i="3" s="1"/>
  <c r="AD130" i="3" s="1"/>
  <c r="AE130" i="3" s="1"/>
  <c r="AF130" i="3" s="1"/>
  <c r="AH130" i="3" s="1"/>
  <c r="AI130" i="3" s="1"/>
  <c r="AJ130" i="3" s="1"/>
  <c r="AK130" i="3" s="1"/>
  <c r="D35" i="3"/>
  <c r="D223" i="3"/>
  <c r="AG325" i="3"/>
  <c r="U365" i="3"/>
  <c r="V322" i="3"/>
  <c r="V365" i="3" s="1"/>
  <c r="L157" i="3"/>
  <c r="H333" i="3"/>
  <c r="E154" i="3"/>
  <c r="E149" i="3" s="1"/>
  <c r="K298" i="3"/>
  <c r="H297" i="3"/>
  <c r="R211" i="3"/>
  <c r="X304" i="3"/>
  <c r="Q202" i="3"/>
  <c r="M359" i="3"/>
  <c r="W347" i="3"/>
  <c r="T170" i="3"/>
  <c r="U311" i="3"/>
  <c r="V321" i="3"/>
  <c r="V311" i="3" s="1"/>
  <c r="F35" i="3"/>
  <c r="S153" i="3"/>
  <c r="X153" i="3" s="1"/>
  <c r="AC153" i="3" s="1"/>
  <c r="AH153" i="3" s="1"/>
  <c r="AM153" i="3" s="1"/>
  <c r="AR153" i="3" s="1"/>
  <c r="X136" i="3"/>
  <c r="Y136" i="3" s="1"/>
  <c r="Z136" i="3" s="1"/>
  <c r="AA136" i="3" s="1"/>
  <c r="AC136" i="3" s="1"/>
  <c r="AD136" i="3" s="1"/>
  <c r="AE136" i="3" s="1"/>
  <c r="AF136" i="3" s="1"/>
  <c r="AH136" i="3" s="1"/>
  <c r="AI136" i="3" s="1"/>
  <c r="AJ136" i="3" s="1"/>
  <c r="AK136" i="3" s="1"/>
  <c r="X128" i="3"/>
  <c r="Y128" i="3" s="1"/>
  <c r="Z128" i="3" s="1"/>
  <c r="AA128" i="3" s="1"/>
  <c r="AC128" i="3" s="1"/>
  <c r="AD128" i="3" s="1"/>
  <c r="AE128" i="3" s="1"/>
  <c r="AF128" i="3" s="1"/>
  <c r="AH128" i="3" s="1"/>
  <c r="AI128" i="3" s="1"/>
  <c r="AJ128" i="3" s="1"/>
  <c r="AK128" i="3" s="1"/>
  <c r="X124" i="3"/>
  <c r="Y124" i="3" s="1"/>
  <c r="Z124" i="3" s="1"/>
  <c r="AA124" i="3" s="1"/>
  <c r="AC124" i="3" s="1"/>
  <c r="AD124" i="3" s="1"/>
  <c r="AE124" i="3" s="1"/>
  <c r="AF124" i="3" s="1"/>
  <c r="AH124" i="3" s="1"/>
  <c r="AI124" i="3" s="1"/>
  <c r="AJ124" i="3" s="1"/>
  <c r="AK124" i="3" s="1"/>
  <c r="X122" i="3"/>
  <c r="Y122" i="3" s="1"/>
  <c r="Z122" i="3" s="1"/>
  <c r="AA122" i="3" s="1"/>
  <c r="AC122" i="3" s="1"/>
  <c r="AD122" i="3" s="1"/>
  <c r="AE122" i="3" s="1"/>
  <c r="AF122" i="3" s="1"/>
  <c r="AH122" i="3" s="1"/>
  <c r="AI122" i="3" s="1"/>
  <c r="AJ122" i="3" s="1"/>
  <c r="AK122" i="3" s="1"/>
  <c r="X112" i="3"/>
  <c r="X110" i="3"/>
  <c r="X106" i="3"/>
  <c r="X104" i="3"/>
  <c r="U298" i="3"/>
  <c r="G170" i="3"/>
  <c r="K57" i="3"/>
  <c r="D57" i="3"/>
  <c r="I57" i="3"/>
  <c r="AG26" i="3"/>
  <c r="AB325" i="3"/>
  <c r="W344" i="3"/>
  <c r="U24" i="3"/>
  <c r="U25" i="3" s="1"/>
  <c r="U223" i="3" s="1"/>
  <c r="Q159" i="3"/>
  <c r="X86" i="3"/>
  <c r="D27" i="3"/>
  <c r="D224" i="3" s="1"/>
  <c r="O298" i="3"/>
  <c r="S155" i="3"/>
  <c r="N24" i="3"/>
  <c r="N25" i="3" s="1"/>
  <c r="N223" i="3" s="1"/>
  <c r="O140" i="3"/>
  <c r="G205" i="3"/>
  <c r="D54" i="3"/>
  <c r="G54" i="3"/>
  <c r="D140" i="3"/>
  <c r="H148" i="3"/>
  <c r="I154" i="3"/>
  <c r="I149" i="3" s="1"/>
  <c r="M148" i="3"/>
  <c r="N140" i="3"/>
  <c r="R148" i="3"/>
  <c r="M26" i="3"/>
  <c r="AL26" i="3"/>
  <c r="AQ26" i="3"/>
  <c r="AS235" i="3"/>
  <c r="AR237" i="3"/>
  <c r="T295" i="3"/>
  <c r="T297" i="3" s="1"/>
  <c r="T312" i="3" s="1"/>
  <c r="Q170" i="3"/>
  <c r="E339" i="3"/>
  <c r="P153" i="3"/>
  <c r="S170" i="3"/>
  <c r="AB26" i="3"/>
  <c r="S308" i="3"/>
  <c r="D234" i="3"/>
  <c r="AC304" i="3"/>
  <c r="AA308" i="3"/>
  <c r="R359" i="3"/>
  <c r="I234" i="3"/>
  <c r="Q308" i="3"/>
  <c r="Q236" i="3"/>
  <c r="Q235" i="3" s="1"/>
  <c r="M231" i="3"/>
  <c r="V234" i="3"/>
  <c r="V233" i="3"/>
  <c r="AK307" i="3"/>
  <c r="AF308" i="3"/>
  <c r="AB282" i="3"/>
  <c r="G35" i="3"/>
  <c r="G223" i="3"/>
  <c r="G27" i="3"/>
  <c r="K170" i="3"/>
  <c r="K171" i="3"/>
  <c r="H34" i="3"/>
  <c r="AD303" i="3"/>
  <c r="Y304" i="3"/>
  <c r="AB46" i="3"/>
  <c r="E35" i="3"/>
  <c r="E36" i="3" s="1"/>
  <c r="E223" i="3"/>
  <c r="K234" i="3"/>
  <c r="G16" i="31"/>
  <c r="D42" i="31"/>
  <c r="F234" i="3"/>
  <c r="F233" i="3"/>
  <c r="AC281" i="3"/>
  <c r="AD281" i="3" s="1"/>
  <c r="AE281" i="3" s="1"/>
  <c r="AF281" i="3" s="1"/>
  <c r="AH281" i="3" s="1"/>
  <c r="AI281" i="3" s="1"/>
  <c r="AJ281" i="3" s="1"/>
  <c r="AK281" i="3" s="1"/>
  <c r="AM281" i="3" s="1"/>
  <c r="AN281" i="3" s="1"/>
  <c r="AO281" i="3" s="1"/>
  <c r="AP281" i="3" s="1"/>
  <c r="AB281" i="3"/>
  <c r="S183" i="3"/>
  <c r="S188" i="3" s="1"/>
  <c r="M227" i="3"/>
  <c r="H337" i="3"/>
  <c r="H344" i="3"/>
  <c r="L298" i="3"/>
  <c r="G298" i="3"/>
  <c r="E27" i="3"/>
  <c r="E224" i="3" s="1"/>
  <c r="T304" i="3"/>
  <c r="S27" i="3"/>
  <c r="S224" i="3" s="1"/>
  <c r="AA209" i="3"/>
  <c r="AB209" i="3" s="1"/>
  <c r="X288" i="3"/>
  <c r="Y288" i="3" s="1"/>
  <c r="Z288" i="3" s="1"/>
  <c r="AA288" i="3" s="1"/>
  <c r="AC288" i="3" s="1"/>
  <c r="AD288" i="3" s="1"/>
  <c r="AE288" i="3" s="1"/>
  <c r="AF288" i="3" s="1"/>
  <c r="T57" i="3"/>
  <c r="S57" i="3"/>
  <c r="G183" i="3"/>
  <c r="G188" i="3" s="1"/>
  <c r="M228" i="3"/>
  <c r="P154" i="3"/>
  <c r="W278" i="3"/>
  <c r="W281" i="3"/>
  <c r="T311" i="3"/>
  <c r="R231" i="3"/>
  <c r="AC46" i="3"/>
  <c r="AH46" i="3" s="1"/>
  <c r="AM46" i="3" s="1"/>
  <c r="AR46" i="3" s="1"/>
  <c r="AB218" i="3"/>
  <c r="AA207" i="3" s="1"/>
  <c r="W348" i="3"/>
  <c r="F324" i="3"/>
  <c r="G324" i="3" s="1"/>
  <c r="F341" i="3"/>
  <c r="G341" i="3" s="1"/>
  <c r="W46" i="3"/>
  <c r="W47" i="3" s="1"/>
  <c r="T171" i="3"/>
  <c r="T172" i="3" s="1"/>
  <c r="E29" i="31"/>
  <c r="E42" i="31" s="1"/>
  <c r="Q298" i="3"/>
  <c r="R276" i="3"/>
  <c r="R284" i="3" s="1"/>
  <c r="N311" i="3"/>
  <c r="M276" i="3"/>
  <c r="M284" i="3" s="1"/>
  <c r="P140" i="3"/>
  <c r="H266" i="3"/>
  <c r="X161" i="3"/>
  <c r="Y161" i="3" s="1"/>
  <c r="N54" i="3"/>
  <c r="F54" i="3"/>
  <c r="S35" i="3"/>
  <c r="P57" i="3"/>
  <c r="P54" i="3"/>
  <c r="J12" i="29"/>
  <c r="K12" i="29" s="1"/>
  <c r="AB250" i="3"/>
  <c r="W250" i="3"/>
  <c r="AQ325" i="3"/>
  <c r="W325" i="3"/>
  <c r="N170" i="3"/>
  <c r="N171" i="3"/>
  <c r="N166" i="3" s="1"/>
  <c r="Q155" i="3"/>
  <c r="H222" i="3"/>
  <c r="H227" i="3"/>
  <c r="E233" i="3"/>
  <c r="E234" i="3"/>
  <c r="I165" i="3"/>
  <c r="N159" i="3"/>
  <c r="I159" i="3"/>
  <c r="H211" i="3"/>
  <c r="L153" i="3"/>
  <c r="O171" i="3"/>
  <c r="O170" i="3"/>
  <c r="N312" i="3"/>
  <c r="N298" i="3"/>
  <c r="H198" i="3"/>
  <c r="H199" i="3" s="1"/>
  <c r="G199" i="3" s="1"/>
  <c r="O78" i="3"/>
  <c r="O54" i="3"/>
  <c r="O185" i="3" s="1"/>
  <c r="G154" i="3"/>
  <c r="G155" i="3" s="1"/>
  <c r="G153" i="3"/>
  <c r="AB243" i="3"/>
  <c r="Y74" i="3"/>
  <c r="P27" i="3"/>
  <c r="P224" i="3" s="1"/>
  <c r="P35" i="3"/>
  <c r="P36" i="3" s="1"/>
  <c r="Q205" i="3"/>
  <c r="H321" i="3"/>
  <c r="H325" i="3"/>
  <c r="H345" i="3"/>
  <c r="H350" i="3"/>
  <c r="L199" i="3"/>
  <c r="K54" i="3"/>
  <c r="M39" i="3"/>
  <c r="AL243" i="3"/>
  <c r="AI74" i="3"/>
  <c r="AK209" i="3"/>
  <c r="AL209" i="3" s="1"/>
  <c r="AL325" i="3"/>
  <c r="AF209" i="3"/>
  <c r="AG209" i="3" s="1"/>
  <c r="Y307" i="3"/>
  <c r="AD307" i="3" s="1"/>
  <c r="T308" i="3"/>
  <c r="U159" i="3"/>
  <c r="P159" i="3"/>
  <c r="P165" i="3"/>
  <c r="Q233" i="3"/>
  <c r="Q234" i="3"/>
  <c r="F342" i="3"/>
  <c r="G342" i="3" s="1"/>
  <c r="E349" i="3"/>
  <c r="S171" i="3"/>
  <c r="J165" i="3"/>
  <c r="J170" i="3" s="1"/>
  <c r="N57" i="3"/>
  <c r="F57" i="3"/>
  <c r="V74" i="3"/>
  <c r="AH307" i="3"/>
  <c r="X262" i="3"/>
  <c r="X324" i="3"/>
  <c r="Y278" i="3"/>
  <c r="R199" i="3"/>
  <c r="Q199" i="3" s="1"/>
  <c r="AB198" i="3"/>
  <c r="AG198" i="3" s="1"/>
  <c r="AL198" i="3" s="1"/>
  <c r="AQ198" i="3" s="1"/>
  <c r="AV198" i="3" s="1"/>
  <c r="U346" i="3"/>
  <c r="R34" i="3"/>
  <c r="P323" i="3"/>
  <c r="T146" i="3"/>
  <c r="X146" i="3" s="1"/>
  <c r="Y146" i="3" s="1"/>
  <c r="Z146" i="3" s="1"/>
  <c r="T148" i="3"/>
  <c r="S159" i="3"/>
  <c r="G237" i="3"/>
  <c r="X308" i="3"/>
  <c r="H330" i="3"/>
  <c r="H346" i="3"/>
  <c r="P78" i="3"/>
  <c r="E311" i="3"/>
  <c r="J298" i="3"/>
  <c r="W262" i="3"/>
  <c r="M211" i="3"/>
  <c r="AG282" i="3"/>
  <c r="W236" i="3"/>
  <c r="AB33" i="3"/>
  <c r="Y240" i="3"/>
  <c r="Y244" i="3"/>
  <c r="Y246" i="3"/>
  <c r="Y252" i="3"/>
  <c r="W338" i="3"/>
  <c r="X267" i="3"/>
  <c r="W32" i="3"/>
  <c r="U324" i="3"/>
  <c r="V324" i="3" s="1"/>
  <c r="M23" i="3"/>
  <c r="M24" i="3" s="1"/>
  <c r="M25" i="3" s="1"/>
  <c r="Q153" i="3"/>
  <c r="U304" i="3"/>
  <c r="Z303" i="3"/>
  <c r="AC283" i="3"/>
  <c r="AD283" i="3" s="1"/>
  <c r="AE283" i="3" s="1"/>
  <c r="AF283" i="3" s="1"/>
  <c r="T339" i="3"/>
  <c r="AP209" i="3"/>
  <c r="AQ209" i="3" s="1"/>
  <c r="AB193" i="3"/>
  <c r="X305" i="3"/>
  <c r="Y305" i="3" s="1"/>
  <c r="Z305" i="3" s="1"/>
  <c r="AA305" i="3" s="1"/>
  <c r="AC305" i="3" s="1"/>
  <c r="AD305" i="3" s="1"/>
  <c r="AE305" i="3" s="1"/>
  <c r="AF305" i="3" s="1"/>
  <c r="AH305" i="3" s="1"/>
  <c r="AI305" i="3" s="1"/>
  <c r="AJ305" i="3" s="1"/>
  <c r="AK305" i="3" s="1"/>
  <c r="AM305" i="3" s="1"/>
  <c r="AN305" i="3" s="1"/>
  <c r="AO305" i="3" s="1"/>
  <c r="AP305" i="3" s="1"/>
  <c r="AR305" i="3" s="1"/>
  <c r="AS305" i="3" s="1"/>
  <c r="AT305" i="3" s="1"/>
  <c r="AU305" i="3" s="1"/>
  <c r="X313" i="3"/>
  <c r="Y313" i="3" s="1"/>
  <c r="Z313" i="3" s="1"/>
  <c r="AA313" i="3" s="1"/>
  <c r="AC313" i="3" s="1"/>
  <c r="AD313" i="3" s="1"/>
  <c r="AE313" i="3" s="1"/>
  <c r="AF313" i="3" s="1"/>
  <c r="AH313" i="3" s="1"/>
  <c r="AI313" i="3" s="1"/>
  <c r="AJ313" i="3" s="1"/>
  <c r="AK313" i="3" s="1"/>
  <c r="AM313" i="3" s="1"/>
  <c r="AN313" i="3" s="1"/>
  <c r="AO313" i="3" s="1"/>
  <c r="AP313" i="3" s="1"/>
  <c r="AR313" i="3" s="1"/>
  <c r="AS313" i="3" s="1"/>
  <c r="AT313" i="3" s="1"/>
  <c r="AU313" i="3" s="1"/>
  <c r="M34" i="3"/>
  <c r="Q57" i="3"/>
  <c r="U336" i="3"/>
  <c r="V336" i="3" s="1"/>
  <c r="V368" i="3" s="1"/>
  <c r="J16" i="29"/>
  <c r="K16" i="29" s="1"/>
  <c r="J8" i="29"/>
  <c r="K8" i="29" s="1"/>
  <c r="J13" i="29"/>
  <c r="K13" i="29" s="1"/>
  <c r="J9" i="29"/>
  <c r="K9" i="29" s="1"/>
  <c r="J5" i="29"/>
  <c r="K5" i="29" s="1"/>
  <c r="J10" i="29"/>
  <c r="K10" i="29" s="1"/>
  <c r="J14" i="29"/>
  <c r="K14" i="29" s="1"/>
  <c r="J6" i="29"/>
  <c r="K6" i="29" s="1"/>
  <c r="J15" i="29"/>
  <c r="K15" i="29" s="1"/>
  <c r="J11" i="29"/>
  <c r="K11" i="29" s="1"/>
  <c r="J7" i="29"/>
  <c r="K7" i="29" s="1"/>
  <c r="Z177" i="3"/>
  <c r="S311" i="3"/>
  <c r="R266" i="3"/>
  <c r="N172" i="3"/>
  <c r="K223" i="3"/>
  <c r="K35" i="3"/>
  <c r="K27" i="3"/>
  <c r="J186" i="3"/>
  <c r="J183" i="3"/>
  <c r="J188" i="3" s="1"/>
  <c r="R297" i="3"/>
  <c r="AC268" i="3"/>
  <c r="AD268" i="3" s="1"/>
  <c r="AE268" i="3" s="1"/>
  <c r="AF268" i="3" s="1"/>
  <c r="AB268" i="3"/>
  <c r="K183" i="3"/>
  <c r="K188" i="3" s="1"/>
  <c r="O71" i="3"/>
  <c r="T186" i="3"/>
  <c r="AH22" i="3"/>
  <c r="M222" i="3"/>
  <c r="J233" i="3"/>
  <c r="L237" i="3"/>
  <c r="D166" i="3"/>
  <c r="AL282" i="3"/>
  <c r="AM282" i="3"/>
  <c r="AN282" i="3" s="1"/>
  <c r="AO282" i="3" s="1"/>
  <c r="AP282" i="3" s="1"/>
  <c r="AP46" i="3"/>
  <c r="AU46" i="3" s="1"/>
  <c r="J223" i="3"/>
  <c r="J35" i="3"/>
  <c r="AJ46" i="3"/>
  <c r="L331" i="3"/>
  <c r="M331" i="3" s="1"/>
  <c r="L326" i="3"/>
  <c r="M326" i="3" s="1"/>
  <c r="L322" i="3"/>
  <c r="L365" i="3" s="1"/>
  <c r="J27" i="3"/>
  <c r="O27" i="3"/>
  <c r="O223" i="3"/>
  <c r="O35" i="3"/>
  <c r="L183" i="3"/>
  <c r="L188" i="3" s="1"/>
  <c r="L187" i="3"/>
  <c r="M293" i="3"/>
  <c r="M295" i="3" s="1"/>
  <c r="M297" i="3" s="1"/>
  <c r="E157" i="3"/>
  <c r="E171" i="3"/>
  <c r="E170" i="3"/>
  <c r="Q186" i="3"/>
  <c r="Q183" i="3"/>
  <c r="Q188" i="3" s="1"/>
  <c r="J34" i="31"/>
  <c r="F149" i="3"/>
  <c r="F155" i="3"/>
  <c r="D34" i="31"/>
  <c r="G8" i="31"/>
  <c r="O183" i="3"/>
  <c r="O188" i="3" s="1"/>
  <c r="H226" i="3"/>
  <c r="H24" i="3"/>
  <c r="H25" i="3" s="1"/>
  <c r="H228" i="3"/>
  <c r="H47" i="3"/>
  <c r="J149" i="3"/>
  <c r="E298" i="3"/>
  <c r="I311" i="3"/>
  <c r="H276" i="3"/>
  <c r="H284" i="3" s="1"/>
  <c r="J312" i="3"/>
  <c r="P183" i="3"/>
  <c r="P188" i="3" s="1"/>
  <c r="F186" i="3"/>
  <c r="F183" i="3"/>
  <c r="F188" i="3" s="1"/>
  <c r="M200" i="3"/>
  <c r="M201" i="3" s="1"/>
  <c r="I54" i="3"/>
  <c r="D153" i="3"/>
  <c r="D154" i="3"/>
  <c r="I153" i="3"/>
  <c r="I140" i="3"/>
  <c r="N153" i="3"/>
  <c r="N154" i="3"/>
  <c r="F171" i="3"/>
  <c r="F170" i="3"/>
  <c r="D187" i="3"/>
  <c r="D183" i="3"/>
  <c r="D188" i="3" s="1"/>
  <c r="AQ243" i="3"/>
  <c r="AO74" i="3"/>
  <c r="L27" i="3"/>
  <c r="L35" i="3"/>
  <c r="L54" i="3"/>
  <c r="E54" i="3"/>
  <c r="J54" i="3"/>
  <c r="J153" i="3"/>
  <c r="J140" i="3"/>
  <c r="O155" i="3"/>
  <c r="O149" i="3"/>
  <c r="AG243" i="3"/>
  <c r="AE74" i="3"/>
  <c r="AM303" i="3"/>
  <c r="AH304" i="3"/>
  <c r="AE326" i="3"/>
  <c r="AN46" i="3"/>
  <c r="AS46" i="3" s="1"/>
  <c r="AE33" i="3"/>
  <c r="AF33" i="3" s="1"/>
  <c r="AH33" i="3" s="1"/>
  <c r="AL213" i="3"/>
  <c r="AG218" i="3"/>
  <c r="AF207" i="3" s="1"/>
  <c r="AN326" i="3"/>
  <c r="Q336" i="3"/>
  <c r="R336" i="3" s="1"/>
  <c r="X296" i="3"/>
  <c r="Q330" i="3"/>
  <c r="R330" i="3" s="1"/>
  <c r="Q325" i="3"/>
  <c r="R325" i="3" s="1"/>
  <c r="T54" i="3"/>
  <c r="Q338" i="3"/>
  <c r="R338" i="3" s="1"/>
  <c r="L333" i="3"/>
  <c r="M333" i="3" s="1"/>
  <c r="L329" i="3"/>
  <c r="M329" i="3" s="1"/>
  <c r="L324" i="3"/>
  <c r="M324" i="3" s="1"/>
  <c r="X39" i="3"/>
  <c r="X314" i="3"/>
  <c r="Y314" i="3" s="1"/>
  <c r="Z314" i="3" s="1"/>
  <c r="AA314" i="3" s="1"/>
  <c r="AC314" i="3" s="1"/>
  <c r="AD314" i="3" s="1"/>
  <c r="AE314" i="3" s="1"/>
  <c r="AF314" i="3" s="1"/>
  <c r="AH314" i="3" s="1"/>
  <c r="AI314" i="3" s="1"/>
  <c r="AJ314" i="3" s="1"/>
  <c r="AK314" i="3" s="1"/>
  <c r="AM314" i="3" s="1"/>
  <c r="AN314" i="3" s="1"/>
  <c r="AO314" i="3" s="1"/>
  <c r="AP314" i="3" s="1"/>
  <c r="AR314" i="3" s="1"/>
  <c r="AS314" i="3" s="1"/>
  <c r="AT314" i="3" s="1"/>
  <c r="AU314" i="3" s="1"/>
  <c r="W292" i="3"/>
  <c r="R200" i="3"/>
  <c r="X231" i="3"/>
  <c r="Y231" i="3" s="1"/>
  <c r="Z231" i="3" s="1"/>
  <c r="AA231" i="3" s="1"/>
  <c r="AC231" i="3" s="1"/>
  <c r="AD231" i="3" s="1"/>
  <c r="AE231" i="3" s="1"/>
  <c r="AF231" i="3" s="1"/>
  <c r="AH231" i="3" s="1"/>
  <c r="AI231" i="3" s="1"/>
  <c r="AJ231" i="3" s="1"/>
  <c r="AK231" i="3" s="1"/>
  <c r="AM231" i="3" s="1"/>
  <c r="AN231" i="3" s="1"/>
  <c r="AO231" i="3" s="1"/>
  <c r="AP231" i="3" s="1"/>
  <c r="AR231" i="3" s="1"/>
  <c r="AS231" i="3" s="1"/>
  <c r="AT231" i="3" s="1"/>
  <c r="AU231" i="3" s="1"/>
  <c r="Q332" i="3"/>
  <c r="R332" i="3" s="1"/>
  <c r="Q327" i="3"/>
  <c r="R327" i="3" s="1"/>
  <c r="L347" i="3"/>
  <c r="M347" i="3" s="1"/>
  <c r="L345" i="3"/>
  <c r="M345" i="3" s="1"/>
  <c r="L343" i="3"/>
  <c r="M343" i="3" s="1"/>
  <c r="L341" i="3"/>
  <c r="M341" i="3" s="1"/>
  <c r="R337" i="3"/>
  <c r="R346" i="3"/>
  <c r="R344" i="3"/>
  <c r="R342" i="3"/>
  <c r="L350" i="3"/>
  <c r="M350" i="3" s="1"/>
  <c r="M337" i="3"/>
  <c r="U234" i="3"/>
  <c r="U233" i="3"/>
  <c r="T326" i="3"/>
  <c r="T24" i="3"/>
  <c r="U342" i="3"/>
  <c r="V342" i="3" s="1"/>
  <c r="T349" i="3"/>
  <c r="R333" i="3"/>
  <c r="R331" i="3"/>
  <c r="R329" i="3"/>
  <c r="R326" i="3"/>
  <c r="R324" i="3"/>
  <c r="P348" i="3"/>
  <c r="M332" i="3"/>
  <c r="M330" i="3"/>
  <c r="M327" i="3"/>
  <c r="M325" i="3"/>
  <c r="M323" i="3"/>
  <c r="M321" i="3"/>
  <c r="K348" i="3"/>
  <c r="L346" i="3"/>
  <c r="M346" i="3" s="1"/>
  <c r="L344" i="3"/>
  <c r="M344" i="3" s="1"/>
  <c r="L342" i="3"/>
  <c r="M342" i="3" s="1"/>
  <c r="X59" i="3"/>
  <c r="Q350" i="3"/>
  <c r="R350" i="3" s="1"/>
  <c r="R345" i="3"/>
  <c r="R343" i="3"/>
  <c r="R341" i="3"/>
  <c r="M338" i="3"/>
  <c r="M336" i="3"/>
  <c r="X175" i="3"/>
  <c r="U138" i="3"/>
  <c r="U107" i="3"/>
  <c r="Q54" i="3"/>
  <c r="U83" i="3"/>
  <c r="U52" i="3"/>
  <c r="S54" i="3"/>
  <c r="U323" i="3"/>
  <c r="V323" i="3" s="1"/>
  <c r="V366" i="3" s="1"/>
  <c r="T368" i="3"/>
  <c r="T298" i="3" l="1"/>
  <c r="L155" i="3"/>
  <c r="E155" i="3"/>
  <c r="O60" i="3"/>
  <c r="O64" i="3" s="1"/>
  <c r="H154" i="3"/>
  <c r="G149" i="3"/>
  <c r="G166" i="3"/>
  <c r="F339" i="3"/>
  <c r="I183" i="3"/>
  <c r="I188" i="3" s="1"/>
  <c r="I27" i="3"/>
  <c r="S40" i="3"/>
  <c r="S45" i="3" s="1"/>
  <c r="F60" i="3"/>
  <c r="F64" i="3" s="1"/>
  <c r="H200" i="3"/>
  <c r="H201" i="3" s="1"/>
  <c r="I35" i="3"/>
  <c r="G72" i="3"/>
  <c r="G73" i="3" s="1"/>
  <c r="F40" i="3"/>
  <c r="F45" i="3" s="1"/>
  <c r="D72" i="3"/>
  <c r="D73" i="3" s="1"/>
  <c r="G185" i="3"/>
  <c r="I36" i="3"/>
  <c r="Q172" i="3"/>
  <c r="K185" i="3"/>
  <c r="X365" i="3"/>
  <c r="P38" i="3"/>
  <c r="P43" i="3" s="1"/>
  <c r="D185" i="3"/>
  <c r="R154" i="3"/>
  <c r="D60" i="3"/>
  <c r="D64" i="3" s="1"/>
  <c r="L172" i="3"/>
  <c r="AE307" i="3"/>
  <c r="AJ307" i="3" s="1"/>
  <c r="AO307" i="3" s="1"/>
  <c r="AO308" i="3" s="1"/>
  <c r="D71" i="3"/>
  <c r="G336" i="3"/>
  <c r="G339" i="3" s="1"/>
  <c r="H298" i="3"/>
  <c r="AB288" i="3"/>
  <c r="R155" i="3"/>
  <c r="H155" i="3"/>
  <c r="R298" i="3"/>
  <c r="W322" i="3"/>
  <c r="W324" i="3"/>
  <c r="D40" i="3"/>
  <c r="D45" i="3" s="1"/>
  <c r="P72" i="3"/>
  <c r="V346" i="3"/>
  <c r="W346" i="3" s="1"/>
  <c r="AQ281" i="3"/>
  <c r="AR281" i="3"/>
  <c r="AS281" i="3" s="1"/>
  <c r="AT281" i="3" s="1"/>
  <c r="AU281" i="3" s="1"/>
  <c r="AV281" i="3" s="1"/>
  <c r="O72" i="3"/>
  <c r="O189" i="3" s="1"/>
  <c r="AG193" i="3"/>
  <c r="AL193" i="3" s="1"/>
  <c r="AQ193" i="3" s="1"/>
  <c r="AV193" i="3" s="1"/>
  <c r="N71" i="3"/>
  <c r="G60" i="3"/>
  <c r="G64" i="3" s="1"/>
  <c r="N27" i="3"/>
  <c r="AB47" i="3"/>
  <c r="AT235" i="3"/>
  <c r="AS237" i="3"/>
  <c r="I155" i="3"/>
  <c r="M154" i="3"/>
  <c r="M155" i="3" s="1"/>
  <c r="X311" i="3"/>
  <c r="Y311" i="3" s="1"/>
  <c r="Z311" i="3" s="1"/>
  <c r="AA311" i="3" s="1"/>
  <c r="AC311" i="3" s="1"/>
  <c r="AD311" i="3" s="1"/>
  <c r="AE311" i="3" s="1"/>
  <c r="AF311" i="3" s="1"/>
  <c r="AH311" i="3" s="1"/>
  <c r="AI311" i="3" s="1"/>
  <c r="AJ311" i="3" s="1"/>
  <c r="AK311" i="3" s="1"/>
  <c r="AM311" i="3" s="1"/>
  <c r="AN311" i="3" s="1"/>
  <c r="AO311" i="3" s="1"/>
  <c r="AP311" i="3" s="1"/>
  <c r="AR311" i="3" s="1"/>
  <c r="AS311" i="3" s="1"/>
  <c r="AT311" i="3" s="1"/>
  <c r="AU311" i="3" s="1"/>
  <c r="G71" i="3"/>
  <c r="N35" i="3"/>
  <c r="N183" i="3"/>
  <c r="N188" i="3" s="1"/>
  <c r="Y170" i="3"/>
  <c r="AD170" i="3" s="1"/>
  <c r="AI170" i="3" s="1"/>
  <c r="AN170" i="3" s="1"/>
  <c r="AS170" i="3" s="1"/>
  <c r="S172" i="3"/>
  <c r="AM304" i="3"/>
  <c r="AR303" i="3"/>
  <c r="AR304" i="3" s="1"/>
  <c r="AQ282" i="3"/>
  <c r="AR282" i="3"/>
  <c r="AS282" i="3" s="1"/>
  <c r="AT282" i="3" s="1"/>
  <c r="AU282" i="3" s="1"/>
  <c r="AV282" i="3" s="1"/>
  <c r="AG46" i="3"/>
  <c r="AG47" i="3" s="1"/>
  <c r="AL281" i="3"/>
  <c r="P71" i="3"/>
  <c r="AG281" i="3"/>
  <c r="X170" i="3"/>
  <c r="AC170" i="3" s="1"/>
  <c r="AH170" i="3" s="1"/>
  <c r="AM170" i="3" s="1"/>
  <c r="AR170" i="3" s="1"/>
  <c r="F38" i="3"/>
  <c r="F229" i="3"/>
  <c r="F36" i="3"/>
  <c r="D38" i="3"/>
  <c r="D229" i="3"/>
  <c r="D36" i="3"/>
  <c r="X346" i="3"/>
  <c r="E40" i="3"/>
  <c r="E45" i="3" s="1"/>
  <c r="X237" i="3"/>
  <c r="P40" i="3"/>
  <c r="P45" i="3" s="1"/>
  <c r="X233" i="3"/>
  <c r="X160" i="3"/>
  <c r="AP307" i="3"/>
  <c r="AK308" i="3"/>
  <c r="AG33" i="3"/>
  <c r="U349" i="3"/>
  <c r="P229" i="3"/>
  <c r="E29" i="37"/>
  <c r="E42" i="37" s="1"/>
  <c r="F16" i="37"/>
  <c r="G16" i="37" s="1"/>
  <c r="G349" i="3"/>
  <c r="AI303" i="3"/>
  <c r="AD304" i="3"/>
  <c r="K166" i="3"/>
  <c r="K172" i="3"/>
  <c r="G224" i="3"/>
  <c r="G40" i="3"/>
  <c r="G45" i="3" s="1"/>
  <c r="H324" i="3"/>
  <c r="H341" i="3"/>
  <c r="E38" i="3"/>
  <c r="E229" i="3"/>
  <c r="S38" i="3"/>
  <c r="S229" i="3"/>
  <c r="S36" i="3"/>
  <c r="P149" i="3"/>
  <c r="P155" i="3"/>
  <c r="M322" i="3"/>
  <c r="F349" i="3"/>
  <c r="H342" i="3"/>
  <c r="P60" i="3"/>
  <c r="P64" i="3" s="1"/>
  <c r="G38" i="3"/>
  <c r="G229" i="3"/>
  <c r="G36" i="3"/>
  <c r="M35" i="3"/>
  <c r="M36" i="3" s="1"/>
  <c r="M223" i="3"/>
  <c r="M27" i="3"/>
  <c r="M224" i="3" s="1"/>
  <c r="P170" i="3"/>
  <c r="P157" i="3"/>
  <c r="P171" i="3"/>
  <c r="I171" i="3"/>
  <c r="I157" i="3"/>
  <c r="I170" i="3"/>
  <c r="F71" i="3"/>
  <c r="Y267" i="3"/>
  <c r="X338" i="3"/>
  <c r="Z252" i="3"/>
  <c r="Z246" i="3"/>
  <c r="Z240" i="3"/>
  <c r="Z244" i="3"/>
  <c r="G234" i="3"/>
  <c r="G235" i="3"/>
  <c r="G233" i="3"/>
  <c r="X145" i="3"/>
  <c r="U27" i="3"/>
  <c r="Y262" i="3"/>
  <c r="Z262" i="3" s="1"/>
  <c r="K71" i="3"/>
  <c r="K72" i="3"/>
  <c r="N72" i="3"/>
  <c r="W293" i="3"/>
  <c r="W295" i="3" s="1"/>
  <c r="N60" i="3"/>
  <c r="N64" i="3" s="1"/>
  <c r="F72" i="3"/>
  <c r="F189" i="3" s="1"/>
  <c r="Y308" i="3"/>
  <c r="U35" i="3"/>
  <c r="P185" i="3"/>
  <c r="Z278" i="3"/>
  <c r="Y324" i="3"/>
  <c r="AA211" i="3"/>
  <c r="AA32" i="3" s="1"/>
  <c r="AB207" i="3"/>
  <c r="AB211" i="3" s="1"/>
  <c r="N185" i="3"/>
  <c r="AE303" i="3"/>
  <c r="Z304" i="3"/>
  <c r="T154" i="3"/>
  <c r="T153" i="3"/>
  <c r="Y153" i="3" s="1"/>
  <c r="Y39" i="3"/>
  <c r="F185" i="3"/>
  <c r="U368" i="3"/>
  <c r="X368" i="3" s="1"/>
  <c r="U339" i="3"/>
  <c r="J29" i="31"/>
  <c r="J42" i="31" s="1"/>
  <c r="AH283" i="3"/>
  <c r="AI283" i="3" s="1"/>
  <c r="AJ283" i="3" s="1"/>
  <c r="AK283" i="3" s="1"/>
  <c r="AG283" i="3"/>
  <c r="Q323" i="3"/>
  <c r="R323" i="3" s="1"/>
  <c r="P366" i="3"/>
  <c r="AM307" i="3"/>
  <c r="AH308" i="3"/>
  <c r="J171" i="3"/>
  <c r="J157" i="3"/>
  <c r="X93" i="3"/>
  <c r="K60" i="3"/>
  <c r="K64" i="3" s="1"/>
  <c r="O166" i="3"/>
  <c r="O172" i="3"/>
  <c r="K18" i="29"/>
  <c r="K19" i="29" s="1"/>
  <c r="K20" i="29" s="1"/>
  <c r="K21" i="29" s="1"/>
  <c r="AA177" i="3"/>
  <c r="X97" i="3"/>
  <c r="Y98" i="3"/>
  <c r="R339" i="3"/>
  <c r="H35" i="3"/>
  <c r="H223" i="3"/>
  <c r="H27" i="3"/>
  <c r="U131" i="3"/>
  <c r="M339" i="3"/>
  <c r="M368" i="3"/>
  <c r="AB192" i="3"/>
  <c r="AB194" i="3" s="1"/>
  <c r="W195" i="3"/>
  <c r="Y237" i="3"/>
  <c r="Y346" i="3"/>
  <c r="W22" i="3"/>
  <c r="L234" i="3"/>
  <c r="L233" i="3"/>
  <c r="X103" i="3"/>
  <c r="Y104" i="3"/>
  <c r="Q13" i="3"/>
  <c r="Q368" i="3" s="1"/>
  <c r="Q71" i="3"/>
  <c r="Q60" i="3"/>
  <c r="Q64" i="3" s="1"/>
  <c r="Q72" i="3"/>
  <c r="U89" i="3"/>
  <c r="U113" i="3"/>
  <c r="U326" i="3"/>
  <c r="V326" i="3" s="1"/>
  <c r="X118" i="3"/>
  <c r="R201" i="3"/>
  <c r="Y296" i="3"/>
  <c r="W194" i="3"/>
  <c r="W200" i="3" s="1"/>
  <c r="AB200" i="3" s="1"/>
  <c r="AG200" i="3" s="1"/>
  <c r="AL200" i="3" s="1"/>
  <c r="AQ200" i="3" s="1"/>
  <c r="AV200" i="3" s="1"/>
  <c r="AI33" i="3"/>
  <c r="AJ33" i="3" s="1"/>
  <c r="AK33" i="3" s="1"/>
  <c r="AM33" i="3" s="1"/>
  <c r="E72" i="3"/>
  <c r="E185" i="3"/>
  <c r="E71" i="3"/>
  <c r="E60" i="3"/>
  <c r="E64" i="3" s="1"/>
  <c r="Y160" i="3"/>
  <c r="Z161" i="3"/>
  <c r="AI307" i="3"/>
  <c r="AD308" i="3"/>
  <c r="P320" i="3"/>
  <c r="P334" i="3" s="1"/>
  <c r="AH268" i="3"/>
  <c r="AI268" i="3" s="1"/>
  <c r="AJ268" i="3" s="1"/>
  <c r="AK268" i="3" s="1"/>
  <c r="AG268" i="3"/>
  <c r="L235" i="3"/>
  <c r="U125" i="3"/>
  <c r="V107" i="3"/>
  <c r="X79" i="3"/>
  <c r="U55" i="3"/>
  <c r="U119" i="3"/>
  <c r="X58" i="3"/>
  <c r="Y59" i="3"/>
  <c r="L348" i="3"/>
  <c r="L349" i="3" s="1"/>
  <c r="K349" i="3"/>
  <c r="Q348" i="3"/>
  <c r="Q349" i="3" s="1"/>
  <c r="P349" i="3"/>
  <c r="T25" i="3"/>
  <c r="T183" i="3"/>
  <c r="T188" i="3" s="1"/>
  <c r="W199" i="3"/>
  <c r="AQ213" i="3"/>
  <c r="AL218" i="3"/>
  <c r="AK207" i="3" s="1"/>
  <c r="AH288" i="3"/>
  <c r="AI288" i="3" s="1"/>
  <c r="AJ288" i="3" s="1"/>
  <c r="AK288" i="3" s="1"/>
  <c r="AG288" i="3"/>
  <c r="J185" i="3"/>
  <c r="J72" i="3"/>
  <c r="J71" i="3"/>
  <c r="J60" i="3"/>
  <c r="J64" i="3" s="1"/>
  <c r="L224" i="3"/>
  <c r="L40" i="3"/>
  <c r="L45" i="3" s="1"/>
  <c r="N149" i="3"/>
  <c r="N155" i="3"/>
  <c r="D149" i="3"/>
  <c r="D155" i="3"/>
  <c r="I185" i="3"/>
  <c r="I72" i="3"/>
  <c r="I71" i="3"/>
  <c r="I60" i="3"/>
  <c r="I64" i="3" s="1"/>
  <c r="O40" i="3"/>
  <c r="O45" i="3" s="1"/>
  <c r="O224" i="3"/>
  <c r="AO46" i="3"/>
  <c r="AT46" i="3" s="1"/>
  <c r="AL46" i="3"/>
  <c r="J38" i="3"/>
  <c r="J36" i="3"/>
  <c r="J229" i="3"/>
  <c r="AH326" i="3"/>
  <c r="U366" i="3"/>
  <c r="U148" i="3"/>
  <c r="U153" i="3" s="1"/>
  <c r="Z153" i="3" s="1"/>
  <c r="S71" i="3"/>
  <c r="X71" i="3" s="1"/>
  <c r="AC71" i="3" s="1"/>
  <c r="AH71" i="3" s="1"/>
  <c r="AM71" i="3" s="1"/>
  <c r="AR71" i="3" s="1"/>
  <c r="S185" i="3"/>
  <c r="S72" i="3"/>
  <c r="S60" i="3"/>
  <c r="X174" i="3"/>
  <c r="Y175" i="3"/>
  <c r="Y233" i="3"/>
  <c r="Z233" i="3" s="1"/>
  <c r="AA233" i="3" s="1"/>
  <c r="AC233" i="3" s="1"/>
  <c r="AD233" i="3" s="1"/>
  <c r="AE233" i="3" s="1"/>
  <c r="AF233" i="3" s="1"/>
  <c r="AH233" i="3" s="1"/>
  <c r="AI233" i="3" s="1"/>
  <c r="AJ233" i="3" s="1"/>
  <c r="AK233" i="3" s="1"/>
  <c r="AM233" i="3" s="1"/>
  <c r="AN233" i="3" s="1"/>
  <c r="AO233" i="3" s="1"/>
  <c r="AP233" i="3" s="1"/>
  <c r="AR233" i="3" s="1"/>
  <c r="AS233" i="3" s="1"/>
  <c r="AT233" i="3" s="1"/>
  <c r="AU233" i="3" s="1"/>
  <c r="X292" i="3"/>
  <c r="T71" i="3"/>
  <c r="Y71" i="3" s="1"/>
  <c r="AD71" i="3" s="1"/>
  <c r="AI71" i="3" s="1"/>
  <c r="AN71" i="3" s="1"/>
  <c r="AS71" i="3" s="1"/>
  <c r="T185" i="3"/>
  <c r="T72" i="3"/>
  <c r="T60" i="3"/>
  <c r="T64" i="3" s="1"/>
  <c r="Q339" i="3"/>
  <c r="L72" i="3"/>
  <c r="L185" i="3"/>
  <c r="L71" i="3"/>
  <c r="I40" i="3"/>
  <c r="I45" i="3" s="1"/>
  <c r="I224" i="3"/>
  <c r="M298" i="3"/>
  <c r="O38" i="3"/>
  <c r="O36" i="3"/>
  <c r="O229" i="3"/>
  <c r="J224" i="3"/>
  <c r="J40" i="3"/>
  <c r="J45" i="3" s="1"/>
  <c r="U186" i="3"/>
  <c r="K40" i="3"/>
  <c r="K45" i="3" s="1"/>
  <c r="K224" i="3"/>
  <c r="V101" i="3"/>
  <c r="X99" i="3"/>
  <c r="Y100" i="3"/>
  <c r="Z100" i="3" s="1"/>
  <c r="X142" i="3"/>
  <c r="X133" i="3"/>
  <c r="U53" i="3"/>
  <c r="V83" i="3"/>
  <c r="X116" i="3"/>
  <c r="X163" i="3"/>
  <c r="G368" i="3"/>
  <c r="Y234" i="3"/>
  <c r="Z234" i="3" s="1"/>
  <c r="AA234" i="3" s="1"/>
  <c r="AC234" i="3" s="1"/>
  <c r="AD234" i="3" s="1"/>
  <c r="AE234" i="3" s="1"/>
  <c r="AF234" i="3" s="1"/>
  <c r="AH234" i="3" s="1"/>
  <c r="AI234" i="3" s="1"/>
  <c r="AJ234" i="3" s="1"/>
  <c r="AK234" i="3" s="1"/>
  <c r="AM234" i="3" s="1"/>
  <c r="AN234" i="3" s="1"/>
  <c r="AO234" i="3" s="1"/>
  <c r="AP234" i="3" s="1"/>
  <c r="AR234" i="3" s="1"/>
  <c r="AS234" i="3" s="1"/>
  <c r="AT234" i="3" s="1"/>
  <c r="AU234" i="3" s="1"/>
  <c r="X111" i="3"/>
  <c r="Y112" i="3"/>
  <c r="W29" i="3"/>
  <c r="V295" i="3"/>
  <c r="Y365" i="3"/>
  <c r="AF211" i="3"/>
  <c r="AG207" i="3"/>
  <c r="AG211" i="3" s="1"/>
  <c r="L229" i="3"/>
  <c r="L36" i="3"/>
  <c r="L38" i="3"/>
  <c r="F172" i="3"/>
  <c r="F166" i="3"/>
  <c r="L60" i="3"/>
  <c r="L64" i="3" s="1"/>
  <c r="E172" i="3"/>
  <c r="E166" i="3"/>
  <c r="K229" i="3"/>
  <c r="K36" i="3"/>
  <c r="K38" i="3"/>
  <c r="AE308" i="3" l="1"/>
  <c r="G189" i="3"/>
  <c r="D189" i="3"/>
  <c r="AL47" i="3"/>
  <c r="P44" i="3"/>
  <c r="M348" i="3"/>
  <c r="M349" i="3" s="1"/>
  <c r="O75" i="3"/>
  <c r="O76" i="3" s="1"/>
  <c r="AJ308" i="3"/>
  <c r="AT307" i="3"/>
  <c r="AT308" i="3" s="1"/>
  <c r="I229" i="3"/>
  <c r="I38" i="3"/>
  <c r="H336" i="3"/>
  <c r="H339" i="3" s="1"/>
  <c r="O73" i="3"/>
  <c r="P73" i="3"/>
  <c r="P75" i="3"/>
  <c r="P76" i="3" s="1"/>
  <c r="AB279" i="3"/>
  <c r="AM308" i="3"/>
  <c r="AR307" i="3"/>
  <c r="AR308" i="3" s="1"/>
  <c r="T155" i="3"/>
  <c r="F320" i="3"/>
  <c r="F334" i="3" s="1"/>
  <c r="F351" i="3" s="1"/>
  <c r="F44" i="3"/>
  <c r="F43" i="3"/>
  <c r="AQ218" i="3"/>
  <c r="AP207" i="3" s="1"/>
  <c r="AP211" i="3" s="1"/>
  <c r="AV213" i="3"/>
  <c r="AV218" i="3" s="1"/>
  <c r="AU207" i="3" s="1"/>
  <c r="AP308" i="3"/>
  <c r="AU307" i="3"/>
  <c r="AU308" i="3" s="1"/>
  <c r="D320" i="3"/>
  <c r="D334" i="3" s="1"/>
  <c r="D351" i="3" s="1"/>
  <c r="D353" i="3" s="1"/>
  <c r="D44" i="3"/>
  <c r="D43" i="3"/>
  <c r="N38" i="3"/>
  <c r="N36" i="3"/>
  <c r="O315" i="3" s="1"/>
  <c r="N229" i="3"/>
  <c r="S64" i="3"/>
  <c r="D42" i="37"/>
  <c r="AV46" i="3"/>
  <c r="AU235" i="3"/>
  <c r="AU237" i="3" s="1"/>
  <c r="AT237" i="3"/>
  <c r="N40" i="3"/>
  <c r="N45" i="3" s="1"/>
  <c r="N224" i="3"/>
  <c r="AC32" i="3"/>
  <c r="AA262" i="3"/>
  <c r="AB262" i="3" s="1"/>
  <c r="E25" i="37"/>
  <c r="F12" i="37"/>
  <c r="G12" i="37" s="1"/>
  <c r="F9" i="37"/>
  <c r="E22" i="37"/>
  <c r="AB32" i="3"/>
  <c r="S320" i="3"/>
  <c r="S334" i="3" s="1"/>
  <c r="S351" i="3" s="1"/>
  <c r="S44" i="3"/>
  <c r="S43" i="3"/>
  <c r="AN303" i="3"/>
  <c r="AI304" i="3"/>
  <c r="AD153" i="3"/>
  <c r="AI153" i="3" s="1"/>
  <c r="AN153" i="3" s="1"/>
  <c r="AS153" i="3" s="1"/>
  <c r="G320" i="3"/>
  <c r="G334" i="3" s="1"/>
  <c r="G351" i="3" s="1"/>
  <c r="G43" i="3"/>
  <c r="G44" i="3"/>
  <c r="H349" i="3"/>
  <c r="V165" i="3"/>
  <c r="AE153" i="3"/>
  <c r="AJ153" i="3" s="1"/>
  <c r="AO153" i="3" s="1"/>
  <c r="AT153" i="3" s="1"/>
  <c r="E320" i="3"/>
  <c r="E334" i="3" s="1"/>
  <c r="E351" i="3" s="1"/>
  <c r="E43" i="3"/>
  <c r="E44" i="3"/>
  <c r="M40" i="3"/>
  <c r="M45" i="3" s="1"/>
  <c r="J166" i="3"/>
  <c r="J172" i="3"/>
  <c r="X159" i="3"/>
  <c r="Y159" i="3" s="1"/>
  <c r="Z159" i="3" s="1"/>
  <c r="Z324" i="3"/>
  <c r="AA278" i="3"/>
  <c r="N73" i="3"/>
  <c r="N75" i="3"/>
  <c r="N76" i="3" s="1"/>
  <c r="U224" i="3"/>
  <c r="J22" i="31"/>
  <c r="Y338" i="3"/>
  <c r="Z267" i="3"/>
  <c r="P166" i="3"/>
  <c r="P172" i="3"/>
  <c r="P189" i="3"/>
  <c r="Y93" i="3"/>
  <c r="X87" i="3"/>
  <c r="K75" i="3"/>
  <c r="K76" i="3" s="1"/>
  <c r="K73" i="3"/>
  <c r="K189" i="3"/>
  <c r="Y145" i="3"/>
  <c r="AA244" i="3"/>
  <c r="AB244" i="3" s="1"/>
  <c r="AA240" i="3"/>
  <c r="AB240" i="3" s="1"/>
  <c r="AA246" i="3"/>
  <c r="AB246" i="3" s="1"/>
  <c r="AC229" i="3"/>
  <c r="F73" i="3"/>
  <c r="AL283" i="3"/>
  <c r="AM283" i="3"/>
  <c r="AN283" i="3" s="1"/>
  <c r="AO283" i="3" s="1"/>
  <c r="AP283" i="3" s="1"/>
  <c r="AJ303" i="3"/>
  <c r="AE304" i="3"/>
  <c r="AA251" i="3"/>
  <c r="J25" i="31"/>
  <c r="J38" i="31" s="1"/>
  <c r="U36" i="3"/>
  <c r="U38" i="3"/>
  <c r="U229" i="3"/>
  <c r="U240" i="3" s="1"/>
  <c r="U39" i="3" s="1"/>
  <c r="U40" i="3" s="1"/>
  <c r="R348" i="3"/>
  <c r="R349" i="3" s="1"/>
  <c r="N189" i="3"/>
  <c r="W326" i="3"/>
  <c r="Z39" i="3"/>
  <c r="I166" i="3"/>
  <c r="I172" i="3"/>
  <c r="M38" i="3"/>
  <c r="M229" i="3"/>
  <c r="X42" i="3"/>
  <c r="Y42" i="3" s="1"/>
  <c r="AC177" i="3"/>
  <c r="V52" i="3"/>
  <c r="V53" i="3" s="1"/>
  <c r="U57" i="3"/>
  <c r="U54" i="3"/>
  <c r="Z98" i="3"/>
  <c r="Y97" i="3"/>
  <c r="Y133" i="3"/>
  <c r="O44" i="3"/>
  <c r="O43" i="3"/>
  <c r="O320" i="3"/>
  <c r="O334" i="3" s="1"/>
  <c r="AN307" i="3"/>
  <c r="AI308" i="3"/>
  <c r="E73" i="3"/>
  <c r="E189" i="3"/>
  <c r="X121" i="3"/>
  <c r="H40" i="3"/>
  <c r="H45" i="3" s="1"/>
  <c r="H224" i="3"/>
  <c r="L44" i="3"/>
  <c r="L43" i="3"/>
  <c r="L320" i="3"/>
  <c r="L334" i="3" s="1"/>
  <c r="Z112" i="3"/>
  <c r="Y111" i="3"/>
  <c r="X115" i="3"/>
  <c r="Y116" i="3"/>
  <c r="V148" i="3"/>
  <c r="V153" i="3" s="1"/>
  <c r="AA153" i="3" s="1"/>
  <c r="AF153" i="3" s="1"/>
  <c r="AK153" i="3" s="1"/>
  <c r="AP153" i="3" s="1"/>
  <c r="AU153" i="3" s="1"/>
  <c r="V113" i="3"/>
  <c r="I73" i="3"/>
  <c r="M72" i="3"/>
  <c r="I75" i="3"/>
  <c r="I189" i="3"/>
  <c r="J75" i="3"/>
  <c r="J76" i="3" s="1"/>
  <c r="J73" i="3"/>
  <c r="J189" i="3"/>
  <c r="AK211" i="3"/>
  <c r="AL207" i="3"/>
  <c r="AL211" i="3" s="1"/>
  <c r="X199" i="3"/>
  <c r="X293" i="3" s="1"/>
  <c r="Z199" i="3"/>
  <c r="AA199" i="3"/>
  <c r="Y199" i="3"/>
  <c r="T35" i="3"/>
  <c r="T27" i="3"/>
  <c r="T189" i="3"/>
  <c r="T223" i="3"/>
  <c r="U56" i="3"/>
  <c r="Y79" i="3"/>
  <c r="AA80" i="3"/>
  <c r="Q73" i="3"/>
  <c r="Q75" i="3"/>
  <c r="Q76" i="3" s="1"/>
  <c r="R72" i="3"/>
  <c r="Y103" i="3"/>
  <c r="Z104" i="3"/>
  <c r="X91" i="3"/>
  <c r="AG192" i="3"/>
  <c r="AB195" i="3"/>
  <c r="X105" i="3"/>
  <c r="X107" i="3" s="1"/>
  <c r="Y106" i="3"/>
  <c r="V119" i="3"/>
  <c r="V55" i="3"/>
  <c r="X141" i="3"/>
  <c r="Y142" i="3"/>
  <c r="X135" i="3"/>
  <c r="X85" i="3"/>
  <c r="Y86" i="3"/>
  <c r="U154" i="3"/>
  <c r="U155" i="3" s="1"/>
  <c r="AM288" i="3"/>
  <c r="AN288" i="3" s="1"/>
  <c r="AO288" i="3" s="1"/>
  <c r="AP288" i="3" s="1"/>
  <c r="AL288" i="3"/>
  <c r="AN33" i="3"/>
  <c r="AO33" i="3" s="1"/>
  <c r="AP33" i="3" s="1"/>
  <c r="AR33" i="3" s="1"/>
  <c r="Z296" i="3"/>
  <c r="R13" i="3"/>
  <c r="Q309" i="3"/>
  <c r="AA309" i="3" s="1"/>
  <c r="AF309" i="3" s="1"/>
  <c r="AK309" i="3" s="1"/>
  <c r="AP309" i="3" s="1"/>
  <c r="AU309" i="3" s="1"/>
  <c r="Q310" i="3"/>
  <c r="AA310" i="3" s="1"/>
  <c r="AF310" i="3" s="1"/>
  <c r="AK310" i="3" s="1"/>
  <c r="AP310" i="3" s="1"/>
  <c r="AU310" i="3" s="1"/>
  <c r="Q303" i="3"/>
  <c r="Q228" i="3"/>
  <c r="Q226" i="3"/>
  <c r="Q185" i="3"/>
  <c r="Q25" i="3"/>
  <c r="Q227" i="3"/>
  <c r="Q222" i="3"/>
  <c r="Q366" i="3"/>
  <c r="V131" i="3"/>
  <c r="U171" i="3"/>
  <c r="Z365" i="3"/>
  <c r="H368" i="3"/>
  <c r="X162" i="3"/>
  <c r="Y163" i="3"/>
  <c r="Y99" i="3"/>
  <c r="L73" i="3"/>
  <c r="L75" i="3"/>
  <c r="L76" i="3" s="1"/>
  <c r="L189" i="3"/>
  <c r="Y174" i="3"/>
  <c r="Z175" i="3"/>
  <c r="X109" i="3"/>
  <c r="Y110" i="3"/>
  <c r="S75" i="3"/>
  <c r="S73" i="3"/>
  <c r="S189" i="3"/>
  <c r="V138" i="3"/>
  <c r="J320" i="3"/>
  <c r="J334" i="3" s="1"/>
  <c r="J44" i="3"/>
  <c r="J43" i="3"/>
  <c r="P351" i="3"/>
  <c r="Y58" i="3"/>
  <c r="Z59" i="3"/>
  <c r="AM268" i="3"/>
  <c r="AN268" i="3" s="1"/>
  <c r="AO268" i="3" s="1"/>
  <c r="AP268" i="3" s="1"/>
  <c r="AL268" i="3"/>
  <c r="AA161" i="3"/>
  <c r="Z160" i="3"/>
  <c r="X117" i="3"/>
  <c r="Y118" i="3"/>
  <c r="X143" i="3"/>
  <c r="V95" i="3"/>
  <c r="AQ46" i="3"/>
  <c r="AQ47" i="3" s="1"/>
  <c r="X81" i="3"/>
  <c r="H38" i="3"/>
  <c r="H229" i="3"/>
  <c r="H36" i="3"/>
  <c r="K44" i="3"/>
  <c r="K43" i="3"/>
  <c r="K320" i="3"/>
  <c r="K334" i="3" s="1"/>
  <c r="AF251" i="3"/>
  <c r="X123" i="3"/>
  <c r="X101" i="3"/>
  <c r="T73" i="3"/>
  <c r="T75" i="3"/>
  <c r="T76" i="3" s="1"/>
  <c r="Y292" i="3"/>
  <c r="W345" i="3"/>
  <c r="X41" i="3"/>
  <c r="V89" i="3"/>
  <c r="X366" i="3"/>
  <c r="Y366" i="3" s="1"/>
  <c r="Z366" i="3" s="1"/>
  <c r="AA366" i="3" s="1"/>
  <c r="AC366" i="3" s="1"/>
  <c r="AD366" i="3" s="1"/>
  <c r="AE366" i="3" s="1"/>
  <c r="AF366" i="3" s="1"/>
  <c r="AH366" i="3" s="1"/>
  <c r="AI366" i="3" s="1"/>
  <c r="AJ366" i="3" s="1"/>
  <c r="AK366" i="3" s="1"/>
  <c r="AM366" i="3" s="1"/>
  <c r="AN366" i="3" s="1"/>
  <c r="AO366" i="3" s="1"/>
  <c r="AP366" i="3" s="1"/>
  <c r="AR366" i="3" s="1"/>
  <c r="AS366" i="3" s="1"/>
  <c r="AT366" i="3" s="1"/>
  <c r="AU366" i="3" s="1"/>
  <c r="AL33" i="3"/>
  <c r="W331" i="3"/>
  <c r="X129" i="3"/>
  <c r="X127" i="3"/>
  <c r="V125" i="3"/>
  <c r="Y368" i="3"/>
  <c r="Z237" i="3"/>
  <c r="Z346" i="3"/>
  <c r="U60" i="3" l="1"/>
  <c r="I43" i="3"/>
  <c r="I320" i="3"/>
  <c r="I334" i="3" s="1"/>
  <c r="I351" i="3" s="1"/>
  <c r="I44" i="3"/>
  <c r="N315" i="3"/>
  <c r="P315" i="3"/>
  <c r="L367" i="3"/>
  <c r="AV237" i="3"/>
  <c r="K367" i="3"/>
  <c r="D258" i="3"/>
  <c r="E352" i="3"/>
  <c r="E353" i="3" s="1"/>
  <c r="F352" i="3" s="1"/>
  <c r="F353" i="3" s="1"/>
  <c r="AQ268" i="3"/>
  <c r="AR268" i="3"/>
  <c r="AS268" i="3" s="1"/>
  <c r="AT268" i="3" s="1"/>
  <c r="AU268" i="3" s="1"/>
  <c r="AV268" i="3" s="1"/>
  <c r="AQ207" i="3"/>
  <c r="AQ211" i="3" s="1"/>
  <c r="AS33" i="3"/>
  <c r="AT33" i="3" s="1"/>
  <c r="AU33" i="3" s="1"/>
  <c r="N44" i="3"/>
  <c r="N43" i="3"/>
  <c r="N320" i="3"/>
  <c r="N334" i="3" s="1"/>
  <c r="I367" i="3"/>
  <c r="AN308" i="3"/>
  <c r="AS307" i="3"/>
  <c r="AS308" i="3" s="1"/>
  <c r="V170" i="3"/>
  <c r="AA170" i="3" s="1"/>
  <c r="AF170" i="3" s="1"/>
  <c r="AK170" i="3" s="1"/>
  <c r="AP170" i="3" s="1"/>
  <c r="AU170" i="3" s="1"/>
  <c r="W165" i="3"/>
  <c r="AN304" i="3"/>
  <c r="AS303" i="3"/>
  <c r="AS304" i="3" s="1"/>
  <c r="W148" i="3"/>
  <c r="U172" i="3"/>
  <c r="AQ288" i="3"/>
  <c r="AR288" i="3"/>
  <c r="AS288" i="3" s="1"/>
  <c r="AT288" i="3" s="1"/>
  <c r="AU288" i="3" s="1"/>
  <c r="AV288" i="3" s="1"/>
  <c r="AQ283" i="3"/>
  <c r="AR283" i="3"/>
  <c r="AS283" i="3" s="1"/>
  <c r="AT283" i="3" s="1"/>
  <c r="AU283" i="3" s="1"/>
  <c r="AV283" i="3" s="1"/>
  <c r="AV47" i="3"/>
  <c r="AU211" i="3"/>
  <c r="AU251" i="3" s="1"/>
  <c r="AV207" i="3"/>
  <c r="AV211" i="3" s="1"/>
  <c r="M225" i="3"/>
  <c r="Y293" i="3"/>
  <c r="Z293" i="3" s="1"/>
  <c r="AA293" i="3" s="1"/>
  <c r="AC262" i="3"/>
  <c r="AD262" i="3" s="1"/>
  <c r="AE262" i="3" s="1"/>
  <c r="AF262" i="3" s="1"/>
  <c r="AG262" i="3" s="1"/>
  <c r="AD32" i="3"/>
  <c r="AE32" i="3" s="1"/>
  <c r="J26" i="31"/>
  <c r="J39" i="31" s="1"/>
  <c r="U45" i="3"/>
  <c r="F14" i="37" s="1"/>
  <c r="G14" i="37" s="1"/>
  <c r="U71" i="3"/>
  <c r="Z71" i="3" s="1"/>
  <c r="AE71" i="3" s="1"/>
  <c r="AJ71" i="3" s="1"/>
  <c r="AO71" i="3" s="1"/>
  <c r="AT71" i="3" s="1"/>
  <c r="F13" i="37"/>
  <c r="G13" i="37" s="1"/>
  <c r="E26" i="37"/>
  <c r="F10" i="37"/>
  <c r="G10" i="37" s="1"/>
  <c r="G9" i="37"/>
  <c r="E24" i="37"/>
  <c r="F11" i="37"/>
  <c r="G11" i="37" s="1"/>
  <c r="J35" i="31"/>
  <c r="J23" i="31"/>
  <c r="J36" i="31" s="1"/>
  <c r="E38" i="37"/>
  <c r="M320" i="3"/>
  <c r="M334" i="3" s="1"/>
  <c r="M43" i="3"/>
  <c r="M44" i="3"/>
  <c r="J24" i="31"/>
  <c r="J37" i="31" s="1"/>
  <c r="AA252" i="3"/>
  <c r="AA39" i="3" s="1"/>
  <c r="AB251" i="3"/>
  <c r="Y87" i="3"/>
  <c r="AC278" i="3"/>
  <c r="AA324" i="3"/>
  <c r="AB324" i="3" s="1"/>
  <c r="AB278" i="3"/>
  <c r="AD229" i="3"/>
  <c r="AC240" i="3"/>
  <c r="AC244" i="3"/>
  <c r="AC252" i="3"/>
  <c r="AC246" i="3"/>
  <c r="AA267" i="3"/>
  <c r="Z338" i="3"/>
  <c r="U320" i="3"/>
  <c r="U334" i="3" s="1"/>
  <c r="U43" i="3"/>
  <c r="U44" i="3"/>
  <c r="AB22" i="3"/>
  <c r="AA326" i="3"/>
  <c r="AB326" i="3" s="1"/>
  <c r="AA146" i="3"/>
  <c r="Z145" i="3"/>
  <c r="Z368" i="3"/>
  <c r="AA368" i="3" s="1"/>
  <c r="X150" i="3"/>
  <c r="AJ304" i="3"/>
  <c r="AO303" i="3"/>
  <c r="Z93" i="3"/>
  <c r="X158" i="3"/>
  <c r="X167" i="3" s="1"/>
  <c r="AD177" i="3"/>
  <c r="U185" i="3"/>
  <c r="V54" i="3"/>
  <c r="U64" i="3"/>
  <c r="AA98" i="3"/>
  <c r="AC98" i="3" s="1"/>
  <c r="AD98" i="3" s="1"/>
  <c r="AE98" i="3" s="1"/>
  <c r="AF98" i="3" s="1"/>
  <c r="AH98" i="3" s="1"/>
  <c r="AI98" i="3" s="1"/>
  <c r="AJ98" i="3" s="1"/>
  <c r="AK98" i="3" s="1"/>
  <c r="Z97" i="3"/>
  <c r="Y81" i="3"/>
  <c r="Y83" i="3" s="1"/>
  <c r="AP251" i="3"/>
  <c r="Q27" i="3"/>
  <c r="Q223" i="3"/>
  <c r="Q35" i="3"/>
  <c r="Q189" i="3"/>
  <c r="AA296" i="3"/>
  <c r="X89" i="3"/>
  <c r="Y141" i="3"/>
  <c r="Z142" i="3"/>
  <c r="AA331" i="3"/>
  <c r="AB331" i="3" s="1"/>
  <c r="X95" i="3"/>
  <c r="T38" i="3"/>
  <c r="T229" i="3"/>
  <c r="E25" i="31"/>
  <c r="E38" i="31" s="1"/>
  <c r="F12" i="31"/>
  <c r="T36" i="3"/>
  <c r="Y123" i="3"/>
  <c r="AG251" i="3"/>
  <c r="Y143" i="3"/>
  <c r="AA160" i="3"/>
  <c r="AC161" i="3"/>
  <c r="Y109" i="3"/>
  <c r="Z110" i="3"/>
  <c r="Z99" i="3"/>
  <c r="AA100" i="3"/>
  <c r="AC100" i="3" s="1"/>
  <c r="AD100" i="3" s="1"/>
  <c r="AE100" i="3" s="1"/>
  <c r="AF100" i="3" s="1"/>
  <c r="AH100" i="3" s="1"/>
  <c r="AI100" i="3" s="1"/>
  <c r="AJ100" i="3" s="1"/>
  <c r="AK100" i="3" s="1"/>
  <c r="Y162" i="3"/>
  <c r="Z163" i="3"/>
  <c r="Y135" i="3"/>
  <c r="Y138" i="3" s="1"/>
  <c r="X148" i="3"/>
  <c r="V57" i="3"/>
  <c r="AA104" i="3"/>
  <c r="AC104" i="3" s="1"/>
  <c r="AD104" i="3" s="1"/>
  <c r="AE104" i="3" s="1"/>
  <c r="AF104" i="3" s="1"/>
  <c r="AH104" i="3" s="1"/>
  <c r="AI104" i="3" s="1"/>
  <c r="AJ104" i="3" s="1"/>
  <c r="AK104" i="3" s="1"/>
  <c r="Z103" i="3"/>
  <c r="R75" i="3"/>
  <c r="X119" i="3"/>
  <c r="X55" i="3"/>
  <c r="X56" i="3" s="1"/>
  <c r="L351" i="3"/>
  <c r="Y127" i="3"/>
  <c r="Y129" i="3"/>
  <c r="Z292" i="3"/>
  <c r="AA292" i="3" s="1"/>
  <c r="X131" i="3"/>
  <c r="X83" i="3"/>
  <c r="X113" i="3"/>
  <c r="Y101" i="3"/>
  <c r="AQ33" i="3"/>
  <c r="V56" i="3"/>
  <c r="Y105" i="3"/>
  <c r="Y107" i="3" s="1"/>
  <c r="Z106" i="3"/>
  <c r="AL192" i="3"/>
  <c r="AG194" i="3"/>
  <c r="AG195" i="3"/>
  <c r="Z79" i="3"/>
  <c r="AK251" i="3"/>
  <c r="Y121" i="3"/>
  <c r="Z133" i="3"/>
  <c r="AA59" i="3"/>
  <c r="Z58" i="3"/>
  <c r="S76" i="3"/>
  <c r="AA365" i="3"/>
  <c r="Q304" i="3"/>
  <c r="AB199" i="3"/>
  <c r="Z116" i="3"/>
  <c r="Y115" i="3"/>
  <c r="K351" i="3"/>
  <c r="AC236" i="3"/>
  <c r="AA237" i="3"/>
  <c r="AB237" i="3" s="1"/>
  <c r="AA346" i="3"/>
  <c r="AB346" i="3" s="1"/>
  <c r="AB236" i="3"/>
  <c r="W201" i="3"/>
  <c r="P367" i="3"/>
  <c r="X345" i="3"/>
  <c r="Y41" i="3"/>
  <c r="AF326" i="3"/>
  <c r="AG326" i="3" s="1"/>
  <c r="AG22" i="3"/>
  <c r="H320" i="3"/>
  <c r="H334" i="3" s="1"/>
  <c r="H351" i="3" s="1"/>
  <c r="H44" i="3"/>
  <c r="H43" i="3"/>
  <c r="Y117" i="3"/>
  <c r="Z118" i="3"/>
  <c r="X52" i="3"/>
  <c r="J367" i="3"/>
  <c r="J351" i="3"/>
  <c r="AA175" i="3"/>
  <c r="Z174" i="3"/>
  <c r="R25" i="3"/>
  <c r="R228" i="3"/>
  <c r="R227" i="3"/>
  <c r="R222" i="3"/>
  <c r="R226" i="3"/>
  <c r="R368" i="3"/>
  <c r="Y85" i="3"/>
  <c r="Z86" i="3"/>
  <c r="AA86" i="3" s="1"/>
  <c r="Z42" i="3"/>
  <c r="Y91" i="3"/>
  <c r="T224" i="3"/>
  <c r="F9" i="31"/>
  <c r="E22" i="31"/>
  <c r="I76" i="3"/>
  <c r="M75" i="3"/>
  <c r="X138" i="3"/>
  <c r="AA112" i="3"/>
  <c r="AC112" i="3" s="1"/>
  <c r="AD112" i="3" s="1"/>
  <c r="AE112" i="3" s="1"/>
  <c r="AF112" i="3" s="1"/>
  <c r="AH112" i="3" s="1"/>
  <c r="AI112" i="3" s="1"/>
  <c r="AJ112" i="3" s="1"/>
  <c r="AK112" i="3" s="1"/>
  <c r="Z111" i="3"/>
  <c r="X125" i="3"/>
  <c r="O367" i="3"/>
  <c r="O351" i="3"/>
  <c r="X165" i="3" l="1"/>
  <c r="Y150" i="3"/>
  <c r="J27" i="31"/>
  <c r="J40" i="31" s="1"/>
  <c r="V185" i="3"/>
  <c r="V71" i="3"/>
  <c r="AA71" i="3" s="1"/>
  <c r="AF71" i="3" s="1"/>
  <c r="AK71" i="3" s="1"/>
  <c r="AP71" i="3" s="1"/>
  <c r="AU71" i="3" s="1"/>
  <c r="E258" i="3"/>
  <c r="E263" i="3" s="1"/>
  <c r="E269" i="3" s="1"/>
  <c r="E299" i="3" s="1"/>
  <c r="AV251" i="3"/>
  <c r="D358" i="3"/>
  <c r="D360" i="3" s="1"/>
  <c r="D263" i="3"/>
  <c r="D269" i="3" s="1"/>
  <c r="D299" i="3" s="1"/>
  <c r="AO304" i="3"/>
  <c r="AT303" i="3"/>
  <c r="AT304" i="3" s="1"/>
  <c r="S367" i="3"/>
  <c r="N367" i="3"/>
  <c r="N351" i="3"/>
  <c r="AV33" i="3"/>
  <c r="AB201" i="3"/>
  <c r="AH262" i="3"/>
  <c r="AI262" i="3" s="1"/>
  <c r="AF32" i="3"/>
  <c r="AG32" i="3" s="1"/>
  <c r="E27" i="37"/>
  <c r="AC368" i="3"/>
  <c r="AD368" i="3" s="1"/>
  <c r="G352" i="3"/>
  <c r="G353" i="3" s="1"/>
  <c r="F258" i="3"/>
  <c r="AA145" i="3"/>
  <c r="AC146" i="3"/>
  <c r="Z87" i="3"/>
  <c r="Y52" i="3"/>
  <c r="Y53" i="3" s="1"/>
  <c r="AC94" i="3"/>
  <c r="AA93" i="3"/>
  <c r="U367" i="3"/>
  <c r="U351" i="3"/>
  <c r="M351" i="3"/>
  <c r="M354" i="3"/>
  <c r="AD240" i="3"/>
  <c r="AD246" i="3"/>
  <c r="AD244" i="3"/>
  <c r="AD252" i="3"/>
  <c r="AE229" i="3"/>
  <c r="AB252" i="3"/>
  <c r="AB39" i="3" s="1"/>
  <c r="Y158" i="3"/>
  <c r="Y167" i="3" s="1"/>
  <c r="AA159" i="3"/>
  <c r="D35" i="37"/>
  <c r="D38" i="37"/>
  <c r="AA42" i="3"/>
  <c r="E37" i="37"/>
  <c r="E35" i="37"/>
  <c r="E23" i="37"/>
  <c r="E36" i="37" s="1"/>
  <c r="AA338" i="3"/>
  <c r="AB338" i="3" s="1"/>
  <c r="AB267" i="3"/>
  <c r="AC267" i="3"/>
  <c r="AC39" i="3"/>
  <c r="AD278" i="3"/>
  <c r="AC324" i="3"/>
  <c r="J21" i="37"/>
  <c r="J34" i="37" s="1"/>
  <c r="AE177" i="3"/>
  <c r="AA97" i="3"/>
  <c r="AD236" i="3"/>
  <c r="AC237" i="3"/>
  <c r="AC346" i="3"/>
  <c r="X169" i="3"/>
  <c r="AB296" i="3"/>
  <c r="AC296" i="3"/>
  <c r="AQ251" i="3"/>
  <c r="AA116" i="3"/>
  <c r="Z115" i="3"/>
  <c r="AC365" i="3"/>
  <c r="Y125" i="3"/>
  <c r="AL251" i="3"/>
  <c r="AQ192" i="3"/>
  <c r="AV192" i="3" s="1"/>
  <c r="AL194" i="3"/>
  <c r="AL195" i="3"/>
  <c r="V60" i="3"/>
  <c r="AA99" i="3"/>
  <c r="Z143" i="3"/>
  <c r="T240" i="3"/>
  <c r="T252" i="3"/>
  <c r="Y148" i="3"/>
  <c r="Q224" i="3"/>
  <c r="Q40" i="3"/>
  <c r="Q45" i="3" s="1"/>
  <c r="AP326" i="3"/>
  <c r="AQ326" i="3" s="1"/>
  <c r="AQ22" i="3"/>
  <c r="Z135" i="3"/>
  <c r="Z138" i="3" s="1"/>
  <c r="AA111" i="3"/>
  <c r="E23" i="31"/>
  <c r="E36" i="31" s="1"/>
  <c r="E35" i="31"/>
  <c r="Z91" i="3"/>
  <c r="X63" i="3"/>
  <c r="X53" i="3"/>
  <c r="X295" i="3"/>
  <c r="AK326" i="3"/>
  <c r="AL326" i="3" s="1"/>
  <c r="AL22" i="3"/>
  <c r="AA106" i="3"/>
  <c r="AC106" i="3" s="1"/>
  <c r="AD106" i="3" s="1"/>
  <c r="AE106" i="3" s="1"/>
  <c r="AF106" i="3" s="1"/>
  <c r="AH106" i="3" s="1"/>
  <c r="AI106" i="3" s="1"/>
  <c r="AJ106" i="3" s="1"/>
  <c r="AK106" i="3" s="1"/>
  <c r="Z105" i="3"/>
  <c r="Z107" i="3" s="1"/>
  <c r="Z129" i="3"/>
  <c r="Z101" i="3"/>
  <c r="AA110" i="3"/>
  <c r="AC110" i="3" s="1"/>
  <c r="AD110" i="3" s="1"/>
  <c r="AE110" i="3" s="1"/>
  <c r="AF110" i="3" s="1"/>
  <c r="AH110" i="3" s="1"/>
  <c r="AI110" i="3" s="1"/>
  <c r="AJ110" i="3" s="1"/>
  <c r="AK110" i="3" s="1"/>
  <c r="Z109" i="3"/>
  <c r="AD161" i="3"/>
  <c r="AC160" i="3"/>
  <c r="F11" i="31"/>
  <c r="E24" i="31"/>
  <c r="E37" i="31" s="1"/>
  <c r="T320" i="3"/>
  <c r="T334" i="3" s="1"/>
  <c r="T44" i="3"/>
  <c r="T43" i="3"/>
  <c r="Z85" i="3"/>
  <c r="Y119" i="3"/>
  <c r="Y55" i="3"/>
  <c r="Z121" i="3"/>
  <c r="AC80" i="3"/>
  <c r="AA79" i="3"/>
  <c r="AG279" i="3"/>
  <c r="AG201" i="3" s="1"/>
  <c r="AF331" i="3"/>
  <c r="AG331" i="3" s="1"/>
  <c r="Y131" i="3"/>
  <c r="AA103" i="3"/>
  <c r="AA142" i="3"/>
  <c r="Z141" i="3"/>
  <c r="Z150" i="3" s="1"/>
  <c r="Y89" i="3"/>
  <c r="G9" i="31"/>
  <c r="D35" i="31"/>
  <c r="F10" i="31"/>
  <c r="Y95" i="3"/>
  <c r="R35" i="3"/>
  <c r="R27" i="3"/>
  <c r="R223" i="3"/>
  <c r="AC175" i="3"/>
  <c r="AA174" i="3"/>
  <c r="AA118" i="3"/>
  <c r="Z117" i="3"/>
  <c r="H354" i="3"/>
  <c r="M367" i="3"/>
  <c r="Z41" i="3"/>
  <c r="Y345" i="3"/>
  <c r="AC199" i="3"/>
  <c r="AD199" i="3"/>
  <c r="AE199" i="3"/>
  <c r="AF199" i="3"/>
  <c r="AA303" i="3"/>
  <c r="V304" i="3"/>
  <c r="AC59" i="3"/>
  <c r="AA58" i="3"/>
  <c r="AA133" i="3"/>
  <c r="X54" i="3"/>
  <c r="Z127" i="3"/>
  <c r="X57" i="3"/>
  <c r="X152" i="3"/>
  <c r="AA163" i="3"/>
  <c r="Z162" i="3"/>
  <c r="Y113" i="3"/>
  <c r="Z123" i="3"/>
  <c r="D38" i="31"/>
  <c r="G12" i="31"/>
  <c r="X279" i="3"/>
  <c r="Y279" i="3" s="1"/>
  <c r="Z279" i="3" s="1"/>
  <c r="AA279" i="3" s="1"/>
  <c r="Q229" i="3"/>
  <c r="Q36" i="3"/>
  <c r="U315" i="3" s="1"/>
  <c r="Q38" i="3"/>
  <c r="Z81" i="3"/>
  <c r="AJ262" i="3" l="1"/>
  <c r="AK262" i="3" s="1"/>
  <c r="AV195" i="3"/>
  <c r="AV194" i="3"/>
  <c r="V64" i="3"/>
  <c r="W60" i="3"/>
  <c r="E358" i="3"/>
  <c r="E360" i="3" s="1"/>
  <c r="AH32" i="3"/>
  <c r="F263" i="3"/>
  <c r="F269" i="3" s="1"/>
  <c r="F299" i="3" s="1"/>
  <c r="F358" i="3"/>
  <c r="F360" i="3" s="1"/>
  <c r="AC42" i="3"/>
  <c r="H353" i="3"/>
  <c r="G258" i="3"/>
  <c r="Y63" i="3"/>
  <c r="Y66" i="3" s="1"/>
  <c r="M21" i="31"/>
  <c r="M34" i="31" s="1"/>
  <c r="Y56" i="3"/>
  <c r="AE278" i="3"/>
  <c r="AD324" i="3"/>
  <c r="AC93" i="3"/>
  <c r="AD94" i="3"/>
  <c r="AD146" i="3"/>
  <c r="AC145" i="3"/>
  <c r="Y165" i="3"/>
  <c r="Y169" i="3" s="1"/>
  <c r="W280" i="3"/>
  <c r="AD267" i="3"/>
  <c r="AC338" i="3"/>
  <c r="D36" i="37"/>
  <c r="AC88" i="3"/>
  <c r="AA87" i="3"/>
  <c r="D37" i="37"/>
  <c r="Z158" i="3"/>
  <c r="Z167" i="3" s="1"/>
  <c r="AF229" i="3"/>
  <c r="AE244" i="3"/>
  <c r="AE246" i="3"/>
  <c r="AE240" i="3"/>
  <c r="AE252" i="3"/>
  <c r="AD39" i="3"/>
  <c r="W13" i="3"/>
  <c r="W222" i="3" s="1"/>
  <c r="W259" i="3"/>
  <c r="W323" i="3"/>
  <c r="V222" i="3"/>
  <c r="AF177" i="3"/>
  <c r="Y54" i="3"/>
  <c r="Z52" i="3"/>
  <c r="AC97" i="3"/>
  <c r="R38" i="3"/>
  <c r="R229" i="3"/>
  <c r="R36" i="3"/>
  <c r="R315" i="3" s="1"/>
  <c r="AA129" i="3"/>
  <c r="AC111" i="3"/>
  <c r="AL262" i="3"/>
  <c r="AA101" i="3"/>
  <c r="AQ195" i="3"/>
  <c r="AQ194" i="3"/>
  <c r="AD175" i="3"/>
  <c r="AC174" i="3"/>
  <c r="AC142" i="3"/>
  <c r="AA141" i="3"/>
  <c r="AD80" i="3"/>
  <c r="AC79" i="3"/>
  <c r="Z89" i="3"/>
  <c r="T367" i="3"/>
  <c r="T351" i="3"/>
  <c r="G11" i="31"/>
  <c r="D37" i="31"/>
  <c r="X66" i="3"/>
  <c r="AM262" i="3"/>
  <c r="Y152" i="3"/>
  <c r="AC144" i="3"/>
  <c r="AA143" i="3"/>
  <c r="AC99" i="3"/>
  <c r="AE368" i="3"/>
  <c r="AF368" i="3" s="1"/>
  <c r="Z131" i="3"/>
  <c r="Z53" i="3"/>
  <c r="AA109" i="3"/>
  <c r="AA105" i="3"/>
  <c r="AC92" i="3"/>
  <c r="AA91" i="3"/>
  <c r="AC82" i="3"/>
  <c r="AA81" i="3"/>
  <c r="AC163" i="3"/>
  <c r="AA162" i="3"/>
  <c r="X13" i="3"/>
  <c r="X70" i="3"/>
  <c r="AD59" i="3"/>
  <c r="AC58" i="3"/>
  <c r="AG199" i="3"/>
  <c r="Q43" i="3"/>
  <c r="Q320" i="3"/>
  <c r="Q334" i="3" s="1"/>
  <c r="Q44" i="3"/>
  <c r="X60" i="3"/>
  <c r="Z83" i="3"/>
  <c r="AC103" i="3"/>
  <c r="Z125" i="3"/>
  <c r="AC86" i="3"/>
  <c r="AA85" i="3"/>
  <c r="AE161" i="3"/>
  <c r="AD160" i="3"/>
  <c r="AB292" i="3"/>
  <c r="Z55" i="3"/>
  <c r="Z119" i="3"/>
  <c r="AD346" i="3"/>
  <c r="AE236" i="3"/>
  <c r="AD237" i="3"/>
  <c r="AA123" i="3"/>
  <c r="Z148" i="3"/>
  <c r="AA135" i="3"/>
  <c r="AA127" i="3"/>
  <c r="AC133" i="3"/>
  <c r="W275" i="3"/>
  <c r="AF303" i="3"/>
  <c r="AA304" i="3"/>
  <c r="Q315" i="3"/>
  <c r="S315" i="3"/>
  <c r="AA41" i="3"/>
  <c r="Z345" i="3"/>
  <c r="AC118" i="3"/>
  <c r="AA117" i="3"/>
  <c r="R224" i="3"/>
  <c r="R40" i="3"/>
  <c r="R45" i="3" s="1"/>
  <c r="R225" i="3" s="1"/>
  <c r="G10" i="31"/>
  <c r="D36" i="31"/>
  <c r="AC279" i="3"/>
  <c r="AD279" i="3" s="1"/>
  <c r="AE279" i="3" s="1"/>
  <c r="AF279" i="3" s="1"/>
  <c r="AA121" i="3"/>
  <c r="Y57" i="3"/>
  <c r="T315" i="3"/>
  <c r="Z113" i="3"/>
  <c r="Y295" i="3"/>
  <c r="Z95" i="3"/>
  <c r="T39" i="3"/>
  <c r="T40" i="3" s="1"/>
  <c r="AL279" i="3"/>
  <c r="AL201" i="3" s="1"/>
  <c r="AK331" i="3"/>
  <c r="AL331" i="3" s="1"/>
  <c r="AD365" i="3"/>
  <c r="AC116" i="3"/>
  <c r="AA115" i="3"/>
  <c r="AD296" i="3"/>
  <c r="AU331" i="3" l="1"/>
  <c r="AV331" i="3" s="1"/>
  <c r="AV279" i="3"/>
  <c r="AV201" i="3" s="1"/>
  <c r="X64" i="3"/>
  <c r="AD42" i="3"/>
  <c r="Z165" i="3"/>
  <c r="Z169" i="3" s="1"/>
  <c r="Y60" i="3"/>
  <c r="Y64" i="3" s="1"/>
  <c r="AI32" i="3"/>
  <c r="AJ32" i="3" s="1"/>
  <c r="G358" i="3"/>
  <c r="G360" i="3" s="1"/>
  <c r="G263" i="3"/>
  <c r="G269" i="3" s="1"/>
  <c r="G299" i="3" s="1"/>
  <c r="H258" i="3"/>
  <c r="I352" i="3"/>
  <c r="I353" i="3" s="1"/>
  <c r="M352" i="3"/>
  <c r="M353" i="3" s="1"/>
  <c r="AA52" i="3"/>
  <c r="AA53" i="3" s="1"/>
  <c r="W336" i="3"/>
  <c r="W339" i="3" s="1"/>
  <c r="W289" i="3"/>
  <c r="W329" i="3"/>
  <c r="M42" i="37"/>
  <c r="J29" i="37"/>
  <c r="J42" i="37" s="1"/>
  <c r="V339" i="3"/>
  <c r="M21" i="37"/>
  <c r="M34" i="37" s="1"/>
  <c r="M29" i="31"/>
  <c r="M42" i="31" s="1"/>
  <c r="AF244" i="3"/>
  <c r="AG244" i="3" s="1"/>
  <c r="AF246" i="3"/>
  <c r="AG246" i="3" s="1"/>
  <c r="AF240" i="3"/>
  <c r="AF252" i="3"/>
  <c r="AG252" i="3" s="1"/>
  <c r="AE39" i="3"/>
  <c r="AA158" i="3"/>
  <c r="AA167" i="3" s="1"/>
  <c r="AC159" i="3"/>
  <c r="AD145" i="3"/>
  <c r="AE146" i="3"/>
  <c r="AE324" i="3"/>
  <c r="AF278" i="3"/>
  <c r="E39" i="37"/>
  <c r="AE94" i="3"/>
  <c r="AD93" i="3"/>
  <c r="AC87" i="3"/>
  <c r="AD88" i="3"/>
  <c r="AD338" i="3"/>
  <c r="AE267" i="3"/>
  <c r="X322" i="3"/>
  <c r="AH177" i="3"/>
  <c r="Z63" i="3"/>
  <c r="Z66" i="3" s="1"/>
  <c r="Z56" i="3"/>
  <c r="AD97" i="3"/>
  <c r="Q367" i="3"/>
  <c r="Q351" i="3"/>
  <c r="AC105" i="3"/>
  <c r="AC107" i="3" s="1"/>
  <c r="AC101" i="3"/>
  <c r="AD111" i="3"/>
  <c r="Y70" i="3"/>
  <c r="AA119" i="3"/>
  <c r="AA55" i="3"/>
  <c r="Z295" i="3"/>
  <c r="AC121" i="3"/>
  <c r="AD118" i="3"/>
  <c r="AC117" i="3"/>
  <c r="AA131" i="3"/>
  <c r="AC135" i="3"/>
  <c r="AC138" i="3" s="1"/>
  <c r="Z152" i="3"/>
  <c r="Z57" i="3"/>
  <c r="AF161" i="3"/>
  <c r="AE160" i="3"/>
  <c r="X336" i="3"/>
  <c r="X323" i="3"/>
  <c r="X259" i="3"/>
  <c r="X275" i="3"/>
  <c r="X280" i="3"/>
  <c r="X185" i="3"/>
  <c r="P21" i="31"/>
  <c r="P34" i="31" s="1"/>
  <c r="X222" i="3"/>
  <c r="AD82" i="3"/>
  <c r="AC81" i="3"/>
  <c r="AC83" i="3" s="1"/>
  <c r="AA95" i="3"/>
  <c r="AA113" i="3"/>
  <c r="AD99" i="3"/>
  <c r="AA148" i="3"/>
  <c r="AB148" i="3" s="1"/>
  <c r="AA83" i="3"/>
  <c r="R320" i="3"/>
  <c r="R334" i="3" s="1"/>
  <c r="R43" i="3"/>
  <c r="R44" i="3"/>
  <c r="AA150" i="3"/>
  <c r="F13" i="31"/>
  <c r="T45" i="3"/>
  <c r="E26" i="31"/>
  <c r="E39" i="31" s="1"/>
  <c r="AK303" i="3"/>
  <c r="AF304" i="3"/>
  <c r="AF236" i="3"/>
  <c r="AG236" i="3" s="1"/>
  <c r="AE346" i="3"/>
  <c r="AE237" i="3"/>
  <c r="AD103" i="3"/>
  <c r="AQ279" i="3"/>
  <c r="AQ201" i="3" s="1"/>
  <c r="AP331" i="3"/>
  <c r="AQ331" i="3" s="1"/>
  <c r="AD116" i="3"/>
  <c r="AC115" i="3"/>
  <c r="AC127" i="3"/>
  <c r="AC123" i="3"/>
  <c r="AC292" i="3"/>
  <c r="W264" i="3"/>
  <c r="Z54" i="3"/>
  <c r="AH199" i="3"/>
  <c r="AK199" i="3"/>
  <c r="AI199" i="3"/>
  <c r="AJ199" i="3"/>
  <c r="AE59" i="3"/>
  <c r="AD58" i="3"/>
  <c r="AD92" i="3"/>
  <c r="AC91" i="3"/>
  <c r="AC109" i="3"/>
  <c r="AE80" i="3"/>
  <c r="AD79" i="3"/>
  <c r="AD142" i="3"/>
  <c r="AC141" i="3"/>
  <c r="AE175" i="3"/>
  <c r="AD174" i="3"/>
  <c r="AC129" i="3"/>
  <c r="Y13" i="3"/>
  <c r="AA125" i="3"/>
  <c r="AD133" i="3"/>
  <c r="AD86" i="3"/>
  <c r="AC85" i="3"/>
  <c r="AE296" i="3"/>
  <c r="AE365" i="3"/>
  <c r="AH279" i="3"/>
  <c r="AI279" i="3" s="1"/>
  <c r="AJ279" i="3" s="1"/>
  <c r="AK279" i="3" s="1"/>
  <c r="AC41" i="3"/>
  <c r="AA345" i="3"/>
  <c r="AB345" i="3" s="1"/>
  <c r="AA138" i="3"/>
  <c r="AA89" i="3"/>
  <c r="AH368" i="3"/>
  <c r="AI368" i="3" s="1"/>
  <c r="AD163" i="3"/>
  <c r="AC162" i="3"/>
  <c r="AD144" i="3"/>
  <c r="AC143" i="3"/>
  <c r="AA107" i="3"/>
  <c r="AN262" i="3"/>
  <c r="AF39" i="3" l="1"/>
  <c r="AE42" i="3"/>
  <c r="AA63" i="3"/>
  <c r="AK32" i="3"/>
  <c r="AL32" i="3" s="1"/>
  <c r="J352" i="3"/>
  <c r="J353" i="3" s="1"/>
  <c r="I258" i="3"/>
  <c r="H263" i="3"/>
  <c r="H269" i="3" s="1"/>
  <c r="H299" i="3" s="1"/>
  <c r="H358" i="3"/>
  <c r="H360" i="3" s="1"/>
  <c r="R352" i="3"/>
  <c r="N352" i="3"/>
  <c r="N353" i="3" s="1"/>
  <c r="W368" i="3"/>
  <c r="P21" i="37"/>
  <c r="P34" i="37" s="1"/>
  <c r="AE93" i="3"/>
  <c r="AF94" i="3"/>
  <c r="AA165" i="3"/>
  <c r="AB165" i="3" s="1"/>
  <c r="AE88" i="3"/>
  <c r="AD87" i="3"/>
  <c r="AF146" i="3"/>
  <c r="AE145" i="3"/>
  <c r="AG240" i="3"/>
  <c r="AG39" i="3" s="1"/>
  <c r="X264" i="3"/>
  <c r="X260" i="3" s="1"/>
  <c r="X330" i="3" s="1"/>
  <c r="AJ368" i="3"/>
  <c r="AK368" i="3" s="1"/>
  <c r="D39" i="37"/>
  <c r="AH244" i="3"/>
  <c r="AH240" i="3"/>
  <c r="AH252" i="3"/>
  <c r="AH246" i="3"/>
  <c r="E40" i="37"/>
  <c r="AE338" i="3"/>
  <c r="AF267" i="3"/>
  <c r="AH278" i="3"/>
  <c r="AF324" i="3"/>
  <c r="AG324" i="3" s="1"/>
  <c r="AG278" i="3"/>
  <c r="AD159" i="3"/>
  <c r="AC158" i="3"/>
  <c r="AC167" i="3" s="1"/>
  <c r="AI177" i="3"/>
  <c r="AC52" i="3"/>
  <c r="AC53" i="3" s="1"/>
  <c r="AE97" i="3"/>
  <c r="AA66" i="3"/>
  <c r="AF80" i="3"/>
  <c r="AE79" i="3"/>
  <c r="AC119" i="3"/>
  <c r="AC55" i="3"/>
  <c r="AC56" i="3" s="1"/>
  <c r="AE99" i="3"/>
  <c r="AH161" i="3"/>
  <c r="AF160" i="3"/>
  <c r="AE111" i="3"/>
  <c r="AE163" i="3"/>
  <c r="AD162" i="3"/>
  <c r="AE133" i="3"/>
  <c r="AC148" i="3"/>
  <c r="AE92" i="3"/>
  <c r="AD91" i="3"/>
  <c r="AF59" i="3"/>
  <c r="AE58" i="3"/>
  <c r="AL199" i="3"/>
  <c r="W260" i="3"/>
  <c r="W330" i="3"/>
  <c r="AC131" i="3"/>
  <c r="AE116" i="3"/>
  <c r="AD115" i="3"/>
  <c r="R367" i="3"/>
  <c r="R354" i="3"/>
  <c r="R351" i="3"/>
  <c r="AA152" i="3"/>
  <c r="X329" i="3"/>
  <c r="Y322" i="3"/>
  <c r="Z60" i="3"/>
  <c r="AE118" i="3"/>
  <c r="AD117" i="3"/>
  <c r="AA57" i="3"/>
  <c r="AO262" i="3"/>
  <c r="AP262" i="3" s="1"/>
  <c r="AF296" i="3"/>
  <c r="AF175" i="3"/>
  <c r="AE174" i="3"/>
  <c r="AK304" i="3"/>
  <c r="AP303" i="3"/>
  <c r="G13" i="31"/>
  <c r="D39" i="31"/>
  <c r="AE144" i="3"/>
  <c r="AD143" i="3"/>
  <c r="AD41" i="3"/>
  <c r="AC345" i="3"/>
  <c r="AC89" i="3"/>
  <c r="AD129" i="3"/>
  <c r="AE142" i="3"/>
  <c r="AD141" i="3"/>
  <c r="AC113" i="3"/>
  <c r="Z13" i="3"/>
  <c r="S21" i="37" s="1"/>
  <c r="S34" i="37" s="1"/>
  <c r="Z70" i="3"/>
  <c r="W321" i="3"/>
  <c r="AD292" i="3"/>
  <c r="AD123" i="3"/>
  <c r="AD127" i="3"/>
  <c r="AM279" i="3"/>
  <c r="AN279" i="3" s="1"/>
  <c r="AO279" i="3" s="1"/>
  <c r="AP279" i="3" s="1"/>
  <c r="AR279" i="3" s="1"/>
  <c r="AS279" i="3" s="1"/>
  <c r="AT279" i="3" s="1"/>
  <c r="AU279" i="3" s="1"/>
  <c r="AE103" i="3"/>
  <c r="AF346" i="3"/>
  <c r="AG346" i="3" s="1"/>
  <c r="AF237" i="3"/>
  <c r="AG237" i="3" s="1"/>
  <c r="AC150" i="3"/>
  <c r="AA54" i="3"/>
  <c r="AE82" i="3"/>
  <c r="AD81" i="3"/>
  <c r="AD83" i="3" s="1"/>
  <c r="X289" i="3"/>
  <c r="AD135" i="3"/>
  <c r="AC125" i="3"/>
  <c r="AB293" i="3"/>
  <c r="AA295" i="3"/>
  <c r="AA56" i="3"/>
  <c r="AD105" i="3"/>
  <c r="AD107" i="3" s="1"/>
  <c r="AC95" i="3"/>
  <c r="AF365" i="3"/>
  <c r="AE86" i="3"/>
  <c r="AD85" i="3"/>
  <c r="Y336" i="3"/>
  <c r="P29" i="37" s="1"/>
  <c r="P42" i="37" s="1"/>
  <c r="Y259" i="3"/>
  <c r="Y323" i="3"/>
  <c r="Y280" i="3"/>
  <c r="Y275" i="3"/>
  <c r="S21" i="31"/>
  <c r="S34" i="31" s="1"/>
  <c r="Y185" i="3"/>
  <c r="Y222" i="3"/>
  <c r="AD109" i="3"/>
  <c r="F14" i="31"/>
  <c r="E27" i="31"/>
  <c r="E40" i="31" s="1"/>
  <c r="AD101" i="3"/>
  <c r="X339" i="3"/>
  <c r="P29" i="31"/>
  <c r="P42" i="31" s="1"/>
  <c r="AD121" i="3"/>
  <c r="AA169" i="3" l="1"/>
  <c r="Z64" i="3"/>
  <c r="AP304" i="3"/>
  <c r="AU303" i="3"/>
  <c r="AU304" i="3" s="1"/>
  <c r="R353" i="3"/>
  <c r="W352" i="3" s="1"/>
  <c r="AR262" i="3"/>
  <c r="AS262" i="3" s="1"/>
  <c r="AC165" i="3"/>
  <c r="AC169" i="3" s="1"/>
  <c r="AM32" i="3"/>
  <c r="O352" i="3"/>
  <c r="O353" i="3" s="1"/>
  <c r="N258" i="3"/>
  <c r="I263" i="3"/>
  <c r="I269" i="3" s="1"/>
  <c r="I299" i="3" s="1"/>
  <c r="I358" i="3"/>
  <c r="I360" i="3" s="1"/>
  <c r="J258" i="3"/>
  <c r="K352" i="3"/>
  <c r="K353" i="3" s="1"/>
  <c r="X321" i="3"/>
  <c r="X265" i="3" s="1"/>
  <c r="AI244" i="3"/>
  <c r="AI240" i="3"/>
  <c r="AI246" i="3"/>
  <c r="AI252" i="3"/>
  <c r="AI278" i="3"/>
  <c r="AH324" i="3"/>
  <c r="AH39" i="3"/>
  <c r="AF88" i="3"/>
  <c r="AE87" i="3"/>
  <c r="D40" i="37"/>
  <c r="AE159" i="3"/>
  <c r="AD158" i="3"/>
  <c r="AD167" i="3" s="1"/>
  <c r="AF338" i="3"/>
  <c r="AG338" i="3" s="1"/>
  <c r="AH267" i="3"/>
  <c r="AG267" i="3"/>
  <c r="Y264" i="3"/>
  <c r="Y260" i="3" s="1"/>
  <c r="Y330" i="3" s="1"/>
  <c r="AF42" i="3"/>
  <c r="AF145" i="3"/>
  <c r="AH146" i="3"/>
  <c r="AF93" i="3"/>
  <c r="AH94" i="3"/>
  <c r="AJ177" i="3"/>
  <c r="AC54" i="3"/>
  <c r="AC63" i="3"/>
  <c r="AC66" i="3" s="1"/>
  <c r="Y289" i="3"/>
  <c r="AF97" i="3"/>
  <c r="AQ262" i="3"/>
  <c r="AH346" i="3"/>
  <c r="AH237" i="3"/>
  <c r="AE292" i="3"/>
  <c r="AD148" i="3"/>
  <c r="AH59" i="3"/>
  <c r="AF58" i="3"/>
  <c r="AD125" i="3"/>
  <c r="AD113" i="3"/>
  <c r="AD52" i="3"/>
  <c r="AD89" i="3"/>
  <c r="AM368" i="3"/>
  <c r="AD150" i="3"/>
  <c r="AE127" i="3"/>
  <c r="AF142" i="3"/>
  <c r="AE141" i="3"/>
  <c r="AF144" i="3"/>
  <c r="AE143" i="3"/>
  <c r="AH296" i="3"/>
  <c r="AG296" i="3"/>
  <c r="AD119" i="3"/>
  <c r="AD55" i="3"/>
  <c r="AD56" i="3" s="1"/>
  <c r="AD95" i="3"/>
  <c r="AE101" i="3"/>
  <c r="AH80" i="3"/>
  <c r="AF79" i="3"/>
  <c r="AH365" i="3"/>
  <c r="W18" i="3"/>
  <c r="V168" i="3"/>
  <c r="V182" i="3" s="1"/>
  <c r="AI161" i="3"/>
  <c r="AH160" i="3"/>
  <c r="AE109" i="3"/>
  <c r="W265" i="3"/>
  <c r="W266" i="3" s="1"/>
  <c r="V266" i="3"/>
  <c r="AD345" i="3"/>
  <c r="AE41" i="3"/>
  <c r="AH175" i="3"/>
  <c r="AF174" i="3"/>
  <c r="AA60" i="3"/>
  <c r="AA64" i="3" s="1"/>
  <c r="AF116" i="3"/>
  <c r="AE115" i="3"/>
  <c r="AN199" i="3"/>
  <c r="AM199" i="3"/>
  <c r="AP199" i="3"/>
  <c r="AO199" i="3"/>
  <c r="AF92" i="3"/>
  <c r="AE91" i="3"/>
  <c r="AF111" i="3"/>
  <c r="AF99" i="3"/>
  <c r="AC57" i="3"/>
  <c r="Y339" i="3"/>
  <c r="S29" i="31"/>
  <c r="S42" i="31" s="1"/>
  <c r="AA13" i="3"/>
  <c r="AA70" i="3"/>
  <c r="AD131" i="3"/>
  <c r="S352" i="3"/>
  <c r="S353" i="3" s="1"/>
  <c r="AC152" i="3"/>
  <c r="AE121" i="3"/>
  <c r="AF86" i="3"/>
  <c r="AE85" i="3"/>
  <c r="D40" i="31"/>
  <c r="G14" i="31"/>
  <c r="Y329" i="3"/>
  <c r="Z322" i="3"/>
  <c r="AE105" i="3"/>
  <c r="AC293" i="3"/>
  <c r="AB295" i="3"/>
  <c r="AE135" i="3"/>
  <c r="AE138" i="3" s="1"/>
  <c r="AF82" i="3"/>
  <c r="AE81" i="3"/>
  <c r="AE83" i="3" s="1"/>
  <c r="AF103" i="3"/>
  <c r="AE123" i="3"/>
  <c r="Z336" i="3"/>
  <c r="Z323" i="3"/>
  <c r="Z275" i="3"/>
  <c r="Z259" i="3"/>
  <c r="Z280" i="3"/>
  <c r="Z185" i="3"/>
  <c r="Z222" i="3"/>
  <c r="AE129" i="3"/>
  <c r="AD138" i="3"/>
  <c r="AF118" i="3"/>
  <c r="AE117" i="3"/>
  <c r="AF133" i="3"/>
  <c r="AF163" i="3"/>
  <c r="AE162" i="3"/>
  <c r="AT262" i="3" l="1"/>
  <c r="AU262" i="3" s="1"/>
  <c r="AB60" i="3"/>
  <c r="AD165" i="3"/>
  <c r="AN368" i="3"/>
  <c r="AO368" i="3" s="1"/>
  <c r="AN32" i="3"/>
  <c r="AO32" i="3" s="1"/>
  <c r="AP32" i="3" s="1"/>
  <c r="AR32" i="3" s="1"/>
  <c r="AS32" i="3" s="1"/>
  <c r="AT32" i="3" s="1"/>
  <c r="AU32" i="3" s="1"/>
  <c r="AV32" i="3" s="1"/>
  <c r="AI39" i="3"/>
  <c r="K258" i="3"/>
  <c r="L352" i="3"/>
  <c r="L353" i="3" s="1"/>
  <c r="L258" i="3" s="1"/>
  <c r="N263" i="3"/>
  <c r="N269" i="3" s="1"/>
  <c r="N299" i="3" s="1"/>
  <c r="N358" i="3"/>
  <c r="N360" i="3" s="1"/>
  <c r="J263" i="3"/>
  <c r="J269" i="3" s="1"/>
  <c r="J299" i="3" s="1"/>
  <c r="J358" i="3"/>
  <c r="J360" i="3" s="1"/>
  <c r="P352" i="3"/>
  <c r="P353" i="3" s="1"/>
  <c r="O258" i="3"/>
  <c r="X18" i="3"/>
  <c r="X168" i="3" s="1"/>
  <c r="Z339" i="3"/>
  <c r="S29" i="37"/>
  <c r="S42" i="37" s="1"/>
  <c r="Y321" i="3"/>
  <c r="Y18" i="3" s="1"/>
  <c r="AH93" i="3"/>
  <c r="AI94" i="3"/>
  <c r="AE158" i="3"/>
  <c r="AE167" i="3" s="1"/>
  <c r="AF159" i="3"/>
  <c r="AH88" i="3"/>
  <c r="AF87" i="3"/>
  <c r="AJ278" i="3"/>
  <c r="AI324" i="3"/>
  <c r="AH338" i="3"/>
  <c r="AI267" i="3"/>
  <c r="AJ244" i="3"/>
  <c r="AJ240" i="3"/>
  <c r="AJ246" i="3"/>
  <c r="AJ252" i="3"/>
  <c r="AI146" i="3"/>
  <c r="AH145" i="3"/>
  <c r="AC60" i="3"/>
  <c r="AK177" i="3"/>
  <c r="AD57" i="3"/>
  <c r="AC70" i="3"/>
  <c r="AD54" i="3"/>
  <c r="AE52" i="3"/>
  <c r="AE53" i="3" s="1"/>
  <c r="V186" i="3"/>
  <c r="AH97" i="3"/>
  <c r="AH86" i="3"/>
  <c r="AF85" i="3"/>
  <c r="AF127" i="3"/>
  <c r="AD63" i="3"/>
  <c r="AD53" i="3"/>
  <c r="AH133" i="3"/>
  <c r="AH118" i="3"/>
  <c r="AF117" i="3"/>
  <c r="AF129" i="3"/>
  <c r="Z329" i="3"/>
  <c r="AA322" i="3"/>
  <c r="AB322" i="3" s="1"/>
  <c r="AH103" i="3"/>
  <c r="AF135" i="3"/>
  <c r="AF105" i="3"/>
  <c r="AF107" i="3" s="1"/>
  <c r="AF121" i="3"/>
  <c r="T352" i="3"/>
  <c r="T353" i="3" s="1"/>
  <c r="S258" i="3"/>
  <c r="AA336" i="3"/>
  <c r="AA339" i="3" s="1"/>
  <c r="AA275" i="3"/>
  <c r="AA259" i="3"/>
  <c r="AA280" i="3"/>
  <c r="AB280" i="3" s="1"/>
  <c r="AA323" i="3"/>
  <c r="AB323" i="3" s="1"/>
  <c r="AA185" i="3"/>
  <c r="AA222" i="3"/>
  <c r="AH111" i="3"/>
  <c r="AH116" i="3"/>
  <c r="AF115" i="3"/>
  <c r="X266" i="3"/>
  <c r="AJ161" i="3"/>
  <c r="AI160" i="3"/>
  <c r="AH142" i="3"/>
  <c r="AF141" i="3"/>
  <c r="AI59" i="3"/>
  <c r="AH58" i="3"/>
  <c r="AI346" i="3"/>
  <c r="AI237" i="3"/>
  <c r="X151" i="3"/>
  <c r="V154" i="3"/>
  <c r="AI296" i="3"/>
  <c r="AE148" i="3"/>
  <c r="AF101" i="3"/>
  <c r="AE95" i="3"/>
  <c r="AQ199" i="3"/>
  <c r="AI175" i="3"/>
  <c r="AH174" i="3"/>
  <c r="AE113" i="3"/>
  <c r="V171" i="3"/>
  <c r="AF292" i="3"/>
  <c r="AC13" i="3"/>
  <c r="Z289" i="3"/>
  <c r="AE125" i="3"/>
  <c r="AE55" i="3"/>
  <c r="AE56" i="3" s="1"/>
  <c r="AE119" i="3"/>
  <c r="AF41" i="3"/>
  <c r="AE345" i="3"/>
  <c r="AE107" i="3"/>
  <c r="AH144" i="3"/>
  <c r="AF143" i="3"/>
  <c r="AE165" i="3"/>
  <c r="AH163" i="3"/>
  <c r="AF162" i="3"/>
  <c r="AF123" i="3"/>
  <c r="AH82" i="3"/>
  <c r="AF81" i="3"/>
  <c r="AD293" i="3"/>
  <c r="AC295" i="3"/>
  <c r="AE89" i="3"/>
  <c r="AH99" i="3"/>
  <c r="AD169" i="3"/>
  <c r="AH92" i="3"/>
  <c r="AF91" i="3"/>
  <c r="AF109" i="3"/>
  <c r="X182" i="3"/>
  <c r="AI365" i="3"/>
  <c r="AI80" i="3"/>
  <c r="AH79" i="3"/>
  <c r="AE131" i="3"/>
  <c r="AE150" i="3"/>
  <c r="AH42" i="3"/>
  <c r="AD152" i="3"/>
  <c r="Z264" i="3"/>
  <c r="AB13" i="3"/>
  <c r="X69" i="3" l="1"/>
  <c r="AV262" i="3"/>
  <c r="V155" i="3"/>
  <c r="W154" i="3"/>
  <c r="W155" i="3" s="1"/>
  <c r="V172" i="3"/>
  <c r="W171" i="3"/>
  <c r="W172" i="3" s="1"/>
  <c r="AR199" i="3"/>
  <c r="AU199" i="3"/>
  <c r="AT199" i="3"/>
  <c r="AS199" i="3"/>
  <c r="AP368" i="3"/>
  <c r="AC64" i="3"/>
  <c r="AQ32" i="3"/>
  <c r="P258" i="3"/>
  <c r="Q352" i="3"/>
  <c r="Q353" i="3" s="1"/>
  <c r="Q258" i="3" s="1"/>
  <c r="S230" i="3" s="1"/>
  <c r="M258" i="3"/>
  <c r="L358" i="3"/>
  <c r="L360" i="3" s="1"/>
  <c r="L263" i="3"/>
  <c r="L269" i="3" s="1"/>
  <c r="L299" i="3" s="1"/>
  <c r="K358" i="3"/>
  <c r="K360" i="3" s="1"/>
  <c r="K263" i="3"/>
  <c r="K269" i="3" s="1"/>
  <c r="K299" i="3" s="1"/>
  <c r="AJ39" i="3"/>
  <c r="O358" i="3"/>
  <c r="O360" i="3" s="1"/>
  <c r="O263" i="3"/>
  <c r="O269" i="3" s="1"/>
  <c r="O299" i="3" s="1"/>
  <c r="AD70" i="3"/>
  <c r="Y265" i="3"/>
  <c r="Y266" i="3" s="1"/>
  <c r="AD60" i="3"/>
  <c r="AD64" i="3" s="1"/>
  <c r="AI145" i="3"/>
  <c r="AJ146" i="3"/>
  <c r="AI88" i="3"/>
  <c r="AH87" i="3"/>
  <c r="AK246" i="3"/>
  <c r="AL246" i="3" s="1"/>
  <c r="AK240" i="3"/>
  <c r="AK244" i="3"/>
  <c r="AL244" i="3" s="1"/>
  <c r="AK252" i="3"/>
  <c r="AL252" i="3" s="1"/>
  <c r="AF158" i="3"/>
  <c r="AF167" i="3" s="1"/>
  <c r="AH159" i="3"/>
  <c r="AJ324" i="3"/>
  <c r="AK278" i="3"/>
  <c r="AJ267" i="3"/>
  <c r="AI338" i="3"/>
  <c r="AI93" i="3"/>
  <c r="AJ94" i="3"/>
  <c r="AD13" i="3"/>
  <c r="AD323" i="3" s="1"/>
  <c r="AM177" i="3"/>
  <c r="AF150" i="3"/>
  <c r="Y182" i="3"/>
  <c r="AF52" i="3"/>
  <c r="AF53" i="3" s="1"/>
  <c r="AE54" i="3"/>
  <c r="AE57" i="3"/>
  <c r="AI97" i="3"/>
  <c r="AJ296" i="3"/>
  <c r="X186" i="3"/>
  <c r="AH127" i="3"/>
  <c r="AI86" i="3"/>
  <c r="AH85" i="3"/>
  <c r="AE63" i="3"/>
  <c r="AI42" i="3"/>
  <c r="AJ80" i="3"/>
  <c r="AI79" i="3"/>
  <c r="AF113" i="3"/>
  <c r="AI163" i="3"/>
  <c r="AH162" i="3"/>
  <c r="AE169" i="3"/>
  <c r="AI144" i="3"/>
  <c r="AH143" i="3"/>
  <c r="AE152" i="3"/>
  <c r="Y151" i="3"/>
  <c r="X154" i="3"/>
  <c r="X155" i="3" s="1"/>
  <c r="AF148" i="3"/>
  <c r="AG148" i="3" s="1"/>
  <c r="AK161" i="3"/>
  <c r="AJ160" i="3"/>
  <c r="AF119" i="3"/>
  <c r="AF55" i="3"/>
  <c r="AA329" i="3"/>
  <c r="AB329" i="3" s="1"/>
  <c r="AB259" i="3"/>
  <c r="AC322" i="3"/>
  <c r="S358" i="3"/>
  <c r="S360" i="3" s="1"/>
  <c r="S263" i="3"/>
  <c r="S269" i="3" s="1"/>
  <c r="S299" i="3" s="1"/>
  <c r="AH135" i="3"/>
  <c r="AI133" i="3"/>
  <c r="AF345" i="3"/>
  <c r="AG345" i="3" s="1"/>
  <c r="AH41" i="3"/>
  <c r="AB222" i="3"/>
  <c r="AH123" i="3"/>
  <c r="AF138" i="3"/>
  <c r="AJ237" i="3"/>
  <c r="AJ346" i="3"/>
  <c r="AI142" i="3"/>
  <c r="AH141" i="3"/>
  <c r="AI116" i="3"/>
  <c r="AH115" i="3"/>
  <c r="U352" i="3"/>
  <c r="U353" i="3" s="1"/>
  <c r="T258" i="3"/>
  <c r="AD66" i="3"/>
  <c r="AI92" i="3"/>
  <c r="AH91" i="3"/>
  <c r="AI99" i="3"/>
  <c r="AI82" i="3"/>
  <c r="AH81" i="3"/>
  <c r="AC336" i="3"/>
  <c r="AC323" i="3"/>
  <c r="AC280" i="3"/>
  <c r="AC275" i="3"/>
  <c r="AC259" i="3"/>
  <c r="AC185" i="3"/>
  <c r="AC222" i="3"/>
  <c r="AJ175" i="3"/>
  <c r="AI174" i="3"/>
  <c r="AI111" i="3"/>
  <c r="AH121" i="3"/>
  <c r="AJ365" i="3"/>
  <c r="AH109" i="3"/>
  <c r="AB336" i="3"/>
  <c r="AE293" i="3"/>
  <c r="AD295" i="3"/>
  <c r="AA264" i="3"/>
  <c r="Z260" i="3"/>
  <c r="Z330" i="3" s="1"/>
  <c r="Z321" i="3"/>
  <c r="AF95" i="3"/>
  <c r="AH101" i="3"/>
  <c r="AG292" i="3"/>
  <c r="AF83" i="3"/>
  <c r="Y168" i="3"/>
  <c r="X171" i="3"/>
  <c r="AJ59" i="3"/>
  <c r="AI58" i="3"/>
  <c r="Y69" i="3"/>
  <c r="AA289" i="3"/>
  <c r="AB275" i="3"/>
  <c r="AF125" i="3"/>
  <c r="AH105" i="3"/>
  <c r="AI103" i="3"/>
  <c r="AH129" i="3"/>
  <c r="AI118" i="3"/>
  <c r="AH117" i="3"/>
  <c r="AF131" i="3"/>
  <c r="AF89" i="3"/>
  <c r="AV199" i="3" l="1"/>
  <c r="AR368" i="3"/>
  <c r="AK39" i="3"/>
  <c r="X172" i="3"/>
  <c r="M263" i="3"/>
  <c r="M269" i="3" s="1"/>
  <c r="M299" i="3" s="1"/>
  <c r="M230" i="3"/>
  <c r="M358" i="3"/>
  <c r="M360" i="3" s="1"/>
  <c r="AL240" i="3"/>
  <c r="AL39" i="3" s="1"/>
  <c r="Q358" i="3"/>
  <c r="Q360" i="3" s="1"/>
  <c r="Q263" i="3"/>
  <c r="Q269" i="3" s="1"/>
  <c r="Q299" i="3" s="1"/>
  <c r="R258" i="3"/>
  <c r="P263" i="3"/>
  <c r="P269" i="3" s="1"/>
  <c r="P299" i="3" s="1"/>
  <c r="P358" i="3"/>
  <c r="P360" i="3" s="1"/>
  <c r="AF63" i="3"/>
  <c r="AF66" i="3" s="1"/>
  <c r="AD275" i="3"/>
  <c r="AD185" i="3"/>
  <c r="AD336" i="3"/>
  <c r="AD339" i="3" s="1"/>
  <c r="AK94" i="3"/>
  <c r="AJ93" i="3"/>
  <c r="AK324" i="3"/>
  <c r="AL324" i="3" s="1"/>
  <c r="AM278" i="3"/>
  <c r="AL278" i="3"/>
  <c r="AI87" i="3"/>
  <c r="AJ88" i="3"/>
  <c r="AD222" i="3"/>
  <c r="AD259" i="3"/>
  <c r="AN229" i="3"/>
  <c r="AM252" i="3"/>
  <c r="AM246" i="3"/>
  <c r="AM240" i="3"/>
  <c r="AM244" i="3"/>
  <c r="AK146" i="3"/>
  <c r="AJ145" i="3"/>
  <c r="AD280" i="3"/>
  <c r="AF165" i="3"/>
  <c r="AK267" i="3"/>
  <c r="AJ338" i="3"/>
  <c r="AI159" i="3"/>
  <c r="AH158" i="3"/>
  <c r="AH167" i="3" s="1"/>
  <c r="AE60" i="3"/>
  <c r="AN177" i="3"/>
  <c r="AE70" i="3"/>
  <c r="AE13" i="3"/>
  <c r="AH52" i="3"/>
  <c r="AH53" i="3" s="1"/>
  <c r="AJ97" i="3"/>
  <c r="AI109" i="3"/>
  <c r="AJ82" i="3"/>
  <c r="AI81" i="3"/>
  <c r="AI83" i="3" s="1"/>
  <c r="AH119" i="3"/>
  <c r="AH55" i="3"/>
  <c r="AH56" i="3" s="1"/>
  <c r="AH148" i="3"/>
  <c r="AI123" i="3"/>
  <c r="AJ86" i="3"/>
  <c r="AI85" i="3"/>
  <c r="AJ118" i="3"/>
  <c r="AI117" i="3"/>
  <c r="AJ103" i="3"/>
  <c r="Y186" i="3"/>
  <c r="Y171" i="3"/>
  <c r="Y172" i="3" s="1"/>
  <c r="AF293" i="3"/>
  <c r="AE295" i="3"/>
  <c r="AK365" i="3"/>
  <c r="AI121" i="3"/>
  <c r="AC339" i="3"/>
  <c r="AI101" i="3"/>
  <c r="AJ116" i="3"/>
  <c r="AI115" i="3"/>
  <c r="AJ142" i="3"/>
  <c r="AI141" i="3"/>
  <c r="AI135" i="3"/>
  <c r="AI138" i="3" s="1"/>
  <c r="AF56" i="3"/>
  <c r="AM161" i="3"/>
  <c r="AK160" i="3"/>
  <c r="Y154" i="3"/>
  <c r="Y155" i="3" s="1"/>
  <c r="AJ42" i="3"/>
  <c r="AH131" i="3"/>
  <c r="AH138" i="3"/>
  <c r="AB289" i="3"/>
  <c r="Z18" i="3"/>
  <c r="AK175" i="3"/>
  <c r="AJ174" i="3"/>
  <c r="AJ92" i="3"/>
  <c r="AI91" i="3"/>
  <c r="AF54" i="3"/>
  <c r="AB339" i="3"/>
  <c r="AB368" i="3"/>
  <c r="AJ99" i="3"/>
  <c r="T230" i="3"/>
  <c r="T358" i="3"/>
  <c r="T360" i="3" s="1"/>
  <c r="T263" i="3"/>
  <c r="T269" i="3" s="1"/>
  <c r="T299" i="3" s="1"/>
  <c r="AK237" i="3"/>
  <c r="AL237" i="3" s="1"/>
  <c r="AK346" i="3"/>
  <c r="AL346" i="3" s="1"/>
  <c r="AL236" i="3"/>
  <c r="AJ133" i="3"/>
  <c r="AF57" i="3"/>
  <c r="AF152" i="3"/>
  <c r="AE66" i="3"/>
  <c r="AI127" i="3"/>
  <c r="AH292" i="3"/>
  <c r="AH125" i="3"/>
  <c r="AC289" i="3"/>
  <c r="AD289" i="3" s="1"/>
  <c r="AH345" i="3"/>
  <c r="AI41" i="3"/>
  <c r="AI129" i="3"/>
  <c r="AI105" i="3"/>
  <c r="AI107" i="3" s="1"/>
  <c r="Z265" i="3"/>
  <c r="AK59" i="3"/>
  <c r="AJ58" i="3"/>
  <c r="AC264" i="3"/>
  <c r="AC321" i="3" s="1"/>
  <c r="AB264" i="3"/>
  <c r="AA260" i="3"/>
  <c r="AA321" i="3"/>
  <c r="AA18" i="3" s="1"/>
  <c r="AH113" i="3"/>
  <c r="AH150" i="3"/>
  <c r="AJ111" i="3"/>
  <c r="AC329" i="3"/>
  <c r="AD322" i="3"/>
  <c r="AH95" i="3"/>
  <c r="AH83" i="3"/>
  <c r="AH107" i="3"/>
  <c r="U258" i="3"/>
  <c r="V352" i="3"/>
  <c r="AJ144" i="3"/>
  <c r="AI143" i="3"/>
  <c r="AJ163" i="3"/>
  <c r="AI162" i="3"/>
  <c r="AK80" i="3"/>
  <c r="AJ79" i="3"/>
  <c r="AH89" i="3"/>
  <c r="AK296" i="3"/>
  <c r="AS368" i="3" l="1"/>
  <c r="AE64" i="3"/>
  <c r="AT368" i="3"/>
  <c r="AF169" i="3"/>
  <c r="AG165" i="3"/>
  <c r="AH165" i="3"/>
  <c r="R358" i="3"/>
  <c r="R360" i="3" s="1"/>
  <c r="R263" i="3"/>
  <c r="R269" i="3" s="1"/>
  <c r="R299" i="3" s="1"/>
  <c r="R230" i="3"/>
  <c r="AE259" i="3"/>
  <c r="AK42" i="3"/>
  <c r="AK338" i="3"/>
  <c r="AL338" i="3" s="1"/>
  <c r="AL267" i="3"/>
  <c r="AM267" i="3"/>
  <c r="AN278" i="3"/>
  <c r="AM324" i="3"/>
  <c r="AK145" i="3"/>
  <c r="AM146" i="3"/>
  <c r="AN246" i="3"/>
  <c r="AO229" i="3"/>
  <c r="AN240" i="3"/>
  <c r="AN252" i="3"/>
  <c r="AN244" i="3"/>
  <c r="AJ87" i="3"/>
  <c r="AK88" i="3"/>
  <c r="AJ159" i="3"/>
  <c r="AI158" i="3"/>
  <c r="AI167" i="3" s="1"/>
  <c r="AM39" i="3"/>
  <c r="AM94" i="3"/>
  <c r="AK93" i="3"/>
  <c r="AO177" i="3"/>
  <c r="AE280" i="3"/>
  <c r="AE275" i="3"/>
  <c r="AE336" i="3"/>
  <c r="AE339" i="3" s="1"/>
  <c r="AE222" i="3"/>
  <c r="AE185" i="3"/>
  <c r="AE323" i="3"/>
  <c r="AE289" i="3" s="1"/>
  <c r="AH57" i="3"/>
  <c r="AH63" i="3"/>
  <c r="AH66" i="3" s="1"/>
  <c r="AM98" i="3"/>
  <c r="AK97" i="3"/>
  <c r="AF60" i="3"/>
  <c r="AF64" i="3" s="1"/>
  <c r="AC18" i="3"/>
  <c r="AB18" i="3"/>
  <c r="AI148" i="3"/>
  <c r="AK86" i="3"/>
  <c r="AJ85" i="3"/>
  <c r="AM80" i="3"/>
  <c r="AK79" i="3"/>
  <c r="AK144" i="3"/>
  <c r="AJ143" i="3"/>
  <c r="AH54" i="3"/>
  <c r="AM112" i="3"/>
  <c r="AK111" i="3"/>
  <c r="AA265" i="3"/>
  <c r="Z266" i="3"/>
  <c r="AJ129" i="3"/>
  <c r="AJ101" i="3"/>
  <c r="AF13" i="3"/>
  <c r="AF70" i="3"/>
  <c r="AE322" i="3"/>
  <c r="AK142" i="3"/>
  <c r="AJ141" i="3"/>
  <c r="AI125" i="3"/>
  <c r="AK118" i="3"/>
  <c r="AJ117" i="3"/>
  <c r="AJ109" i="3"/>
  <c r="AM296" i="3"/>
  <c r="AL296" i="3"/>
  <c r="AK92" i="3"/>
  <c r="AJ91" i="3"/>
  <c r="AN161" i="3"/>
  <c r="AM160" i="3"/>
  <c r="Z69" i="3"/>
  <c r="AH152" i="3"/>
  <c r="AI113" i="3"/>
  <c r="AI131" i="3"/>
  <c r="AH169" i="3"/>
  <c r="AM134" i="3"/>
  <c r="AK133" i="3"/>
  <c r="AM237" i="3"/>
  <c r="AM346" i="3"/>
  <c r="AM100" i="3"/>
  <c r="AK99" i="3"/>
  <c r="AM175" i="3"/>
  <c r="AK174" i="3"/>
  <c r="AD329" i="3"/>
  <c r="Z182" i="3"/>
  <c r="Z151" i="3"/>
  <c r="AI119" i="3"/>
  <c r="AI55" i="3"/>
  <c r="AI56" i="3" s="1"/>
  <c r="AJ121" i="3"/>
  <c r="AG293" i="3"/>
  <c r="AF295" i="3"/>
  <c r="Z168" i="3"/>
  <c r="AM59" i="3"/>
  <c r="AK58" i="3"/>
  <c r="AJ135" i="3"/>
  <c r="AI150" i="3"/>
  <c r="AB260" i="3"/>
  <c r="AA330" i="3"/>
  <c r="AB330" i="3" s="1"/>
  <c r="AD264" i="3"/>
  <c r="AC260" i="3"/>
  <c r="AC330" i="3" s="1"/>
  <c r="AK163" i="3"/>
  <c r="AJ162" i="3"/>
  <c r="U230" i="3"/>
  <c r="U358" i="3"/>
  <c r="U360" i="3" s="1"/>
  <c r="U263" i="3"/>
  <c r="U269" i="3" s="1"/>
  <c r="U299" i="3" s="1"/>
  <c r="AJ105" i="3"/>
  <c r="AJ107" i="3" s="1"/>
  <c r="AJ41" i="3"/>
  <c r="AI345" i="3"/>
  <c r="AI292" i="3"/>
  <c r="AJ127" i="3"/>
  <c r="AI52" i="3"/>
  <c r="AI95" i="3"/>
  <c r="AB321" i="3"/>
  <c r="AK116" i="3"/>
  <c r="AJ115" i="3"/>
  <c r="AM365" i="3"/>
  <c r="AM104" i="3"/>
  <c r="AK103" i="3"/>
  <c r="AI89" i="3"/>
  <c r="AJ123" i="3"/>
  <c r="AK82" i="3"/>
  <c r="AJ81" i="3"/>
  <c r="AJ83" i="3" s="1"/>
  <c r="AU368" i="3" l="1"/>
  <c r="AG60" i="3"/>
  <c r="AJ52" i="3"/>
  <c r="AJ53" i="3" s="1"/>
  <c r="AI165" i="3"/>
  <c r="AI169" i="3" s="1"/>
  <c r="AM42" i="3"/>
  <c r="AJ150" i="3"/>
  <c r="AF322" i="3"/>
  <c r="AG322" i="3" s="1"/>
  <c r="AK159" i="3"/>
  <c r="AJ158" i="3"/>
  <c r="AJ167" i="3" s="1"/>
  <c r="AN146" i="3"/>
  <c r="AM145" i="3"/>
  <c r="AN267" i="3"/>
  <c r="AM338" i="3"/>
  <c r="AM88" i="3"/>
  <c r="AK87" i="3"/>
  <c r="AN39" i="3"/>
  <c r="AO240" i="3"/>
  <c r="AO244" i="3"/>
  <c r="AO252" i="3"/>
  <c r="AO246" i="3"/>
  <c r="AP229" i="3"/>
  <c r="AR229" i="3" s="1"/>
  <c r="AM93" i="3"/>
  <c r="AN94" i="3"/>
  <c r="AO278" i="3"/>
  <c r="AN324" i="3"/>
  <c r="AP177" i="3"/>
  <c r="AR177" i="3" s="1"/>
  <c r="AI54" i="3"/>
  <c r="AN98" i="3"/>
  <c r="AM97" i="3"/>
  <c r="AA182" i="3"/>
  <c r="AM124" i="3"/>
  <c r="AK123" i="3"/>
  <c r="W30" i="3"/>
  <c r="V31" i="3"/>
  <c r="V34" i="3" s="1"/>
  <c r="AN134" i="3"/>
  <c r="AM133" i="3"/>
  <c r="AN112" i="3"/>
  <c r="AM111" i="3"/>
  <c r="AM128" i="3"/>
  <c r="AK127" i="3"/>
  <c r="AK41" i="3"/>
  <c r="AJ345" i="3"/>
  <c r="AM136" i="3"/>
  <c r="AK135" i="3"/>
  <c r="AK138" i="3" s="1"/>
  <c r="AJ125" i="3"/>
  <c r="AI57" i="3"/>
  <c r="AK101" i="3"/>
  <c r="AN237" i="3"/>
  <c r="AN42" i="3" s="1"/>
  <c r="AN346" i="3"/>
  <c r="AM92" i="3"/>
  <c r="AK91" i="3"/>
  <c r="AM118" i="3"/>
  <c r="AK117" i="3"/>
  <c r="AJ148" i="3"/>
  <c r="AH13" i="3"/>
  <c r="AH70" i="3"/>
  <c r="AN80" i="3"/>
  <c r="AM79" i="3"/>
  <c r="AM86" i="3"/>
  <c r="AK85" i="3"/>
  <c r="AM116" i="3"/>
  <c r="AK115" i="3"/>
  <c r="AJ131" i="3"/>
  <c r="AH293" i="3"/>
  <c r="AG295" i="3"/>
  <c r="AN175" i="3"/>
  <c r="AM174" i="3"/>
  <c r="AA69" i="3"/>
  <c r="AJ89" i="3"/>
  <c r="AE329" i="3"/>
  <c r="AN365" i="3"/>
  <c r="AN59" i="3"/>
  <c r="AM58" i="3"/>
  <c r="AA168" i="3"/>
  <c r="Z171" i="3"/>
  <c r="AM122" i="3"/>
  <c r="AK121" i="3"/>
  <c r="AN100" i="3"/>
  <c r="AM99" i="3"/>
  <c r="AO161" i="3"/>
  <c r="AN160" i="3"/>
  <c r="AJ113" i="3"/>
  <c r="AM142" i="3"/>
  <c r="AK141" i="3"/>
  <c r="AM130" i="3"/>
  <c r="AK129" i="3"/>
  <c r="AN104" i="3"/>
  <c r="AM103" i="3"/>
  <c r="AE264" i="3"/>
  <c r="AD260" i="3"/>
  <c r="AD330" i="3" s="1"/>
  <c r="AJ95" i="3"/>
  <c r="AN296" i="3"/>
  <c r="AF336" i="3"/>
  <c r="AF323" i="3"/>
  <c r="AF275" i="3"/>
  <c r="AF259" i="3"/>
  <c r="AF280" i="3"/>
  <c r="AG280" i="3" s="1"/>
  <c r="AF222" i="3"/>
  <c r="AF185" i="3"/>
  <c r="AG13" i="3"/>
  <c r="AC265" i="3"/>
  <c r="AB265" i="3"/>
  <c r="AB266" i="3" s="1"/>
  <c r="AA266" i="3"/>
  <c r="AM82" i="3"/>
  <c r="AK81" i="3"/>
  <c r="AK83" i="3" s="1"/>
  <c r="AJ165" i="3"/>
  <c r="AJ119" i="3"/>
  <c r="AJ55" i="3"/>
  <c r="AI63" i="3"/>
  <c r="AI53" i="3"/>
  <c r="AJ292" i="3"/>
  <c r="AM106" i="3"/>
  <c r="AK105" i="3"/>
  <c r="AK107" i="3" s="1"/>
  <c r="AM163" i="3"/>
  <c r="AK162" i="3"/>
  <c r="AD321" i="3"/>
  <c r="AA151" i="3"/>
  <c r="Z154" i="3"/>
  <c r="Z155" i="3" s="1"/>
  <c r="AM110" i="3"/>
  <c r="AK109" i="3"/>
  <c r="AJ138" i="3"/>
  <c r="AM144" i="3"/>
  <c r="AK143" i="3"/>
  <c r="AH60" i="3"/>
  <c r="AI152" i="3"/>
  <c r="Z186" i="3"/>
  <c r="AR252" i="3" l="1"/>
  <c r="AS229" i="3"/>
  <c r="AR244" i="3"/>
  <c r="AR246" i="3"/>
  <c r="AR240" i="3"/>
  <c r="AH64" i="3"/>
  <c r="AS177" i="3"/>
  <c r="AJ63" i="3"/>
  <c r="AK150" i="3"/>
  <c r="Z172" i="3"/>
  <c r="AI60" i="3"/>
  <c r="AI64" i="3" s="1"/>
  <c r="AN93" i="3"/>
  <c r="AO94" i="3"/>
  <c r="AM87" i="3"/>
  <c r="AN88" i="3"/>
  <c r="AN145" i="3"/>
  <c r="AO146" i="3"/>
  <c r="AP244" i="3"/>
  <c r="AQ244" i="3" s="1"/>
  <c r="AP246" i="3"/>
  <c r="AQ246" i="3" s="1"/>
  <c r="AP252" i="3"/>
  <c r="AQ252" i="3" s="1"/>
  <c r="AP240" i="3"/>
  <c r="AO39" i="3"/>
  <c r="AP278" i="3"/>
  <c r="AR278" i="3" s="1"/>
  <c r="AO324" i="3"/>
  <c r="AO267" i="3"/>
  <c r="AN338" i="3"/>
  <c r="AM159" i="3"/>
  <c r="AK158" i="3"/>
  <c r="AK167" i="3" s="1"/>
  <c r="AI70" i="3"/>
  <c r="AM101" i="3"/>
  <c r="AJ56" i="3"/>
  <c r="AJ54" i="3"/>
  <c r="AC182" i="3"/>
  <c r="AO98" i="3"/>
  <c r="AN97" i="3"/>
  <c r="AJ66" i="3"/>
  <c r="AN106" i="3"/>
  <c r="AM105" i="3"/>
  <c r="AJ169" i="3"/>
  <c r="AH336" i="3"/>
  <c r="AH323" i="3"/>
  <c r="AH259" i="3"/>
  <c r="AH280" i="3"/>
  <c r="AH275" i="3"/>
  <c r="AH222" i="3"/>
  <c r="AH185" i="3"/>
  <c r="AO346" i="3"/>
  <c r="AQ236" i="3"/>
  <c r="AO237" i="3"/>
  <c r="AK292" i="3"/>
  <c r="AG222" i="3"/>
  <c r="AF339" i="3"/>
  <c r="AG336" i="3"/>
  <c r="AO104" i="3"/>
  <c r="AN103" i="3"/>
  <c r="AK148" i="3"/>
  <c r="AL148" i="3" s="1"/>
  <c r="AO100" i="3"/>
  <c r="AN99" i="3"/>
  <c r="AC168" i="3"/>
  <c r="AA171" i="3"/>
  <c r="AA172" i="3" s="1"/>
  <c r="AO175" i="3"/>
  <c r="AN174" i="3"/>
  <c r="AO80" i="3"/>
  <c r="AN79" i="3"/>
  <c r="AN118" i="3"/>
  <c r="AM117" i="3"/>
  <c r="AM41" i="3"/>
  <c r="AK345" i="3"/>
  <c r="AL345" i="3" s="1"/>
  <c r="AO112" i="3"/>
  <c r="AN111" i="3"/>
  <c r="AD18" i="3"/>
  <c r="AJ57" i="3"/>
  <c r="AO365" i="3"/>
  <c r="AK113" i="3"/>
  <c r="AO296" i="3"/>
  <c r="AN142" i="3"/>
  <c r="AM141" i="3"/>
  <c r="AP161" i="3"/>
  <c r="AO160" i="3"/>
  <c r="AK125" i="3"/>
  <c r="AK119" i="3"/>
  <c r="AK55" i="3"/>
  <c r="AK56" i="3" s="1"/>
  <c r="AK89" i="3"/>
  <c r="AJ152" i="3"/>
  <c r="AK95" i="3"/>
  <c r="AK131" i="3"/>
  <c r="AI13" i="3"/>
  <c r="AC151" i="3"/>
  <c r="AA154" i="3"/>
  <c r="AI66" i="3"/>
  <c r="AN82" i="3"/>
  <c r="AM81" i="3"/>
  <c r="AD265" i="3"/>
  <c r="AC266" i="3"/>
  <c r="AF289" i="3"/>
  <c r="AG323" i="3"/>
  <c r="AN144" i="3"/>
  <c r="AM143" i="3"/>
  <c r="AN163" i="3"/>
  <c r="AM162" i="3"/>
  <c r="AF329" i="3"/>
  <c r="AG329" i="3" s="1"/>
  <c r="AG259" i="3"/>
  <c r="AH322" i="3"/>
  <c r="AN110" i="3"/>
  <c r="AM109" i="3"/>
  <c r="AK52" i="3"/>
  <c r="AG275" i="3"/>
  <c r="AF264" i="3"/>
  <c r="AE260" i="3"/>
  <c r="AE330" i="3" s="1"/>
  <c r="AE321" i="3"/>
  <c r="AE18" i="3" s="1"/>
  <c r="AN130" i="3"/>
  <c r="AM129" i="3"/>
  <c r="AN122" i="3"/>
  <c r="AM121" i="3"/>
  <c r="AO59" i="3"/>
  <c r="AN58" i="3"/>
  <c r="AC69" i="3"/>
  <c r="AA186" i="3"/>
  <c r="AI293" i="3"/>
  <c r="AH295" i="3"/>
  <c r="AN116" i="3"/>
  <c r="AM115" i="3"/>
  <c r="AN86" i="3"/>
  <c r="AM85" i="3"/>
  <c r="AN92" i="3"/>
  <c r="AM91" i="3"/>
  <c r="AN136" i="3"/>
  <c r="AM135" i="3"/>
  <c r="AN128" i="3"/>
  <c r="AM127" i="3"/>
  <c r="AO134" i="3"/>
  <c r="AN133" i="3"/>
  <c r="W31" i="3"/>
  <c r="W34" i="3" s="1"/>
  <c r="AN124" i="3"/>
  <c r="AM123" i="3"/>
  <c r="AT177" i="3" l="1"/>
  <c r="AM113" i="3"/>
  <c r="AM138" i="3"/>
  <c r="AM83" i="3"/>
  <c r="AM95" i="3"/>
  <c r="AP160" i="3"/>
  <c r="AR161" i="3"/>
  <c r="AM107" i="3"/>
  <c r="AR39" i="3"/>
  <c r="AM150" i="3"/>
  <c r="AS278" i="3"/>
  <c r="AR324" i="3"/>
  <c r="AS244" i="3"/>
  <c r="AS240" i="3"/>
  <c r="AS252" i="3"/>
  <c r="AT229" i="3"/>
  <c r="AS246" i="3"/>
  <c r="AQ240" i="3"/>
  <c r="AQ39" i="3" s="1"/>
  <c r="AP39" i="3"/>
  <c r="AA155" i="3"/>
  <c r="AB154" i="3"/>
  <c r="AB155" i="3" s="1"/>
  <c r="AB171" i="3"/>
  <c r="AB172" i="3" s="1"/>
  <c r="AK165" i="3"/>
  <c r="AL165" i="3" s="1"/>
  <c r="AM89" i="3"/>
  <c r="AP267" i="3"/>
  <c r="AR267" i="3" s="1"/>
  <c r="AO338" i="3"/>
  <c r="AO88" i="3"/>
  <c r="AN87" i="3"/>
  <c r="AN159" i="3"/>
  <c r="AM158" i="3"/>
  <c r="AP146" i="3"/>
  <c r="AO145" i="3"/>
  <c r="AO93" i="3"/>
  <c r="AP94" i="3"/>
  <c r="AP324" i="3"/>
  <c r="AQ324" i="3" s="1"/>
  <c r="AQ278" i="3"/>
  <c r="AN101" i="3"/>
  <c r="AM131" i="3"/>
  <c r="AK54" i="3"/>
  <c r="AJ60" i="3"/>
  <c r="AP98" i="3"/>
  <c r="AO97" i="3"/>
  <c r="AN41" i="3"/>
  <c r="AM345" i="3"/>
  <c r="AH289" i="3"/>
  <c r="AO124" i="3"/>
  <c r="AN123" i="3"/>
  <c r="AP134" i="3"/>
  <c r="AO133" i="3"/>
  <c r="AO136" i="3"/>
  <c r="AN135" i="3"/>
  <c r="AO116" i="3"/>
  <c r="AN115" i="3"/>
  <c r="AM125" i="3"/>
  <c r="AK63" i="3"/>
  <c r="AK53" i="3"/>
  <c r="AM52" i="3"/>
  <c r="AG289" i="3"/>
  <c r="AO82" i="3"/>
  <c r="AN81" i="3"/>
  <c r="AD151" i="3"/>
  <c r="AC154" i="3"/>
  <c r="AK57" i="3"/>
  <c r="AM148" i="3"/>
  <c r="AP296" i="3"/>
  <c r="AR296" i="3" s="1"/>
  <c r="AS296" i="3" s="1"/>
  <c r="AT296" i="3" s="1"/>
  <c r="AU296" i="3" s="1"/>
  <c r="AV296" i="3" s="1"/>
  <c r="AP175" i="3"/>
  <c r="AO174" i="3"/>
  <c r="AP100" i="3"/>
  <c r="AO99" i="3"/>
  <c r="AP104" i="3"/>
  <c r="AO103" i="3"/>
  <c r="AH339" i="3"/>
  <c r="AO106" i="3"/>
  <c r="AN105" i="3"/>
  <c r="AJ13" i="3"/>
  <c r="AP112" i="3"/>
  <c r="AO111" i="3"/>
  <c r="AO130" i="3"/>
  <c r="AN129" i="3"/>
  <c r="AO110" i="3"/>
  <c r="AN109" i="3"/>
  <c r="AI336" i="3"/>
  <c r="AI339" i="3" s="1"/>
  <c r="AI323" i="3"/>
  <c r="AI280" i="3"/>
  <c r="AI275" i="3"/>
  <c r="AI259" i="3"/>
  <c r="AI185" i="3"/>
  <c r="AI222" i="3"/>
  <c r="AO142" i="3"/>
  <c r="AN141" i="3"/>
  <c r="AK152" i="3"/>
  <c r="AG339" i="3"/>
  <c r="AG368" i="3"/>
  <c r="AL292" i="3"/>
  <c r="AP346" i="3"/>
  <c r="AQ346" i="3" s="1"/>
  <c r="AP237" i="3"/>
  <c r="AQ237" i="3" s="1"/>
  <c r="AM119" i="3"/>
  <c r="AM55" i="3"/>
  <c r="AM56" i="3" s="1"/>
  <c r="AP59" i="3"/>
  <c r="AO58" i="3"/>
  <c r="AP365" i="3"/>
  <c r="AR365" i="3" s="1"/>
  <c r="AO86" i="3"/>
  <c r="AN85" i="3"/>
  <c r="AD69" i="3"/>
  <c r="AC186" i="3"/>
  <c r="AO122" i="3"/>
  <c r="AN121" i="3"/>
  <c r="AH264" i="3"/>
  <c r="AF260" i="3"/>
  <c r="AG264" i="3"/>
  <c r="AF321" i="3"/>
  <c r="AO128" i="3"/>
  <c r="AN127" i="3"/>
  <c r="AO92" i="3"/>
  <c r="AN91" i="3"/>
  <c r="AN95" i="3" s="1"/>
  <c r="AJ293" i="3"/>
  <c r="AI295" i="3"/>
  <c r="AO163" i="3"/>
  <c r="AN162" i="3"/>
  <c r="AO144" i="3"/>
  <c r="AN143" i="3"/>
  <c r="AE265" i="3"/>
  <c r="AD266" i="3"/>
  <c r="AO118" i="3"/>
  <c r="AN117" i="3"/>
  <c r="AP80" i="3"/>
  <c r="AO79" i="3"/>
  <c r="AD168" i="3"/>
  <c r="AC171" i="3"/>
  <c r="AH329" i="3"/>
  <c r="AI322" i="3"/>
  <c r="AO42" i="3"/>
  <c r="AJ70" i="3"/>
  <c r="AD182" i="3"/>
  <c r="AP79" i="3" l="1"/>
  <c r="AR80" i="3"/>
  <c r="AP58" i="3"/>
  <c r="AR59" i="3"/>
  <c r="AN138" i="3"/>
  <c r="AS324" i="3"/>
  <c r="AT278" i="3"/>
  <c r="AK169" i="3"/>
  <c r="AN107" i="3"/>
  <c r="AP103" i="3"/>
  <c r="AR104" i="3"/>
  <c r="AP174" i="3"/>
  <c r="AR175" i="3"/>
  <c r="AP93" i="3"/>
  <c r="AR94" i="3"/>
  <c r="AM167" i="3"/>
  <c r="AS39" i="3"/>
  <c r="AP145" i="3"/>
  <c r="AR146" i="3"/>
  <c r="AU177" i="3"/>
  <c r="AS365" i="3"/>
  <c r="AN113" i="3"/>
  <c r="AP97" i="3"/>
  <c r="AR98" i="3"/>
  <c r="AS267" i="3"/>
  <c r="AR338" i="3"/>
  <c r="AS161" i="3"/>
  <c r="AR160" i="3"/>
  <c r="AP111" i="3"/>
  <c r="AR112" i="3"/>
  <c r="AP99" i="3"/>
  <c r="AP101" i="3" s="1"/>
  <c r="AR100" i="3"/>
  <c r="AN83" i="3"/>
  <c r="AP133" i="3"/>
  <c r="AR134" i="3"/>
  <c r="AJ64" i="3"/>
  <c r="AM54" i="3"/>
  <c r="AT244" i="3"/>
  <c r="AT240" i="3"/>
  <c r="AT246" i="3"/>
  <c r="AU229" i="3"/>
  <c r="AT252" i="3"/>
  <c r="AC155" i="3"/>
  <c r="AC172" i="3"/>
  <c r="AP42" i="3"/>
  <c r="AR42" i="3" s="1"/>
  <c r="AS42" i="3" s="1"/>
  <c r="AT42" i="3" s="1"/>
  <c r="AU42" i="3" s="1"/>
  <c r="AM57" i="3"/>
  <c r="AM70" i="3" s="1"/>
  <c r="AO101" i="3"/>
  <c r="AN89" i="3"/>
  <c r="AN54" i="3" s="1"/>
  <c r="AN131" i="3"/>
  <c r="AO87" i="3"/>
  <c r="AP88" i="3"/>
  <c r="AN158" i="3"/>
  <c r="AN167" i="3" s="1"/>
  <c r="AO159" i="3"/>
  <c r="AP338" i="3"/>
  <c r="AQ338" i="3" s="1"/>
  <c r="AQ267" i="3"/>
  <c r="AM165" i="3"/>
  <c r="AK60" i="3"/>
  <c r="AK64" i="3" s="1"/>
  <c r="AN125" i="3"/>
  <c r="AK70" i="3"/>
  <c r="AN52" i="3"/>
  <c r="AN53" i="3" s="1"/>
  <c r="AE182" i="3"/>
  <c r="AI289" i="3"/>
  <c r="AP118" i="3"/>
  <c r="AO117" i="3"/>
  <c r="AP128" i="3"/>
  <c r="AO127" i="3"/>
  <c r="AN55" i="3"/>
  <c r="AN56" i="3" s="1"/>
  <c r="AN119" i="3"/>
  <c r="AO41" i="3"/>
  <c r="AN345" i="3"/>
  <c r="AE69" i="3"/>
  <c r="AP110" i="3"/>
  <c r="AO109" i="3"/>
  <c r="AJ336" i="3"/>
  <c r="AJ323" i="3"/>
  <c r="AJ280" i="3"/>
  <c r="AJ275" i="3"/>
  <c r="AJ259" i="3"/>
  <c r="AJ222" i="3"/>
  <c r="AJ185" i="3"/>
  <c r="AD186" i="3"/>
  <c r="AM63" i="3"/>
  <c r="AM53" i="3"/>
  <c r="AP116" i="3"/>
  <c r="AO115" i="3"/>
  <c r="AF265" i="3"/>
  <c r="AE266" i="3"/>
  <c r="AK293" i="3"/>
  <c r="AJ295" i="3"/>
  <c r="AM152" i="3"/>
  <c r="AP144" i="3"/>
  <c r="AO143" i="3"/>
  <c r="AP122" i="3"/>
  <c r="AO121" i="3"/>
  <c r="AM292" i="3"/>
  <c r="AN148" i="3"/>
  <c r="AI329" i="3"/>
  <c r="AJ322" i="3"/>
  <c r="AQ296" i="3"/>
  <c r="AP82" i="3"/>
  <c r="AO81" i="3"/>
  <c r="AK13" i="3"/>
  <c r="AE168" i="3"/>
  <c r="AD171" i="3"/>
  <c r="AD172" i="3" s="1"/>
  <c r="AP163" i="3"/>
  <c r="AO162" i="3"/>
  <c r="AI264" i="3"/>
  <c r="AI321" i="3" s="1"/>
  <c r="AI18" i="3" s="1"/>
  <c r="AH260" i="3"/>
  <c r="AH330" i="3" s="1"/>
  <c r="AE151" i="3"/>
  <c r="AD154" i="3"/>
  <c r="AD155" i="3" s="1"/>
  <c r="AP92" i="3"/>
  <c r="AO91" i="3"/>
  <c r="AH321" i="3"/>
  <c r="AF18" i="3"/>
  <c r="AG321" i="3"/>
  <c r="AG260" i="3"/>
  <c r="AF330" i="3"/>
  <c r="AG330" i="3" s="1"/>
  <c r="AP86" i="3"/>
  <c r="AO85" i="3"/>
  <c r="AN150" i="3"/>
  <c r="AP142" i="3"/>
  <c r="AO141" i="3"/>
  <c r="AP130" i="3"/>
  <c r="AO129" i="3"/>
  <c r="AP106" i="3"/>
  <c r="AO105" i="3"/>
  <c r="AK66" i="3"/>
  <c r="AP136" i="3"/>
  <c r="AO135" i="3"/>
  <c r="AP124" i="3"/>
  <c r="AO123" i="3"/>
  <c r="AT39" i="3" l="1"/>
  <c r="AO107" i="3"/>
  <c r="AS146" i="3"/>
  <c r="AR145" i="3"/>
  <c r="AS104" i="3"/>
  <c r="AR103" i="3"/>
  <c r="AP105" i="3"/>
  <c r="AP107" i="3" s="1"/>
  <c r="AR106" i="3"/>
  <c r="AP141" i="3"/>
  <c r="AR142" i="3"/>
  <c r="AP162" i="3"/>
  <c r="AR163" i="3"/>
  <c r="AO83" i="3"/>
  <c r="AP121" i="3"/>
  <c r="AR122" i="3"/>
  <c r="AO113" i="3"/>
  <c r="AP127" i="3"/>
  <c r="AR128" i="3"/>
  <c r="AL60" i="3"/>
  <c r="AS112" i="3"/>
  <c r="AR111" i="3"/>
  <c r="AT161" i="3"/>
  <c r="AS160" i="3"/>
  <c r="AS98" i="3"/>
  <c r="AR97" i="3"/>
  <c r="AT365" i="3"/>
  <c r="AT324" i="3"/>
  <c r="AU278" i="3"/>
  <c r="AS80" i="3"/>
  <c r="AR79" i="3"/>
  <c r="AP123" i="3"/>
  <c r="AP125" i="3" s="1"/>
  <c r="AR124" i="3"/>
  <c r="AO148" i="3"/>
  <c r="AO152" i="3" s="1"/>
  <c r="AM66" i="3"/>
  <c r="AP87" i="3"/>
  <c r="AR88" i="3"/>
  <c r="AP135" i="3"/>
  <c r="AP138" i="3" s="1"/>
  <c r="AR136" i="3"/>
  <c r="AO95" i="3"/>
  <c r="AP81" i="3"/>
  <c r="AP83" i="3" s="1"/>
  <c r="AR82" i="3"/>
  <c r="AP115" i="3"/>
  <c r="AP55" i="3" s="1"/>
  <c r="AR116" i="3"/>
  <c r="AP109" i="3"/>
  <c r="AP113" i="3" s="1"/>
  <c r="AR110" i="3"/>
  <c r="AU246" i="3"/>
  <c r="AV246" i="3" s="1"/>
  <c r="AU244" i="3"/>
  <c r="AV244" i="3" s="1"/>
  <c r="AU240" i="3"/>
  <c r="AU39" i="3" s="1"/>
  <c r="AU252" i="3"/>
  <c r="AV252" i="3" s="1"/>
  <c r="AS175" i="3"/>
  <c r="AR174" i="3"/>
  <c r="AP85" i="3"/>
  <c r="AR86" i="3"/>
  <c r="AO138" i="3"/>
  <c r="AP129" i="3"/>
  <c r="AP131" i="3" s="1"/>
  <c r="AR130" i="3"/>
  <c r="AP91" i="3"/>
  <c r="AP95" i="3" s="1"/>
  <c r="AR92" i="3"/>
  <c r="AP143" i="3"/>
  <c r="AP148" i="3" s="1"/>
  <c r="AP152" i="3" s="1"/>
  <c r="AR144" i="3"/>
  <c r="AP117" i="3"/>
  <c r="AR118" i="3"/>
  <c r="AS134" i="3"/>
  <c r="AR133" i="3"/>
  <c r="AS100" i="3"/>
  <c r="AR99" i="3"/>
  <c r="AS338" i="3"/>
  <c r="AT267" i="3"/>
  <c r="AS94" i="3"/>
  <c r="AR93" i="3"/>
  <c r="AS59" i="3"/>
  <c r="AR58" i="3"/>
  <c r="AM60" i="3"/>
  <c r="AM169" i="3"/>
  <c r="AM13" i="3"/>
  <c r="AM222" i="3" s="1"/>
  <c r="AN165" i="3"/>
  <c r="AN169" i="3" s="1"/>
  <c r="AO89" i="3"/>
  <c r="AN57" i="3"/>
  <c r="AN70" i="3" s="1"/>
  <c r="AP159" i="3"/>
  <c r="AO158" i="3"/>
  <c r="AN63" i="3"/>
  <c r="AK336" i="3"/>
  <c r="AK339" i="3" s="1"/>
  <c r="AK280" i="3"/>
  <c r="AL280" i="3" s="1"/>
  <c r="AK275" i="3"/>
  <c r="AK323" i="3"/>
  <c r="AL323" i="3" s="1"/>
  <c r="AK185" i="3"/>
  <c r="AK222" i="3"/>
  <c r="AK259" i="3"/>
  <c r="AL13" i="3"/>
  <c r="AO150" i="3"/>
  <c r="AP150" i="3" s="1"/>
  <c r="AN152" i="3"/>
  <c r="AN292" i="3"/>
  <c r="AH265" i="3"/>
  <c r="AG265" i="3"/>
  <c r="AG266" i="3" s="1"/>
  <c r="AF266" i="3"/>
  <c r="AJ329" i="3"/>
  <c r="AK322" i="3"/>
  <c r="AL322" i="3" s="1"/>
  <c r="AJ339" i="3"/>
  <c r="AO52" i="3"/>
  <c r="AO125" i="3"/>
  <c r="AO55" i="3"/>
  <c r="AO56" i="3" s="1"/>
  <c r="AO119" i="3"/>
  <c r="AF69" i="3"/>
  <c r="AE186" i="3"/>
  <c r="AP41" i="3"/>
  <c r="AO345" i="3"/>
  <c r="AO131" i="3"/>
  <c r="AF182" i="3"/>
  <c r="AJ289" i="3"/>
  <c r="AG18" i="3"/>
  <c r="AH18" i="3"/>
  <c r="AF151" i="3"/>
  <c r="AE154" i="3"/>
  <c r="AE155" i="3" s="1"/>
  <c r="AI260" i="3"/>
  <c r="AI330" i="3" s="1"/>
  <c r="AJ264" i="3"/>
  <c r="AF168" i="3"/>
  <c r="AE171" i="3"/>
  <c r="AE172" i="3" s="1"/>
  <c r="AL293" i="3"/>
  <c r="AK295" i="3"/>
  <c r="AP119" i="3" l="1"/>
  <c r="AP89" i="3"/>
  <c r="AP54" i="3" s="1"/>
  <c r="AV240" i="3"/>
  <c r="AV39" i="3" s="1"/>
  <c r="AP158" i="3"/>
  <c r="AP165" i="3" s="1"/>
  <c r="AP169" i="3" s="1"/>
  <c r="AR159" i="3"/>
  <c r="AT100" i="3"/>
  <c r="AS99" i="3"/>
  <c r="AU365" i="3"/>
  <c r="AN66" i="3"/>
  <c r="AT59" i="3"/>
  <c r="AS58" i="3"/>
  <c r="AU267" i="3"/>
  <c r="AT338" i="3"/>
  <c r="AS144" i="3"/>
  <c r="AR143" i="3"/>
  <c r="AT175" i="3"/>
  <c r="AS174" i="3"/>
  <c r="AS82" i="3"/>
  <c r="AR81" i="3"/>
  <c r="AR83" i="3" s="1"/>
  <c r="AS136" i="3"/>
  <c r="AR135" i="3"/>
  <c r="AR138" i="3" s="1"/>
  <c r="AS124" i="3"/>
  <c r="AR123" i="3"/>
  <c r="AU324" i="3"/>
  <c r="AV324" i="3" s="1"/>
  <c r="AV278" i="3"/>
  <c r="AR101" i="3"/>
  <c r="AS128" i="3"/>
  <c r="AR127" i="3"/>
  <c r="AS103" i="3"/>
  <c r="AT104" i="3"/>
  <c r="AP345" i="3"/>
  <c r="AQ345" i="3" s="1"/>
  <c r="AR41" i="3"/>
  <c r="AS110" i="3"/>
  <c r="AR109" i="3"/>
  <c r="AR113" i="3" s="1"/>
  <c r="AT80" i="3"/>
  <c r="AS79" i="3"/>
  <c r="AU161" i="3"/>
  <c r="AU160" i="3" s="1"/>
  <c r="AT160" i="3"/>
  <c r="AS142" i="3"/>
  <c r="AR141" i="3"/>
  <c r="AP56" i="3"/>
  <c r="AP52" i="3"/>
  <c r="AT134" i="3"/>
  <c r="AS133" i="3"/>
  <c r="AS130" i="3"/>
  <c r="AR129" i="3"/>
  <c r="AS86" i="3"/>
  <c r="AR85" i="3"/>
  <c r="AS116" i="3"/>
  <c r="AR115" i="3"/>
  <c r="AT98" i="3"/>
  <c r="AS97" i="3"/>
  <c r="AT112" i="3"/>
  <c r="AS111" i="3"/>
  <c r="AS122" i="3"/>
  <c r="AR121" i="3"/>
  <c r="AS163" i="3"/>
  <c r="AR162" i="3"/>
  <c r="AS106" i="3"/>
  <c r="AR105" i="3"/>
  <c r="AR107" i="3" s="1"/>
  <c r="AO167" i="3"/>
  <c r="AO54" i="3"/>
  <c r="AM64" i="3"/>
  <c r="AT94" i="3"/>
  <c r="AS93" i="3"/>
  <c r="AS118" i="3"/>
  <c r="AR117" i="3"/>
  <c r="AS92" i="3"/>
  <c r="AR91" i="3"/>
  <c r="AR95" i="3" s="1"/>
  <c r="AS88" i="3"/>
  <c r="AR87" i="3"/>
  <c r="AT146" i="3"/>
  <c r="AS145" i="3"/>
  <c r="AM259" i="3"/>
  <c r="AM275" i="3"/>
  <c r="AM336" i="3"/>
  <c r="AM339" i="3" s="1"/>
  <c r="AQ148" i="3"/>
  <c r="AM185" i="3"/>
  <c r="AM323" i="3"/>
  <c r="AN60" i="3"/>
  <c r="AN64" i="3" s="1"/>
  <c r="AN13" i="3"/>
  <c r="AN323" i="3" s="1"/>
  <c r="AO165" i="3"/>
  <c r="AF186" i="3"/>
  <c r="AL336" i="3"/>
  <c r="AL339" i="3" s="1"/>
  <c r="AH182" i="3"/>
  <c r="AH69" i="3"/>
  <c r="AM293" i="3"/>
  <c r="AL295" i="3"/>
  <c r="AH168" i="3"/>
  <c r="AF171" i="3"/>
  <c r="AF172" i="3" s="1"/>
  <c r="AO57" i="3"/>
  <c r="AI265" i="3"/>
  <c r="AH266" i="3"/>
  <c r="AM280" i="3"/>
  <c r="AL222" i="3"/>
  <c r="AO292" i="3"/>
  <c r="AK329" i="3"/>
  <c r="AL329" i="3" s="1"/>
  <c r="AL259" i="3"/>
  <c r="AM322" i="3"/>
  <c r="AK289" i="3"/>
  <c r="AL289" i="3" s="1"/>
  <c r="AO63" i="3"/>
  <c r="AO53" i="3"/>
  <c r="AP63" i="3"/>
  <c r="AP66" i="3" s="1"/>
  <c r="AP53" i="3"/>
  <c r="AP57" i="3"/>
  <c r="AK264" i="3"/>
  <c r="AJ260" i="3"/>
  <c r="AJ330" i="3" s="1"/>
  <c r="AJ321" i="3"/>
  <c r="AH151" i="3"/>
  <c r="AF154" i="3"/>
  <c r="AF155" i="3" s="1"/>
  <c r="AL275" i="3"/>
  <c r="AP167" i="3" l="1"/>
  <c r="AP60" i="3"/>
  <c r="AP64" i="3" s="1"/>
  <c r="AR125" i="3"/>
  <c r="AR89" i="3"/>
  <c r="AR54" i="3" s="1"/>
  <c r="AR148" i="3"/>
  <c r="AT88" i="3"/>
  <c r="AS87" i="3"/>
  <c r="AU104" i="3"/>
  <c r="AU103" i="3" s="1"/>
  <c r="AT103" i="3"/>
  <c r="AT82" i="3"/>
  <c r="AS81" i="3"/>
  <c r="AS83" i="3" s="1"/>
  <c r="AU100" i="3"/>
  <c r="AU99" i="3" s="1"/>
  <c r="AT99" i="3"/>
  <c r="AR52" i="3"/>
  <c r="AT122" i="3"/>
  <c r="AS121" i="3"/>
  <c r="AU134" i="3"/>
  <c r="AU133" i="3" s="1"/>
  <c r="AT133" i="3"/>
  <c r="AU80" i="3"/>
  <c r="AU79" i="3" s="1"/>
  <c r="AT79" i="3"/>
  <c r="AS91" i="3"/>
  <c r="AS95" i="3" s="1"/>
  <c r="AT92" i="3"/>
  <c r="AU94" i="3"/>
  <c r="AU93" i="3" s="1"/>
  <c r="AT93" i="3"/>
  <c r="AR119" i="3"/>
  <c r="AR55" i="3"/>
  <c r="AR56" i="3" s="1"/>
  <c r="AS41" i="3"/>
  <c r="AR345" i="3"/>
  <c r="AR131" i="3"/>
  <c r="AT136" i="3"/>
  <c r="AS135" i="3"/>
  <c r="AS138" i="3" s="1"/>
  <c r="AU175" i="3"/>
  <c r="AU174" i="3" s="1"/>
  <c r="AT174" i="3"/>
  <c r="AS159" i="3"/>
  <c r="AR158" i="3"/>
  <c r="AU146" i="3"/>
  <c r="AU145" i="3" s="1"/>
  <c r="AT145" i="3"/>
  <c r="AT118" i="3"/>
  <c r="AS117" i="3"/>
  <c r="AR152" i="3"/>
  <c r="AS123" i="3"/>
  <c r="AT124" i="3"/>
  <c r="AT144" i="3"/>
  <c r="AS143" i="3"/>
  <c r="AO66" i="3"/>
  <c r="AT106" i="3"/>
  <c r="AS105" i="3"/>
  <c r="AU98" i="3"/>
  <c r="AU97" i="3" s="1"/>
  <c r="AT97" i="3"/>
  <c r="AT86" i="3"/>
  <c r="AS85" i="3"/>
  <c r="AT142" i="3"/>
  <c r="AS141" i="3"/>
  <c r="AR150" i="3"/>
  <c r="AS150" i="3" s="1"/>
  <c r="AS107" i="3"/>
  <c r="AU59" i="3"/>
  <c r="AU58" i="3" s="1"/>
  <c r="AT58" i="3"/>
  <c r="AT163" i="3"/>
  <c r="AS162" i="3"/>
  <c r="AU112" i="3"/>
  <c r="AU111" i="3" s="1"/>
  <c r="AT111" i="3"/>
  <c r="AS115" i="3"/>
  <c r="AT116" i="3"/>
  <c r="AT130" i="3"/>
  <c r="AS129" i="3"/>
  <c r="AT110" i="3"/>
  <c r="AS109" i="3"/>
  <c r="AS113" i="3" s="1"/>
  <c r="AT128" i="3"/>
  <c r="AS127" i="3"/>
  <c r="AS131" i="3" s="1"/>
  <c r="AV267" i="3"/>
  <c r="AU338" i="3"/>
  <c r="AV338" i="3" s="1"/>
  <c r="AS101" i="3"/>
  <c r="AM329" i="3"/>
  <c r="AN259" i="3"/>
  <c r="AO169" i="3"/>
  <c r="AQ165" i="3"/>
  <c r="AG154" i="3"/>
  <c r="AG155" i="3" s="1"/>
  <c r="AN336" i="3"/>
  <c r="AN339" i="3" s="1"/>
  <c r="AG171" i="3"/>
  <c r="AG172" i="3" s="1"/>
  <c r="AN275" i="3"/>
  <c r="AN185" i="3"/>
  <c r="AN222" i="3"/>
  <c r="AP70" i="3"/>
  <c r="AP13" i="3"/>
  <c r="AP185" i="3" s="1"/>
  <c r="AL368" i="3"/>
  <c r="AH186" i="3"/>
  <c r="AN280" i="3"/>
  <c r="AM289" i="3"/>
  <c r="AN289" i="3" s="1"/>
  <c r="AN322" i="3"/>
  <c r="AM264" i="3"/>
  <c r="AM321" i="3" s="1"/>
  <c r="AL264" i="3"/>
  <c r="AK260" i="3"/>
  <c r="AK321" i="3"/>
  <c r="AK18" i="3" s="1"/>
  <c r="AI182" i="3"/>
  <c r="AJ18" i="3"/>
  <c r="AJ265" i="3"/>
  <c r="AI266" i="3"/>
  <c r="AI168" i="3"/>
  <c r="AH171" i="3"/>
  <c r="AP292" i="3"/>
  <c r="AO60" i="3"/>
  <c r="AO64" i="3" s="1"/>
  <c r="AO70" i="3"/>
  <c r="AO13" i="3"/>
  <c r="AI151" i="3"/>
  <c r="AH154" i="3"/>
  <c r="AN293" i="3"/>
  <c r="AM295" i="3"/>
  <c r="AI69" i="3"/>
  <c r="AS52" i="3" l="1"/>
  <c r="AS53" i="3" s="1"/>
  <c r="AU116" i="3"/>
  <c r="AU115" i="3" s="1"/>
  <c r="AT115" i="3"/>
  <c r="AU110" i="3"/>
  <c r="AU109" i="3" s="1"/>
  <c r="AU113" i="3" s="1"/>
  <c r="AT109" i="3"/>
  <c r="AT113" i="3" s="1"/>
  <c r="AS119" i="3"/>
  <c r="AS55" i="3"/>
  <c r="AS56" i="3" s="1"/>
  <c r="AS158" i="3"/>
  <c r="AS165" i="3" s="1"/>
  <c r="AT159" i="3"/>
  <c r="AT41" i="3"/>
  <c r="AS345" i="3"/>
  <c r="AS125" i="3"/>
  <c r="AQ60" i="3"/>
  <c r="AU86" i="3"/>
  <c r="AU85" i="3" s="1"/>
  <c r="AT85" i="3"/>
  <c r="AU106" i="3"/>
  <c r="AU105" i="3" s="1"/>
  <c r="AU107" i="3" s="1"/>
  <c r="AT105" i="3"/>
  <c r="AT107" i="3" s="1"/>
  <c r="AU144" i="3"/>
  <c r="AU143" i="3" s="1"/>
  <c r="AT143" i="3"/>
  <c r="AU136" i="3"/>
  <c r="AU135" i="3" s="1"/>
  <c r="AU138" i="3" s="1"/>
  <c r="AT135" i="3"/>
  <c r="AT138" i="3" s="1"/>
  <c r="AU92" i="3"/>
  <c r="AU91" i="3" s="1"/>
  <c r="AU95" i="3" s="1"/>
  <c r="AT91" i="3"/>
  <c r="AT95" i="3" s="1"/>
  <c r="AU122" i="3"/>
  <c r="AU121" i="3" s="1"/>
  <c r="AT121" i="3"/>
  <c r="AS89" i="3"/>
  <c r="AS54" i="3" s="1"/>
  <c r="AU142" i="3"/>
  <c r="AU141" i="3" s="1"/>
  <c r="AT141" i="3"/>
  <c r="AR167" i="3"/>
  <c r="AR165" i="3"/>
  <c r="AU163" i="3"/>
  <c r="AU162" i="3" s="1"/>
  <c r="AT162" i="3"/>
  <c r="AU118" i="3"/>
  <c r="AU117" i="3" s="1"/>
  <c r="AT117" i="3"/>
  <c r="AU101" i="3"/>
  <c r="AU128" i="3"/>
  <c r="AU127" i="3" s="1"/>
  <c r="AT127" i="3"/>
  <c r="AU130" i="3"/>
  <c r="AU129" i="3" s="1"/>
  <c r="AT129" i="3"/>
  <c r="AS148" i="3"/>
  <c r="AT101" i="3"/>
  <c r="AU124" i="3"/>
  <c r="AU123" i="3" s="1"/>
  <c r="AT123" i="3"/>
  <c r="AR57" i="3"/>
  <c r="AR60" i="3" s="1"/>
  <c r="AR53" i="3"/>
  <c r="AR63" i="3"/>
  <c r="AR66" i="3" s="1"/>
  <c r="AU82" i="3"/>
  <c r="AU81" i="3" s="1"/>
  <c r="AU83" i="3" s="1"/>
  <c r="AT81" i="3"/>
  <c r="AT83" i="3" s="1"/>
  <c r="AU88" i="3"/>
  <c r="AU87" i="3" s="1"/>
  <c r="AT87" i="3"/>
  <c r="AO322" i="3"/>
  <c r="AH155" i="3"/>
  <c r="AH172" i="3"/>
  <c r="AP222" i="3"/>
  <c r="AP336" i="3"/>
  <c r="AP339" i="3" s="1"/>
  <c r="AP323" i="3"/>
  <c r="AN329" i="3"/>
  <c r="AJ151" i="3"/>
  <c r="AI154" i="3"/>
  <c r="AI155" i="3" s="1"/>
  <c r="AL18" i="3"/>
  <c r="AO293" i="3"/>
  <c r="AN295" i="3"/>
  <c r="AJ182" i="3"/>
  <c r="AQ292" i="3"/>
  <c r="AR292" i="3" s="1"/>
  <c r="AO280" i="3"/>
  <c r="AP280" i="3" s="1"/>
  <c r="AQ280" i="3" s="1"/>
  <c r="AO336" i="3"/>
  <c r="AO323" i="3"/>
  <c r="AO259" i="3"/>
  <c r="AO185" i="3"/>
  <c r="AO222" i="3"/>
  <c r="AO275" i="3"/>
  <c r="AQ13" i="3"/>
  <c r="AK265" i="3"/>
  <c r="AJ266" i="3"/>
  <c r="AM18" i="3"/>
  <c r="AJ69" i="3"/>
  <c r="AI186" i="3"/>
  <c r="AJ168" i="3"/>
  <c r="AI171" i="3"/>
  <c r="AI172" i="3" s="1"/>
  <c r="AL321" i="3"/>
  <c r="AL260" i="3"/>
  <c r="AK330" i="3"/>
  <c r="AL330" i="3" s="1"/>
  <c r="AN264" i="3"/>
  <c r="AM260" i="3"/>
  <c r="AM330" i="3" s="1"/>
  <c r="AT148" i="3" l="1"/>
  <c r="AU125" i="3"/>
  <c r="AS167" i="3"/>
  <c r="AT150" i="3"/>
  <c r="AU150" i="3" s="1"/>
  <c r="AU148" i="3"/>
  <c r="AU152" i="3" s="1"/>
  <c r="AT52" i="3"/>
  <c r="AT53" i="3" s="1"/>
  <c r="AU89" i="3"/>
  <c r="AU54" i="3" s="1"/>
  <c r="AU41" i="3"/>
  <c r="AU345" i="3" s="1"/>
  <c r="AT345" i="3"/>
  <c r="AT119" i="3"/>
  <c r="AT55" i="3"/>
  <c r="AT56" i="3" s="1"/>
  <c r="AT131" i="3"/>
  <c r="AT125" i="3"/>
  <c r="AS169" i="3"/>
  <c r="AS57" i="3"/>
  <c r="AS60" i="3" s="1"/>
  <c r="AR13" i="3"/>
  <c r="AR169" i="3"/>
  <c r="AU52" i="3"/>
  <c r="AU53" i="3" s="1"/>
  <c r="AU159" i="3"/>
  <c r="AU158" i="3" s="1"/>
  <c r="AU165" i="3" s="1"/>
  <c r="AU169" i="3" s="1"/>
  <c r="AT158" i="3"/>
  <c r="AT165" i="3" s="1"/>
  <c r="AU119" i="3"/>
  <c r="AU55" i="3"/>
  <c r="AU56" i="3"/>
  <c r="AS292" i="3"/>
  <c r="AR64" i="3"/>
  <c r="AS152" i="3"/>
  <c r="AU131" i="3"/>
  <c r="AR70" i="3"/>
  <c r="AT152" i="3"/>
  <c r="AT89" i="3"/>
  <c r="AT54" i="3" s="1"/>
  <c r="AS63" i="3"/>
  <c r="AS66" i="3" s="1"/>
  <c r="AK69" i="3"/>
  <c r="AO329" i="3"/>
  <c r="AP322" i="3"/>
  <c r="AQ322" i="3" s="1"/>
  <c r="AP259" i="3"/>
  <c r="AK151" i="3"/>
  <c r="AJ154" i="3"/>
  <c r="AK168" i="3"/>
  <c r="AJ171" i="3"/>
  <c r="AJ172" i="3" s="1"/>
  <c r="AO289" i="3"/>
  <c r="AP289" i="3" s="1"/>
  <c r="AQ289" i="3" s="1"/>
  <c r="AQ323" i="3"/>
  <c r="AP275" i="3"/>
  <c r="AO339" i="3"/>
  <c r="AQ336" i="3"/>
  <c r="AJ186" i="3"/>
  <c r="AO264" i="3"/>
  <c r="AN260" i="3"/>
  <c r="AN330" i="3" s="1"/>
  <c r="AK182" i="3"/>
  <c r="AN321" i="3"/>
  <c r="AL265" i="3"/>
  <c r="AL266" i="3" s="1"/>
  <c r="AM265" i="3"/>
  <c r="AK266" i="3"/>
  <c r="AQ222" i="3"/>
  <c r="AP293" i="3"/>
  <c r="AO295" i="3"/>
  <c r="AV345" i="3" l="1"/>
  <c r="AV148" i="3"/>
  <c r="AU63" i="3"/>
  <c r="AU66" i="3" s="1"/>
  <c r="AR322" i="3"/>
  <c r="AV165" i="3"/>
  <c r="AT292" i="3"/>
  <c r="AS64" i="3"/>
  <c r="AT167" i="3"/>
  <c r="AU167" i="3" s="1"/>
  <c r="AS70" i="3"/>
  <c r="AT63" i="3"/>
  <c r="AT66" i="3" s="1"/>
  <c r="AS13" i="3"/>
  <c r="AT169" i="3"/>
  <c r="AT57" i="3"/>
  <c r="AT60" i="3" s="1"/>
  <c r="AU57" i="3"/>
  <c r="AR336" i="3"/>
  <c r="AR259" i="3"/>
  <c r="AR185" i="3"/>
  <c r="AR280" i="3"/>
  <c r="AR222" i="3"/>
  <c r="AR275" i="3"/>
  <c r="AR323" i="3"/>
  <c r="AJ155" i="3"/>
  <c r="AM182" i="3"/>
  <c r="AP264" i="3"/>
  <c r="AO260" i="3"/>
  <c r="AO330" i="3" s="1"/>
  <c r="AO321" i="3"/>
  <c r="AO18" i="3" s="1"/>
  <c r="AP329" i="3"/>
  <c r="AQ329" i="3" s="1"/>
  <c r="AQ259" i="3"/>
  <c r="AQ293" i="3"/>
  <c r="AP295" i="3"/>
  <c r="AN265" i="3"/>
  <c r="AM266" i="3"/>
  <c r="AM168" i="3"/>
  <c r="AK171" i="3"/>
  <c r="AK172" i="3" s="1"/>
  <c r="AQ339" i="3"/>
  <c r="AQ368" i="3"/>
  <c r="AM69" i="3"/>
  <c r="AK186" i="3"/>
  <c r="AN18" i="3"/>
  <c r="AQ275" i="3"/>
  <c r="AM151" i="3"/>
  <c r="AK154" i="3"/>
  <c r="AK155" i="3" s="1"/>
  <c r="AT64" i="3" l="1"/>
  <c r="AR329" i="3"/>
  <c r="AS322" i="3"/>
  <c r="AS275" i="3"/>
  <c r="AS323" i="3"/>
  <c r="AS259" i="3"/>
  <c r="AS280" i="3"/>
  <c r="AS336" i="3"/>
  <c r="AS339" i="3" s="1"/>
  <c r="AS222" i="3"/>
  <c r="AS185" i="3"/>
  <c r="AT70" i="3"/>
  <c r="AR339" i="3"/>
  <c r="AR264" i="3"/>
  <c r="AR321" i="3" s="1"/>
  <c r="AR289" i="3"/>
  <c r="AQ295" i="3"/>
  <c r="AR293" i="3"/>
  <c r="AU60" i="3"/>
  <c r="AU64" i="3" s="1"/>
  <c r="AU13" i="3"/>
  <c r="AU70" i="3"/>
  <c r="AU292" i="3"/>
  <c r="AT13" i="3"/>
  <c r="AL154" i="3"/>
  <c r="AL155" i="3" s="1"/>
  <c r="AL171" i="3"/>
  <c r="AL172" i="3" s="1"/>
  <c r="AN69" i="3"/>
  <c r="AM186" i="3"/>
  <c r="AN151" i="3"/>
  <c r="AM154" i="3"/>
  <c r="AN168" i="3"/>
  <c r="AM171" i="3"/>
  <c r="AO265" i="3"/>
  <c r="AN266" i="3"/>
  <c r="AP260" i="3"/>
  <c r="AQ264" i="3"/>
  <c r="AP321" i="3"/>
  <c r="AN182" i="3"/>
  <c r="AS289" i="3" l="1"/>
  <c r="AR18" i="3"/>
  <c r="AV292" i="3"/>
  <c r="AT323" i="3"/>
  <c r="AT259" i="3"/>
  <c r="AT275" i="3"/>
  <c r="AT222" i="3"/>
  <c r="AT280" i="3"/>
  <c r="AU280" i="3" s="1"/>
  <c r="AV280" i="3" s="1"/>
  <c r="AT185" i="3"/>
  <c r="AT336" i="3"/>
  <c r="AS293" i="3"/>
  <c r="AR295" i="3"/>
  <c r="AU336" i="3"/>
  <c r="AU339" i="3" s="1"/>
  <c r="AU222" i="3"/>
  <c r="AU275" i="3"/>
  <c r="AV275" i="3" s="1"/>
  <c r="AU185" i="3"/>
  <c r="AU323" i="3"/>
  <c r="AS264" i="3"/>
  <c r="AR260" i="3"/>
  <c r="AR330" i="3" s="1"/>
  <c r="AV13" i="3"/>
  <c r="AV222" i="3" s="1"/>
  <c r="AV60" i="3"/>
  <c r="AS329" i="3"/>
  <c r="AT322" i="3"/>
  <c r="AM155" i="3"/>
  <c r="AM172" i="3"/>
  <c r="AO69" i="3"/>
  <c r="AN186" i="3"/>
  <c r="AQ260" i="3"/>
  <c r="AP330" i="3"/>
  <c r="AQ330" i="3" s="1"/>
  <c r="AO168" i="3"/>
  <c r="AN171" i="3"/>
  <c r="AN172" i="3" s="1"/>
  <c r="AO151" i="3"/>
  <c r="AN154" i="3"/>
  <c r="AN155" i="3" s="1"/>
  <c r="AO182" i="3"/>
  <c r="AP18" i="3"/>
  <c r="AQ321" i="3"/>
  <c r="AP265" i="3"/>
  <c r="AR265" i="3" s="1"/>
  <c r="AR266" i="3" s="1"/>
  <c r="AO266" i="3"/>
  <c r="AT289" i="3" l="1"/>
  <c r="AT329" i="3"/>
  <c r="AU322" i="3"/>
  <c r="AV322" i="3" s="1"/>
  <c r="AU289" i="3"/>
  <c r="AV289" i="3" s="1"/>
  <c r="AT293" i="3"/>
  <c r="AS295" i="3"/>
  <c r="AT264" i="3"/>
  <c r="AS260" i="3"/>
  <c r="AS330" i="3" s="1"/>
  <c r="AS321" i="3"/>
  <c r="AU259" i="3"/>
  <c r="AT339" i="3"/>
  <c r="AV336" i="3"/>
  <c r="AV323" i="3"/>
  <c r="AP182" i="3"/>
  <c r="AQ265" i="3"/>
  <c r="AQ266" i="3" s="1"/>
  <c r="AP266" i="3"/>
  <c r="AP168" i="3"/>
  <c r="AO171" i="3"/>
  <c r="AO172" i="3" s="1"/>
  <c r="AP69" i="3"/>
  <c r="AO186" i="3"/>
  <c r="AP151" i="3"/>
  <c r="AO154" i="3"/>
  <c r="AO155" i="3" s="1"/>
  <c r="AQ18" i="3"/>
  <c r="AR182" i="3" l="1"/>
  <c r="AP154" i="3"/>
  <c r="AP155" i="3" s="1"/>
  <c r="AR151" i="3"/>
  <c r="AS18" i="3"/>
  <c r="AU329" i="3"/>
  <c r="AV259" i="3"/>
  <c r="AV329" i="3"/>
  <c r="AV368" i="3"/>
  <c r="AV339" i="3"/>
  <c r="AP171" i="3"/>
  <c r="AP172" i="3" s="1"/>
  <c r="AR168" i="3"/>
  <c r="AU264" i="3"/>
  <c r="AT260" i="3"/>
  <c r="AT330" i="3" s="1"/>
  <c r="AT321" i="3"/>
  <c r="AT18" i="3" s="1"/>
  <c r="AR69" i="3"/>
  <c r="AS265" i="3"/>
  <c r="AU293" i="3"/>
  <c r="AT295" i="3"/>
  <c r="AQ154" i="3"/>
  <c r="AQ155" i="3" s="1"/>
  <c r="AP186" i="3"/>
  <c r="U72" i="3"/>
  <c r="U75" i="3" s="1"/>
  <c r="U76" i="3" s="1"/>
  <c r="U67" i="3"/>
  <c r="U187" i="3"/>
  <c r="AS182" i="3" l="1"/>
  <c r="AQ171" i="3"/>
  <c r="AQ172" i="3" s="1"/>
  <c r="AT265" i="3"/>
  <c r="AS266" i="3"/>
  <c r="AS151" i="3"/>
  <c r="AR154" i="3"/>
  <c r="AS168" i="3"/>
  <c r="AR171" i="3"/>
  <c r="AV293" i="3"/>
  <c r="AV295" i="3" s="1"/>
  <c r="AU295" i="3"/>
  <c r="AS69" i="3"/>
  <c r="AR186" i="3"/>
  <c r="AV264" i="3"/>
  <c r="AU260" i="3"/>
  <c r="AU321" i="3"/>
  <c r="AU18" i="3" s="1"/>
  <c r="AV18" i="3" s="1"/>
  <c r="U73" i="3"/>
  <c r="AS186" i="3" l="1"/>
  <c r="AR172" i="3"/>
  <c r="AT168" i="3"/>
  <c r="AS171" i="3"/>
  <c r="AS172" i="3" s="1"/>
  <c r="AV321" i="3"/>
  <c r="AT151" i="3"/>
  <c r="AS154" i="3"/>
  <c r="AS155" i="3" s="1"/>
  <c r="AT69" i="3"/>
  <c r="AV260" i="3"/>
  <c r="AU330" i="3"/>
  <c r="AV330" i="3" s="1"/>
  <c r="AU265" i="3"/>
  <c r="AT266" i="3"/>
  <c r="AR155" i="3"/>
  <c r="AT182" i="3"/>
  <c r="V228" i="3"/>
  <c r="W19" i="3"/>
  <c r="AU182" i="3" l="1"/>
  <c r="AV265" i="3"/>
  <c r="AV266" i="3" s="1"/>
  <c r="AU266" i="3"/>
  <c r="AU151" i="3"/>
  <c r="AU154" i="3" s="1"/>
  <c r="AU155" i="3" s="1"/>
  <c r="AT154" i="3"/>
  <c r="AT155" i="3" s="1"/>
  <c r="AU168" i="3"/>
  <c r="AU171" i="3" s="1"/>
  <c r="AU172" i="3" s="1"/>
  <c r="AT171" i="3"/>
  <c r="AT172" i="3" s="1"/>
  <c r="AU69" i="3"/>
  <c r="AT186" i="3"/>
  <c r="W228" i="3"/>
  <c r="AV171" i="3" l="1"/>
  <c r="AV172" i="3" s="1"/>
  <c r="AV154" i="3"/>
  <c r="AV155" i="3" s="1"/>
  <c r="AU186" i="3"/>
  <c r="U179" i="3"/>
  <c r="U189" i="3"/>
  <c r="U183" i="3" l="1"/>
  <c r="U188" i="3" s="1"/>
  <c r="X179" i="3"/>
  <c r="W17" i="3" l="1"/>
  <c r="W20" i="3"/>
  <c r="W16" i="3"/>
  <c r="W227" i="3" s="1"/>
  <c r="V227" i="3"/>
  <c r="W23" i="3"/>
  <c r="X17" i="3"/>
  <c r="X15" i="3"/>
  <c r="X20" i="3"/>
  <c r="X16" i="3"/>
  <c r="Y179" i="3"/>
  <c r="X178" i="3"/>
  <c r="X23" i="3"/>
  <c r="V24" i="3" l="1"/>
  <c r="V226" i="3"/>
  <c r="X273" i="3"/>
  <c r="X333" i="3" s="1"/>
  <c r="W15" i="3"/>
  <c r="W226" i="3" s="1"/>
  <c r="X188" i="3"/>
  <c r="X226" i="3"/>
  <c r="Y20" i="3"/>
  <c r="Y15" i="3"/>
  <c r="Y23" i="3"/>
  <c r="Y17" i="3"/>
  <c r="Y178" i="3"/>
  <c r="Y16" i="3"/>
  <c r="Y227" i="3" s="1"/>
  <c r="Z179" i="3"/>
  <c r="X227" i="3"/>
  <c r="X274" i="3"/>
  <c r="X332" i="3" s="1"/>
  <c r="W274" i="3"/>
  <c r="W332" i="3"/>
  <c r="V25" i="3" l="1"/>
  <c r="V35" i="3" s="1"/>
  <c r="V229" i="3" s="1"/>
  <c r="V240" i="3" s="1"/>
  <c r="W24" i="3"/>
  <c r="W25" i="3" s="1"/>
  <c r="W333" i="3"/>
  <c r="W273" i="3"/>
  <c r="Y273" i="3" s="1"/>
  <c r="Y333" i="3" s="1"/>
  <c r="Y188" i="3"/>
  <c r="Y226" i="3"/>
  <c r="Z17" i="3"/>
  <c r="Z23" i="3"/>
  <c r="Z15" i="3"/>
  <c r="Z16" i="3"/>
  <c r="Z227" i="3" s="1"/>
  <c r="AA179" i="3"/>
  <c r="Z178" i="3"/>
  <c r="Z20" i="3"/>
  <c r="Y274" i="3"/>
  <c r="Y332" i="3" s="1"/>
  <c r="J25" i="37" l="1"/>
  <c r="J38" i="37" s="1"/>
  <c r="V223" i="3"/>
  <c r="W223" i="3"/>
  <c r="W35" i="3"/>
  <c r="W36" i="3" s="1"/>
  <c r="V39" i="3"/>
  <c r="W240" i="3"/>
  <c r="V36" i="3"/>
  <c r="J24" i="37" s="1"/>
  <c r="J37" i="37" s="1"/>
  <c r="M25" i="31"/>
  <c r="M38" i="31" s="1"/>
  <c r="W37" i="3"/>
  <c r="V38" i="3"/>
  <c r="V320" i="3" s="1"/>
  <c r="Z274" i="3"/>
  <c r="Z332" i="3" s="1"/>
  <c r="AA15" i="3"/>
  <c r="AA23" i="3"/>
  <c r="AA17" i="3"/>
  <c r="AB17" i="3" s="1"/>
  <c r="AA20" i="3"/>
  <c r="AB20" i="3" s="1"/>
  <c r="AA178" i="3"/>
  <c r="AC179" i="3"/>
  <c r="AA16" i="3"/>
  <c r="Z226" i="3"/>
  <c r="Z273" i="3"/>
  <c r="Z188" i="3"/>
  <c r="M24" i="31" l="1"/>
  <c r="M37" i="31" s="1"/>
  <c r="Z333" i="3"/>
  <c r="W38" i="3"/>
  <c r="W320" i="3" s="1"/>
  <c r="W334" i="3" s="1"/>
  <c r="W229" i="3"/>
  <c r="V44" i="3"/>
  <c r="V43" i="3"/>
  <c r="AA274" i="3"/>
  <c r="AB274" i="3" s="1"/>
  <c r="V334" i="3"/>
  <c r="V367" i="3" s="1"/>
  <c r="AA227" i="3"/>
  <c r="AB16" i="3"/>
  <c r="AB227" i="3" s="1"/>
  <c r="AC23" i="3"/>
  <c r="AC20" i="3"/>
  <c r="AD179" i="3"/>
  <c r="AC16" i="3"/>
  <c r="AC15" i="3"/>
  <c r="AC178" i="3"/>
  <c r="AC17" i="3"/>
  <c r="AB23" i="3"/>
  <c r="AA273" i="3"/>
  <c r="AA333" i="3" s="1"/>
  <c r="AA226" i="3"/>
  <c r="AA188" i="3"/>
  <c r="AB15" i="3"/>
  <c r="W43" i="3" l="1"/>
  <c r="AA332" i="3"/>
  <c r="AB332" i="3" s="1"/>
  <c r="W44" i="3"/>
  <c r="W354" i="3"/>
  <c r="W367" i="3"/>
  <c r="AB273" i="3"/>
  <c r="AB333" i="3"/>
  <c r="AC273" i="3"/>
  <c r="AC333" i="3" s="1"/>
  <c r="AC188" i="3"/>
  <c r="AC226" i="3"/>
  <c r="AC274" i="3"/>
  <c r="AC332" i="3" s="1"/>
  <c r="AD23" i="3"/>
  <c r="AD16" i="3"/>
  <c r="AD227" i="3" s="1"/>
  <c r="AD15" i="3"/>
  <c r="AD17" i="3"/>
  <c r="AD178" i="3"/>
  <c r="AE179" i="3"/>
  <c r="AD20" i="3"/>
  <c r="AB226" i="3"/>
  <c r="AC227" i="3"/>
  <c r="W290" i="3"/>
  <c r="W297" i="3" s="1"/>
  <c r="V297" i="3"/>
  <c r="V312" i="3" s="1"/>
  <c r="X312" i="3" s="1"/>
  <c r="Y312" i="3" s="1"/>
  <c r="Z312" i="3" s="1"/>
  <c r="AA312" i="3" s="1"/>
  <c r="AC312" i="3" s="1"/>
  <c r="AD312" i="3" s="1"/>
  <c r="AE312" i="3" s="1"/>
  <c r="AF312" i="3" s="1"/>
  <c r="AH312" i="3" s="1"/>
  <c r="AI312" i="3" s="1"/>
  <c r="AJ312" i="3" s="1"/>
  <c r="AK312" i="3" s="1"/>
  <c r="AM312" i="3" s="1"/>
  <c r="AN312" i="3" s="1"/>
  <c r="AO312" i="3" s="1"/>
  <c r="AP312" i="3" s="1"/>
  <c r="AR312" i="3" s="1"/>
  <c r="AS312" i="3" s="1"/>
  <c r="AT312" i="3" s="1"/>
  <c r="AU312" i="3" s="1"/>
  <c r="AE16" i="3" l="1"/>
  <c r="AE227" i="3" s="1"/>
  <c r="AE20" i="3"/>
  <c r="AE178" i="3"/>
  <c r="AE23" i="3"/>
  <c r="AE15" i="3"/>
  <c r="AF179" i="3"/>
  <c r="AE17" i="3"/>
  <c r="AD274" i="3"/>
  <c r="AD332" i="3" s="1"/>
  <c r="AD226" i="3"/>
  <c r="AD273" i="3"/>
  <c r="AD333" i="3" s="1"/>
  <c r="AD188" i="3"/>
  <c r="AE274" i="3" l="1"/>
  <c r="AE332" i="3" s="1"/>
  <c r="X29" i="3"/>
  <c r="V359" i="3"/>
  <c r="W271" i="3"/>
  <c r="V276" i="3"/>
  <c r="V284" i="3" s="1"/>
  <c r="V298" i="3" s="1"/>
  <c r="AE226" i="3"/>
  <c r="AE273" i="3"/>
  <c r="AE188" i="3"/>
  <c r="W343" i="3"/>
  <c r="AF23" i="3"/>
  <c r="AF17" i="3"/>
  <c r="AG17" i="3" s="1"/>
  <c r="AF20" i="3"/>
  <c r="AG20" i="3" s="1"/>
  <c r="AF178" i="3"/>
  <c r="AF15" i="3"/>
  <c r="AG15" i="3" s="1"/>
  <c r="AH179" i="3"/>
  <c r="AF16" i="3"/>
  <c r="W342" i="3"/>
  <c r="W272" i="3"/>
  <c r="AE333" i="3" l="1"/>
  <c r="W231" i="3"/>
  <c r="C392" i="3" s="1"/>
  <c r="C394" i="3" s="1"/>
  <c r="AF188" i="3"/>
  <c r="AF273" i="3"/>
  <c r="AF333" i="3" s="1"/>
  <c r="AF226" i="3"/>
  <c r="AF274" i="3"/>
  <c r="AG23" i="3"/>
  <c r="W359" i="3"/>
  <c r="W276" i="3"/>
  <c r="W284" i="3" s="1"/>
  <c r="W298" i="3" s="1"/>
  <c r="AH20" i="3"/>
  <c r="AI179" i="3"/>
  <c r="AH16" i="3"/>
  <c r="AH178" i="3"/>
  <c r="AH23" i="3"/>
  <c r="AH15" i="3"/>
  <c r="AH17" i="3"/>
  <c r="AG226" i="3"/>
  <c r="AF227" i="3"/>
  <c r="AG16" i="3"/>
  <c r="AG227" i="3" s="1"/>
  <c r="V349" i="3"/>
  <c r="V351" i="3" s="1"/>
  <c r="V353" i="3" s="1"/>
  <c r="V258" i="3" s="1"/>
  <c r="V230" i="3" s="1"/>
  <c r="X230" i="3" s="1"/>
  <c r="Y230" i="3" s="1"/>
  <c r="Z230" i="3" s="1"/>
  <c r="AA230" i="3" s="1"/>
  <c r="AC230" i="3" s="1"/>
  <c r="AD230" i="3" s="1"/>
  <c r="AE230" i="3" s="1"/>
  <c r="AF230" i="3" s="1"/>
  <c r="AH230" i="3" s="1"/>
  <c r="AI230" i="3" s="1"/>
  <c r="AJ230" i="3" s="1"/>
  <c r="AK230" i="3" s="1"/>
  <c r="AM230" i="3" s="1"/>
  <c r="AN230" i="3" s="1"/>
  <c r="AO230" i="3" s="1"/>
  <c r="AP230" i="3" s="1"/>
  <c r="AR230" i="3" s="1"/>
  <c r="AS230" i="3" s="1"/>
  <c r="AT230" i="3" s="1"/>
  <c r="AU230" i="3" s="1"/>
  <c r="W341" i="3"/>
  <c r="W349" i="3" s="1"/>
  <c r="W351" i="3" s="1"/>
  <c r="W353" i="3" s="1"/>
  <c r="C400" i="3" l="1"/>
  <c r="C395" i="3"/>
  <c r="V263" i="3"/>
  <c r="V269" i="3" s="1"/>
  <c r="V299" i="3" s="1"/>
  <c r="W258" i="3"/>
  <c r="X30" i="3"/>
  <c r="V358" i="3"/>
  <c r="V360" i="3" s="1"/>
  <c r="AH227" i="3"/>
  <c r="AG274" i="3"/>
  <c r="AF332" i="3"/>
  <c r="AG332" i="3" s="1"/>
  <c r="AB352" i="3"/>
  <c r="X352" i="3"/>
  <c r="AH226" i="3"/>
  <c r="AH273" i="3"/>
  <c r="AH333" i="3" s="1"/>
  <c r="AH188" i="3"/>
  <c r="AI16" i="3"/>
  <c r="AI227" i="3" s="1"/>
  <c r="AI15" i="3"/>
  <c r="AI17" i="3"/>
  <c r="AI23" i="3"/>
  <c r="AJ179" i="3"/>
  <c r="AI20" i="3"/>
  <c r="AI178" i="3"/>
  <c r="AH274" i="3"/>
  <c r="AH332" i="3" s="1"/>
  <c r="AG333" i="3"/>
  <c r="AG273" i="3"/>
  <c r="M356" i="3" l="1"/>
  <c r="H356" i="3"/>
  <c r="R356" i="3"/>
  <c r="W356" i="3"/>
  <c r="AI226" i="3"/>
  <c r="AI273" i="3"/>
  <c r="AI333" i="3" s="1"/>
  <c r="AI188" i="3"/>
  <c r="AJ17" i="3"/>
  <c r="AJ23" i="3"/>
  <c r="AJ15" i="3"/>
  <c r="AJ16" i="3"/>
  <c r="AJ178" i="3"/>
  <c r="AK179" i="3"/>
  <c r="AJ20" i="3"/>
  <c r="W263" i="3"/>
  <c r="W269" i="3" s="1"/>
  <c r="W299" i="3" s="1"/>
  <c r="W358" i="3"/>
  <c r="W360" i="3" s="1"/>
  <c r="C404" i="3" s="1"/>
  <c r="W230" i="3"/>
  <c r="AI274" i="3"/>
  <c r="AI332" i="3" s="1"/>
  <c r="X31" i="3"/>
  <c r="X34" i="3" s="1"/>
  <c r="AJ227" i="3" l="1"/>
  <c r="AJ273" i="3"/>
  <c r="AJ188" i="3"/>
  <c r="AJ226" i="3"/>
  <c r="AK15" i="3"/>
  <c r="AK178" i="3"/>
  <c r="AK17" i="3"/>
  <c r="AL17" i="3" s="1"/>
  <c r="AK23" i="3"/>
  <c r="AL23" i="3" s="1"/>
  <c r="AK16" i="3"/>
  <c r="AK227" i="3" s="1"/>
  <c r="AM179" i="3"/>
  <c r="AK20" i="3"/>
  <c r="AL20" i="3" s="1"/>
  <c r="AJ274" i="3"/>
  <c r="AJ332" i="3" s="1"/>
  <c r="AJ333" i="3" l="1"/>
  <c r="AN179" i="3"/>
  <c r="AM15" i="3"/>
  <c r="AM23" i="3"/>
  <c r="AM20" i="3"/>
  <c r="AM17" i="3"/>
  <c r="AM16" i="3"/>
  <c r="AM178" i="3"/>
  <c r="AK188" i="3"/>
  <c r="AK273" i="3"/>
  <c r="AK333" i="3" s="1"/>
  <c r="AK226" i="3"/>
  <c r="AL15" i="3"/>
  <c r="AL16" i="3"/>
  <c r="AL227" i="3" s="1"/>
  <c r="AK274" i="3"/>
  <c r="AO179" i="3" l="1"/>
  <c r="AN17" i="3"/>
  <c r="AN15" i="3"/>
  <c r="AN178" i="3"/>
  <c r="AN16" i="3"/>
  <c r="AN20" i="3"/>
  <c r="AN23" i="3"/>
  <c r="AL226" i="3"/>
  <c r="AK332" i="3"/>
  <c r="AL332" i="3" s="1"/>
  <c r="AL274" i="3"/>
  <c r="AM274" i="3"/>
  <c r="AM332" i="3" s="1"/>
  <c r="AL273" i="3"/>
  <c r="AL333" i="3"/>
  <c r="AM227" i="3"/>
  <c r="AM273" i="3"/>
  <c r="AM333" i="3" s="1"/>
  <c r="AM226" i="3"/>
  <c r="AM188" i="3"/>
  <c r="AN227" i="3" l="1"/>
  <c r="AN274" i="3"/>
  <c r="AN332" i="3" s="1"/>
  <c r="AN188" i="3"/>
  <c r="AN273" i="3"/>
  <c r="AN333" i="3" s="1"/>
  <c r="AN226" i="3"/>
  <c r="AP179" i="3"/>
  <c r="AR179" i="3" s="1"/>
  <c r="AO17" i="3"/>
  <c r="AO16" i="3"/>
  <c r="AO178" i="3"/>
  <c r="AO20" i="3"/>
  <c r="AO23" i="3"/>
  <c r="AO15" i="3"/>
  <c r="AS179" i="3" l="1"/>
  <c r="AR178" i="3"/>
  <c r="AR16" i="3"/>
  <c r="AR227" i="3" s="1"/>
  <c r="AR17" i="3"/>
  <c r="AR23" i="3"/>
  <c r="AR20" i="3"/>
  <c r="AR15" i="3"/>
  <c r="AO274" i="3"/>
  <c r="AO332" i="3" s="1"/>
  <c r="AP20" i="3"/>
  <c r="AP178" i="3"/>
  <c r="AP23" i="3"/>
  <c r="AP15" i="3"/>
  <c r="AP16" i="3"/>
  <c r="AP17" i="3"/>
  <c r="AO227" i="3"/>
  <c r="AO226" i="3"/>
  <c r="AO188" i="3"/>
  <c r="AO273" i="3"/>
  <c r="AR188" i="3" l="1"/>
  <c r="AR226" i="3"/>
  <c r="AT179" i="3"/>
  <c r="AS178" i="3"/>
  <c r="AS20" i="3"/>
  <c r="AS16" i="3"/>
  <c r="AS227" i="3" s="1"/>
  <c r="AS23" i="3"/>
  <c r="AS15" i="3"/>
  <c r="AS17" i="3"/>
  <c r="AQ17" i="3"/>
  <c r="AQ20" i="3"/>
  <c r="AP227" i="3"/>
  <c r="AO333" i="3"/>
  <c r="AQ16" i="3"/>
  <c r="AQ227" i="3" s="1"/>
  <c r="AP188" i="3"/>
  <c r="AP273" i="3"/>
  <c r="AP226" i="3"/>
  <c r="AQ15" i="3"/>
  <c r="AP274" i="3"/>
  <c r="AR274" i="3" s="1"/>
  <c r="AQ23" i="3"/>
  <c r="AU179" i="3" l="1"/>
  <c r="AT178" i="3"/>
  <c r="AT16" i="3"/>
  <c r="AT227" i="3" s="1"/>
  <c r="AT23" i="3"/>
  <c r="AT15" i="3"/>
  <c r="AT20" i="3"/>
  <c r="AT17" i="3"/>
  <c r="AS188" i="3"/>
  <c r="AS226" i="3"/>
  <c r="AP333" i="3"/>
  <c r="AQ333" i="3" s="1"/>
  <c r="AR273" i="3"/>
  <c r="AR332" i="3"/>
  <c r="AS274" i="3"/>
  <c r="AQ273" i="3"/>
  <c r="AS273" i="3" s="1"/>
  <c r="AQ226" i="3"/>
  <c r="AP332" i="3"/>
  <c r="AQ332" i="3" s="1"/>
  <c r="AQ274" i="3"/>
  <c r="AT188" i="3" l="1"/>
  <c r="AT226" i="3"/>
  <c r="AU178" i="3"/>
  <c r="AU16" i="3"/>
  <c r="AU15" i="3"/>
  <c r="AV15" i="3" s="1"/>
  <c r="AU20" i="3"/>
  <c r="AV20" i="3" s="1"/>
  <c r="AU23" i="3"/>
  <c r="AV23" i="3" s="1"/>
  <c r="AU17" i="3"/>
  <c r="AV17" i="3" s="1"/>
  <c r="AT273" i="3"/>
  <c r="AT333" i="3" s="1"/>
  <c r="AR333" i="3"/>
  <c r="AS333" i="3"/>
  <c r="AS332" i="3"/>
  <c r="AT274" i="3"/>
  <c r="AV226" i="3" l="1"/>
  <c r="AU273" i="3"/>
  <c r="AV273" i="3" s="1"/>
  <c r="AU227" i="3"/>
  <c r="AV16" i="3"/>
  <c r="AV227" i="3" s="1"/>
  <c r="AU188" i="3"/>
  <c r="AU226" i="3"/>
  <c r="AT332" i="3"/>
  <c r="AU274" i="3"/>
  <c r="AU333" i="3" l="1"/>
  <c r="AV333" i="3" s="1"/>
  <c r="AU332" i="3"/>
  <c r="AV332" i="3" s="1"/>
  <c r="AV274" i="3"/>
  <c r="X67" i="3"/>
  <c r="V68" i="3"/>
  <c r="V181" i="3" l="1"/>
  <c r="X181" i="3" s="1"/>
  <c r="Y181" i="3" s="1"/>
  <c r="Z181" i="3" s="1"/>
  <c r="AA181" i="3" s="1"/>
  <c r="AC181" i="3" s="1"/>
  <c r="AD181" i="3" s="1"/>
  <c r="AE181" i="3" s="1"/>
  <c r="AF181" i="3" s="1"/>
  <c r="AH181" i="3" s="1"/>
  <c r="AI181" i="3" s="1"/>
  <c r="AJ181" i="3" s="1"/>
  <c r="AK181" i="3" s="1"/>
  <c r="AM181" i="3" s="1"/>
  <c r="AN181" i="3" s="1"/>
  <c r="AO181" i="3" s="1"/>
  <c r="AP181" i="3" s="1"/>
  <c r="AR181" i="3" s="1"/>
  <c r="AS181" i="3" s="1"/>
  <c r="AT181" i="3" s="1"/>
  <c r="AU181" i="3" s="1"/>
  <c r="Y67" i="3"/>
  <c r="X68" i="3"/>
  <c r="V72" i="3"/>
  <c r="V187" i="3" l="1"/>
  <c r="V183" i="3"/>
  <c r="V188" i="3" s="1"/>
  <c r="V75" i="3"/>
  <c r="V73" i="3"/>
  <c r="W72" i="3"/>
  <c r="W76" i="3" s="1"/>
  <c r="V189" i="3"/>
  <c r="X72" i="3"/>
  <c r="X19" i="3"/>
  <c r="Y68" i="3"/>
  <c r="Z67" i="3"/>
  <c r="Z68" i="3" l="1"/>
  <c r="AA67" i="3"/>
  <c r="Y72" i="3"/>
  <c r="Y19" i="3"/>
  <c r="X228" i="3"/>
  <c r="X24" i="3"/>
  <c r="X25" i="3" s="1"/>
  <c r="X187" i="3"/>
  <c r="X75" i="3"/>
  <c r="X73" i="3"/>
  <c r="W75" i="3"/>
  <c r="V76" i="3"/>
  <c r="Y75" i="3" l="1"/>
  <c r="Y76" i="3" s="1"/>
  <c r="Y73" i="3"/>
  <c r="X223" i="3"/>
  <c r="X27" i="3"/>
  <c r="X189" i="3"/>
  <c r="X35" i="3"/>
  <c r="AC67" i="3"/>
  <c r="AA68" i="3"/>
  <c r="X76" i="3"/>
  <c r="Z72" i="3"/>
  <c r="Z19" i="3"/>
  <c r="Y24" i="3"/>
  <c r="Y25" i="3" s="1"/>
  <c r="Y187" i="3"/>
  <c r="Y228" i="3"/>
  <c r="M25" i="37" l="1"/>
  <c r="M38" i="37" s="1"/>
  <c r="P25" i="31"/>
  <c r="P38" i="31" s="1"/>
  <c r="X36" i="3"/>
  <c r="X37" i="3"/>
  <c r="X38" i="3" s="1"/>
  <c r="Y223" i="3"/>
  <c r="Y27" i="3"/>
  <c r="Y189" i="3"/>
  <c r="Z24" i="3"/>
  <c r="Z25" i="3" s="1"/>
  <c r="Z228" i="3"/>
  <c r="Z187" i="3"/>
  <c r="AA72" i="3"/>
  <c r="AA19" i="3"/>
  <c r="X224" i="3"/>
  <c r="M22" i="37"/>
  <c r="P22" i="31"/>
  <c r="Z75" i="3"/>
  <c r="Z73" i="3"/>
  <c r="AC68" i="3"/>
  <c r="AD67" i="3"/>
  <c r="X40" i="3" l="1"/>
  <c r="X45" i="3" s="1"/>
  <c r="X44" i="3"/>
  <c r="X43" i="3"/>
  <c r="X320" i="3"/>
  <c r="M35" i="37"/>
  <c r="M23" i="37"/>
  <c r="M36" i="37" s="1"/>
  <c r="AA73" i="3"/>
  <c r="AA75" i="3"/>
  <c r="AA76" i="3" s="1"/>
  <c r="AB72" i="3"/>
  <c r="Z27" i="3"/>
  <c r="Z189" i="3"/>
  <c r="Z223" i="3"/>
  <c r="Z76" i="3"/>
  <c r="P22" i="37"/>
  <c r="S22" i="31"/>
  <c r="Y224" i="3"/>
  <c r="P24" i="31"/>
  <c r="P37" i="31" s="1"/>
  <c r="M24" i="37"/>
  <c r="M37" i="37" s="1"/>
  <c r="AE67" i="3"/>
  <c r="AD68" i="3"/>
  <c r="P23" i="31"/>
  <c r="P36" i="31" s="1"/>
  <c r="P35" i="31"/>
  <c r="AA24" i="3"/>
  <c r="AA25" i="3" s="1"/>
  <c r="AA228" i="3"/>
  <c r="AA187" i="3"/>
  <c r="AC72" i="3"/>
  <c r="AC19" i="3"/>
  <c r="AB19" i="3"/>
  <c r="P26" i="31" l="1"/>
  <c r="P39" i="31" s="1"/>
  <c r="M26" i="37"/>
  <c r="M39" i="37" s="1"/>
  <c r="AC24" i="3"/>
  <c r="AC25" i="3" s="1"/>
  <c r="AC228" i="3"/>
  <c r="AC187" i="3"/>
  <c r="AA189" i="3"/>
  <c r="AA27" i="3"/>
  <c r="AA223" i="3"/>
  <c r="AF67" i="3"/>
  <c r="AE68" i="3"/>
  <c r="S23" i="31"/>
  <c r="S36" i="31" s="1"/>
  <c r="S35" i="31"/>
  <c r="AC73" i="3"/>
  <c r="AC75" i="3"/>
  <c r="P23" i="37"/>
  <c r="P36" i="37" s="1"/>
  <c r="P35" i="37"/>
  <c r="M27" i="37"/>
  <c r="M40" i="37" s="1"/>
  <c r="P27" i="31"/>
  <c r="P40" i="31" s="1"/>
  <c r="AB75" i="3"/>
  <c r="AB76" i="3" s="1"/>
  <c r="X290" i="3"/>
  <c r="X334" i="3"/>
  <c r="X367" i="3" s="1"/>
  <c r="AB24" i="3"/>
  <c r="AB25" i="3" s="1"/>
  <c r="AB228" i="3"/>
  <c r="AD72" i="3"/>
  <c r="AD19" i="3"/>
  <c r="Z224" i="3"/>
  <c r="S22" i="37"/>
  <c r="AC76" i="3" l="1"/>
  <c r="AB223" i="3"/>
  <c r="AB27" i="3"/>
  <c r="AE72" i="3"/>
  <c r="AE19" i="3"/>
  <c r="AA224" i="3"/>
  <c r="S35" i="37"/>
  <c r="S23" i="37"/>
  <c r="S36" i="37" s="1"/>
  <c r="AD24" i="3"/>
  <c r="AD25" i="3" s="1"/>
  <c r="AD187" i="3"/>
  <c r="AD228" i="3"/>
  <c r="AD73" i="3"/>
  <c r="AD75" i="3"/>
  <c r="AD76" i="3" s="1"/>
  <c r="X297" i="3"/>
  <c r="AF68" i="3"/>
  <c r="AH67" i="3"/>
  <c r="AC27" i="3"/>
  <c r="AC223" i="3"/>
  <c r="AC189" i="3"/>
  <c r="AF19" i="3" l="1"/>
  <c r="AG19" i="3" s="1"/>
  <c r="AF72" i="3"/>
  <c r="AG72" i="3" s="1"/>
  <c r="AG76" i="3" s="1"/>
  <c r="AE187" i="3"/>
  <c r="AE228" i="3"/>
  <c r="AE24" i="3"/>
  <c r="AE25" i="3" s="1"/>
  <c r="AC224" i="3"/>
  <c r="AB224" i="3"/>
  <c r="AI67" i="3"/>
  <c r="AH68" i="3"/>
  <c r="AD27" i="3"/>
  <c r="AD189" i="3"/>
  <c r="AD223" i="3"/>
  <c r="X271" i="3"/>
  <c r="X272" i="3"/>
  <c r="X342" i="3" s="1"/>
  <c r="X277" i="3"/>
  <c r="X343" i="3" s="1"/>
  <c r="AE75" i="3"/>
  <c r="AE76" i="3" s="1"/>
  <c r="AE73" i="3"/>
  <c r="AG24" i="3" l="1"/>
  <c r="AG25" i="3" s="1"/>
  <c r="AG228" i="3"/>
  <c r="AF75" i="3"/>
  <c r="AF76" i="3" s="1"/>
  <c r="AF73" i="3"/>
  <c r="X341" i="3"/>
  <c r="X359" i="3"/>
  <c r="X276" i="3"/>
  <c r="X284" i="3" s="1"/>
  <c r="X298" i="3" s="1"/>
  <c r="Y29" i="3"/>
  <c r="AD224" i="3"/>
  <c r="AH72" i="3"/>
  <c r="AH19" i="3"/>
  <c r="AJ67" i="3"/>
  <c r="AI68" i="3"/>
  <c r="AE27" i="3"/>
  <c r="AE189" i="3"/>
  <c r="AE223" i="3"/>
  <c r="AF24" i="3"/>
  <c r="AF25" i="3" s="1"/>
  <c r="AF228" i="3"/>
  <c r="AF187" i="3"/>
  <c r="AG75" i="3" l="1"/>
  <c r="AK67" i="3"/>
  <c r="AJ68" i="3"/>
  <c r="AF27" i="3"/>
  <c r="AF189" i="3"/>
  <c r="AF223" i="3"/>
  <c r="AE224" i="3"/>
  <c r="AH24" i="3"/>
  <c r="AH25" i="3" s="1"/>
  <c r="AH228" i="3"/>
  <c r="AH187" i="3"/>
  <c r="AI19" i="3"/>
  <c r="AI72" i="3"/>
  <c r="AH75" i="3"/>
  <c r="AH73" i="3"/>
  <c r="X349" i="3"/>
  <c r="X351" i="3" s="1"/>
  <c r="X353" i="3" s="1"/>
  <c r="AG27" i="3"/>
  <c r="AG223" i="3"/>
  <c r="AH76" i="3" l="1"/>
  <c r="AG224" i="3"/>
  <c r="AI73" i="3"/>
  <c r="AI75" i="3"/>
  <c r="AI76" i="3" s="1"/>
  <c r="AI24" i="3"/>
  <c r="AI25" i="3" s="1"/>
  <c r="AI228" i="3"/>
  <c r="AI187" i="3"/>
  <c r="AH27" i="3"/>
  <c r="AH223" i="3"/>
  <c r="AH189" i="3"/>
  <c r="AJ19" i="3"/>
  <c r="AJ72" i="3"/>
  <c r="X258" i="3"/>
  <c r="Y352" i="3"/>
  <c r="AF224" i="3"/>
  <c r="AK68" i="3"/>
  <c r="AM67" i="3"/>
  <c r="AK19" i="3" l="1"/>
  <c r="AK72" i="3"/>
  <c r="AL72" i="3" s="1"/>
  <c r="AL76" i="3" s="1"/>
  <c r="Y30" i="3"/>
  <c r="X263" i="3"/>
  <c r="X269" i="3" s="1"/>
  <c r="X299" i="3" s="1"/>
  <c r="X358" i="3"/>
  <c r="X360" i="3" s="1"/>
  <c r="AI189" i="3"/>
  <c r="AI27" i="3"/>
  <c r="AI223" i="3"/>
  <c r="AM68" i="3"/>
  <c r="AN67" i="3"/>
  <c r="AJ75" i="3"/>
  <c r="AJ73" i="3"/>
  <c r="AH224" i="3"/>
  <c r="AJ187" i="3"/>
  <c r="AJ24" i="3"/>
  <c r="AJ25" i="3" s="1"/>
  <c r="AJ228" i="3"/>
  <c r="AL19" i="3"/>
  <c r="AJ76" i="3" l="1"/>
  <c r="AM19" i="3"/>
  <c r="AM72" i="3"/>
  <c r="Y31" i="3"/>
  <c r="Y34" i="3" s="1"/>
  <c r="AK73" i="3"/>
  <c r="AK75" i="3"/>
  <c r="AK76" i="3" s="1"/>
  <c r="AL228" i="3"/>
  <c r="AL24" i="3"/>
  <c r="AL25" i="3" s="1"/>
  <c r="AN68" i="3"/>
  <c r="AO67" i="3"/>
  <c r="AJ27" i="3"/>
  <c r="AJ189" i="3"/>
  <c r="AJ223" i="3"/>
  <c r="AI224" i="3"/>
  <c r="AK24" i="3"/>
  <c r="AK25" i="3" s="1"/>
  <c r="AK228" i="3"/>
  <c r="AK187" i="3"/>
  <c r="AL75" i="3" l="1"/>
  <c r="AL27" i="3"/>
  <c r="AL223" i="3"/>
  <c r="Y35" i="3"/>
  <c r="AM75" i="3"/>
  <c r="AM73" i="3"/>
  <c r="AJ224" i="3"/>
  <c r="AO68" i="3"/>
  <c r="AP67" i="3"/>
  <c r="AK27" i="3"/>
  <c r="AK189" i="3"/>
  <c r="AK223" i="3"/>
  <c r="AN19" i="3"/>
  <c r="AN72" i="3"/>
  <c r="AM187" i="3"/>
  <c r="AM228" i="3"/>
  <c r="AM24" i="3"/>
  <c r="AM25" i="3" s="1"/>
  <c r="AP68" i="3" l="1"/>
  <c r="AP19" i="3" s="1"/>
  <c r="AR67" i="3"/>
  <c r="AM76" i="3"/>
  <c r="AM189" i="3"/>
  <c r="AM223" i="3"/>
  <c r="AM27" i="3"/>
  <c r="Y37" i="3"/>
  <c r="P25" i="37"/>
  <c r="P38" i="37" s="1"/>
  <c r="S25" i="31"/>
  <c r="S38" i="31" s="1"/>
  <c r="Y36" i="3"/>
  <c r="AN24" i="3"/>
  <c r="AN25" i="3" s="1"/>
  <c r="AN228" i="3"/>
  <c r="AN187" i="3"/>
  <c r="AO19" i="3"/>
  <c r="AO72" i="3"/>
  <c r="AL224" i="3"/>
  <c r="AK224" i="3"/>
  <c r="AN75" i="3"/>
  <c r="AN76" i="3" s="1"/>
  <c r="AN73" i="3"/>
  <c r="AP72" i="3" l="1"/>
  <c r="AS67" i="3"/>
  <c r="AR68" i="3"/>
  <c r="AQ72" i="3"/>
  <c r="AQ76" i="3" s="1"/>
  <c r="AP75" i="3"/>
  <c r="AP76" i="3" s="1"/>
  <c r="AP73" i="3"/>
  <c r="AO75" i="3"/>
  <c r="AO76" i="3" s="1"/>
  <c r="AO73" i="3"/>
  <c r="AN189" i="3"/>
  <c r="AN223" i="3"/>
  <c r="AN27" i="3"/>
  <c r="AM224" i="3"/>
  <c r="AO24" i="3"/>
  <c r="AO25" i="3" s="1"/>
  <c r="AO228" i="3"/>
  <c r="AO187" i="3"/>
  <c r="AP228" i="3"/>
  <c r="AP24" i="3"/>
  <c r="AP25" i="3" s="1"/>
  <c r="AP187" i="3"/>
  <c r="Y40" i="3"/>
  <c r="AQ19" i="3"/>
  <c r="S24" i="31"/>
  <c r="S37" i="31" s="1"/>
  <c r="P24" i="37"/>
  <c r="P37" i="37" s="1"/>
  <c r="Y38" i="3"/>
  <c r="AR19" i="3" l="1"/>
  <c r="AR72" i="3"/>
  <c r="AS68" i="3"/>
  <c r="AT67" i="3"/>
  <c r="AQ75" i="3"/>
  <c r="AN224" i="3"/>
  <c r="AQ228" i="3"/>
  <c r="AQ24" i="3"/>
  <c r="AQ25" i="3" s="1"/>
  <c r="AP223" i="3"/>
  <c r="AP189" i="3"/>
  <c r="AP27" i="3"/>
  <c r="AO189" i="3"/>
  <c r="AO27" i="3"/>
  <c r="AO223" i="3"/>
  <c r="Y320" i="3"/>
  <c r="Y43" i="3"/>
  <c r="Y44" i="3"/>
  <c r="Y45" i="3"/>
  <c r="P26" i="37"/>
  <c r="P39" i="37" s="1"/>
  <c r="S26" i="31"/>
  <c r="S39" i="31" s="1"/>
  <c r="AT68" i="3" l="1"/>
  <c r="AU67" i="3"/>
  <c r="AU68" i="3" s="1"/>
  <c r="AS19" i="3"/>
  <c r="AS72" i="3"/>
  <c r="AR75" i="3"/>
  <c r="AR73" i="3"/>
  <c r="AR187" i="3"/>
  <c r="AR228" i="3"/>
  <c r="AR24" i="3"/>
  <c r="AR25" i="3" s="1"/>
  <c r="AP224" i="3"/>
  <c r="AO224" i="3"/>
  <c r="P27" i="37"/>
  <c r="P40" i="37" s="1"/>
  <c r="S27" i="31"/>
  <c r="S40" i="31" s="1"/>
  <c r="AQ27" i="3"/>
  <c r="AQ223" i="3"/>
  <c r="Y334" i="3"/>
  <c r="Y367" i="3" s="1"/>
  <c r="Y290" i="3"/>
  <c r="AR76" i="3" l="1"/>
  <c r="AS228" i="3"/>
  <c r="AS187" i="3"/>
  <c r="AS24" i="3"/>
  <c r="AS25" i="3" s="1"/>
  <c r="AR223" i="3"/>
  <c r="AR189" i="3"/>
  <c r="AR27" i="3"/>
  <c r="AR224" i="3" s="1"/>
  <c r="AU19" i="3"/>
  <c r="AU72" i="3"/>
  <c r="AS73" i="3"/>
  <c r="AS75" i="3"/>
  <c r="AS76" i="3" s="1"/>
  <c r="AT19" i="3"/>
  <c r="AT72" i="3"/>
  <c r="Y297" i="3"/>
  <c r="AQ224" i="3"/>
  <c r="AT73" i="3" l="1"/>
  <c r="AT75" i="3"/>
  <c r="AV72" i="3"/>
  <c r="AV76" i="3" s="1"/>
  <c r="AU73" i="3"/>
  <c r="AU75" i="3"/>
  <c r="AU76" i="3" s="1"/>
  <c r="AT228" i="3"/>
  <c r="AT187" i="3"/>
  <c r="AT24" i="3"/>
  <c r="AT25" i="3" s="1"/>
  <c r="AU187" i="3"/>
  <c r="AU228" i="3"/>
  <c r="AU24" i="3"/>
  <c r="AU25" i="3" s="1"/>
  <c r="AV19" i="3"/>
  <c r="AS189" i="3"/>
  <c r="AS27" i="3"/>
  <c r="AS224" i="3" s="1"/>
  <c r="AS223" i="3"/>
  <c r="Y272" i="3"/>
  <c r="Y342" i="3" s="1"/>
  <c r="Y277" i="3"/>
  <c r="Y343" i="3" s="1"/>
  <c r="Y271" i="3"/>
  <c r="AV228" i="3" l="1"/>
  <c r="AV24" i="3"/>
  <c r="AV25" i="3" s="1"/>
  <c r="AT189" i="3"/>
  <c r="AT223" i="3"/>
  <c r="AT27" i="3"/>
  <c r="AT224" i="3" s="1"/>
  <c r="AU223" i="3"/>
  <c r="AU189" i="3"/>
  <c r="AU27" i="3"/>
  <c r="AU224" i="3" s="1"/>
  <c r="AT76" i="3"/>
  <c r="AV75" i="3"/>
  <c r="Y359" i="3"/>
  <c r="Z29" i="3"/>
  <c r="Y276" i="3"/>
  <c r="Y284" i="3" s="1"/>
  <c r="Y298" i="3" s="1"/>
  <c r="Y341" i="3"/>
  <c r="AV27" i="3" l="1"/>
  <c r="AV224" i="3" s="1"/>
  <c r="AV223" i="3"/>
  <c r="Y349" i="3"/>
  <c r="Y351" i="3" s="1"/>
  <c r="Y353" i="3" s="1"/>
  <c r="Z352" i="3" l="1"/>
  <c r="Y258" i="3"/>
  <c r="Y358" i="3" l="1"/>
  <c r="Y360" i="3" s="1"/>
  <c r="Y263" i="3"/>
  <c r="Y269" i="3" s="1"/>
  <c r="Y299" i="3" s="1"/>
  <c r="Z30" i="3"/>
  <c r="Z31" i="3" l="1"/>
  <c r="Z34" i="3" s="1"/>
  <c r="Z35" i="3" l="1"/>
  <c r="Z37" i="3" l="1"/>
  <c r="Z36" i="3"/>
  <c r="S24" i="37" s="1"/>
  <c r="S37" i="37" s="1"/>
  <c r="S25" i="37"/>
  <c r="S38" i="37" s="1"/>
  <c r="Z40" i="3" l="1"/>
  <c r="Z38" i="3"/>
  <c r="S26" i="37" l="1"/>
  <c r="S39" i="37" s="1"/>
  <c r="Z45" i="3"/>
  <c r="Z44" i="3"/>
  <c r="Z43" i="3"/>
  <c r="Z320" i="3"/>
  <c r="S27" i="37" l="1"/>
  <c r="S40" i="37" s="1"/>
  <c r="Z334" i="3"/>
  <c r="Z367" i="3" s="1"/>
  <c r="Z290" i="3"/>
  <c r="Z297" i="3" l="1"/>
  <c r="Z272" i="3" l="1"/>
  <c r="Z342" i="3" s="1"/>
  <c r="Z277" i="3"/>
  <c r="Z343" i="3" s="1"/>
  <c r="Z271" i="3"/>
  <c r="Z276" i="3" l="1"/>
  <c r="Z284" i="3" s="1"/>
  <c r="Z298" i="3" s="1"/>
  <c r="AA29" i="3"/>
  <c r="Z341" i="3"/>
  <c r="Z359" i="3"/>
  <c r="Z349" i="3" l="1"/>
  <c r="Z351" i="3" s="1"/>
  <c r="Z353" i="3" s="1"/>
  <c r="AB29" i="3"/>
  <c r="Z258" i="3" l="1"/>
  <c r="AA352" i="3"/>
  <c r="AA30" i="3" l="1"/>
  <c r="Z358" i="3"/>
  <c r="Z360" i="3" s="1"/>
  <c r="Z263" i="3"/>
  <c r="Z269" i="3" s="1"/>
  <c r="Z299" i="3" s="1"/>
  <c r="AB30" i="3" l="1"/>
  <c r="AA31" i="3"/>
  <c r="AA34" i="3" s="1"/>
  <c r="AA35" i="3" l="1"/>
  <c r="AB31" i="3"/>
  <c r="AB34" i="3" s="1"/>
  <c r="AB35" i="3" l="1"/>
  <c r="AA36" i="3"/>
  <c r="AA37" i="3"/>
  <c r="AA38" i="3" s="1"/>
  <c r="AA44" i="3" l="1"/>
  <c r="AA320" i="3"/>
  <c r="AA43" i="3"/>
  <c r="AB37" i="3"/>
  <c r="AA40" i="3"/>
  <c r="AA45" i="3" s="1"/>
  <c r="C378" i="3" s="1"/>
  <c r="AB36" i="3"/>
  <c r="AB229" i="3" l="1"/>
  <c r="AB40" i="3"/>
  <c r="AA334" i="3"/>
  <c r="AA367" i="3" s="1"/>
  <c r="AA290" i="3"/>
  <c r="AB38" i="3"/>
  <c r="AA297" i="3" l="1"/>
  <c r="AB290" i="3"/>
  <c r="AB297" i="3" s="1"/>
  <c r="AB320" i="3"/>
  <c r="AB334" i="3" s="1"/>
  <c r="AB42" i="3"/>
  <c r="AB45" i="3" s="1"/>
  <c r="AB41" i="3"/>
  <c r="AB43" i="3" s="1"/>
  <c r="AB44" i="3" l="1"/>
  <c r="AB354" i="3"/>
  <c r="AB356" i="3" s="1"/>
  <c r="AB367" i="3"/>
  <c r="AA272" i="3"/>
  <c r="AA277" i="3"/>
  <c r="AA271" i="3"/>
  <c r="AA315" i="3" l="1"/>
  <c r="AA341" i="3"/>
  <c r="AB315" i="3"/>
  <c r="AA276" i="3"/>
  <c r="AA284" i="3" s="1"/>
  <c r="AA298" i="3" s="1"/>
  <c r="AC29" i="3"/>
  <c r="AA359" i="3"/>
  <c r="AB271" i="3"/>
  <c r="AB277" i="3"/>
  <c r="AA343" i="3"/>
  <c r="AB343" i="3" s="1"/>
  <c r="AB272" i="3"/>
  <c r="AA342" i="3"/>
  <c r="AB342" i="3" s="1"/>
  <c r="AB231" i="3" l="1"/>
  <c r="AB276" i="3"/>
  <c r="AB284" i="3" s="1"/>
  <c r="AB298" i="3" s="1"/>
  <c r="AB359" i="3"/>
  <c r="AA349" i="3"/>
  <c r="AA351" i="3" s="1"/>
  <c r="AA353" i="3" s="1"/>
  <c r="AA258" i="3" s="1"/>
  <c r="AB341" i="3"/>
  <c r="AB349" i="3" s="1"/>
  <c r="AB351" i="3" s="1"/>
  <c r="AB353" i="3" s="1"/>
  <c r="AC352" i="3" l="1"/>
  <c r="AG352" i="3"/>
  <c r="AA358" i="3"/>
  <c r="AA360" i="3" s="1"/>
  <c r="AA263" i="3"/>
  <c r="AA269" i="3" s="1"/>
  <c r="AA299" i="3" s="1"/>
  <c r="AB258" i="3"/>
  <c r="AC30" i="3"/>
  <c r="AC31" i="3" l="1"/>
  <c r="AC34" i="3" s="1"/>
  <c r="AB358" i="3"/>
  <c r="AB360" i="3" s="1"/>
  <c r="AB263" i="3"/>
  <c r="AB269" i="3" s="1"/>
  <c r="AB299" i="3" s="1"/>
  <c r="AB230" i="3"/>
  <c r="AC35" i="3" l="1"/>
  <c r="AC36" i="3" l="1"/>
  <c r="AC37" i="3"/>
  <c r="AC38" i="3" s="1"/>
  <c r="AC44" i="3" l="1"/>
  <c r="AC43" i="3"/>
  <c r="AC320" i="3"/>
  <c r="AC40" i="3"/>
  <c r="AC45" i="3" s="1"/>
  <c r="AC334" i="3" l="1"/>
  <c r="AC367" i="3" s="1"/>
  <c r="AC290" i="3"/>
  <c r="AC297" i="3" l="1"/>
  <c r="AC277" i="3" l="1"/>
  <c r="AC343" i="3" s="1"/>
  <c r="AC271" i="3"/>
  <c r="AC272" i="3"/>
  <c r="AC342" i="3" s="1"/>
  <c r="AC315" i="3" l="1"/>
  <c r="AD29" i="3"/>
  <c r="AC359" i="3"/>
  <c r="AC276" i="3"/>
  <c r="AC284" i="3" s="1"/>
  <c r="AC298" i="3" s="1"/>
  <c r="AC341" i="3"/>
  <c r="AC349" i="3" l="1"/>
  <c r="AC351" i="3" s="1"/>
  <c r="AC353" i="3" s="1"/>
  <c r="AD352" i="3" l="1"/>
  <c r="AC258" i="3"/>
  <c r="AD30" i="3" l="1"/>
  <c r="AC263" i="3"/>
  <c r="AC269" i="3" s="1"/>
  <c r="AC299" i="3" s="1"/>
  <c r="AC358" i="3"/>
  <c r="AC360" i="3" s="1"/>
  <c r="AD31" i="3" l="1"/>
  <c r="AD34" i="3" s="1"/>
  <c r="AD35" i="3" l="1"/>
  <c r="AD36" i="3" l="1"/>
  <c r="AD37" i="3"/>
  <c r="AD40" i="3" l="1"/>
  <c r="AD45" i="3" s="1"/>
  <c r="AD38" i="3"/>
  <c r="AD43" i="3" l="1"/>
  <c r="AD320" i="3"/>
  <c r="AD44" i="3"/>
  <c r="AD334" i="3" l="1"/>
  <c r="AD367" i="3" s="1"/>
  <c r="AD290" i="3"/>
  <c r="AD297" i="3" l="1"/>
  <c r="AD271" i="3" l="1"/>
  <c r="AD272" i="3"/>
  <c r="AD342" i="3" s="1"/>
  <c r="AD277" i="3"/>
  <c r="AD343" i="3" s="1"/>
  <c r="AD341" i="3" l="1"/>
  <c r="AD276" i="3"/>
  <c r="AD284" i="3" s="1"/>
  <c r="AD298" i="3" s="1"/>
  <c r="AE29" i="3"/>
  <c r="AD359" i="3"/>
  <c r="AD315" i="3"/>
  <c r="AD349" i="3" l="1"/>
  <c r="AD351" i="3" s="1"/>
  <c r="AD353" i="3" s="1"/>
  <c r="AE352" i="3" l="1"/>
  <c r="AD258" i="3"/>
  <c r="AE30" i="3" l="1"/>
  <c r="AD263" i="3"/>
  <c r="AD269" i="3" s="1"/>
  <c r="AD299" i="3" s="1"/>
  <c r="AD358" i="3"/>
  <c r="AD360" i="3" s="1"/>
  <c r="AE31" i="3" l="1"/>
  <c r="AE34" i="3" s="1"/>
  <c r="AE35" i="3" l="1"/>
  <c r="AE37" i="3" l="1"/>
  <c r="AE36" i="3"/>
  <c r="AE40" i="3" l="1"/>
  <c r="AE45" i="3" s="1"/>
  <c r="AE38" i="3"/>
  <c r="AE44" i="3" l="1"/>
  <c r="AE43" i="3"/>
  <c r="AE320" i="3"/>
  <c r="AE334" i="3" l="1"/>
  <c r="AE367" i="3" s="1"/>
  <c r="AE290" i="3"/>
  <c r="AE297" i="3" l="1"/>
  <c r="AE271" i="3" l="1"/>
  <c r="AE272" i="3"/>
  <c r="AE342" i="3" s="1"/>
  <c r="AE277" i="3"/>
  <c r="AE343" i="3" s="1"/>
  <c r="AE341" i="3" l="1"/>
  <c r="AE315" i="3"/>
  <c r="AE276" i="3"/>
  <c r="AE284" i="3" s="1"/>
  <c r="AE298" i="3" s="1"/>
  <c r="AE359" i="3"/>
  <c r="AF29" i="3"/>
  <c r="AG29" i="3" l="1"/>
  <c r="AE349" i="3"/>
  <c r="AE351" i="3" s="1"/>
  <c r="AE353" i="3" s="1"/>
  <c r="AF352" i="3" l="1"/>
  <c r="AE258" i="3"/>
  <c r="AF30" i="3" l="1"/>
  <c r="AE263" i="3"/>
  <c r="AE269" i="3" s="1"/>
  <c r="AE299" i="3" s="1"/>
  <c r="AE358" i="3"/>
  <c r="AE360" i="3" s="1"/>
  <c r="AG30" i="3" l="1"/>
  <c r="AF31" i="3"/>
  <c r="AF34" i="3" s="1"/>
  <c r="AF35" i="3" l="1"/>
  <c r="AG31" i="3"/>
  <c r="AG34" i="3" s="1"/>
  <c r="AG35" i="3" l="1"/>
  <c r="AF37" i="3"/>
  <c r="AF36" i="3"/>
  <c r="AG37" i="3" l="1"/>
  <c r="AG38" i="3" s="1"/>
  <c r="AF40" i="3"/>
  <c r="AF45" i="3" s="1"/>
  <c r="AF38" i="3"/>
  <c r="AG36" i="3"/>
  <c r="AF44" i="3" l="1"/>
  <c r="AF43" i="3"/>
  <c r="AF320" i="3"/>
  <c r="AG320" i="3"/>
  <c r="AG334" i="3" s="1"/>
  <c r="AG41" i="3"/>
  <c r="AG43" i="3" s="1"/>
  <c r="AG42" i="3"/>
  <c r="AG44" i="3" s="1"/>
  <c r="AG229" i="3"/>
  <c r="AG40" i="3"/>
  <c r="AF334" i="3" l="1"/>
  <c r="AF367" i="3" s="1"/>
  <c r="AF290" i="3"/>
  <c r="AG45" i="3"/>
  <c r="AG225" i="3" s="1"/>
  <c r="AG367" i="3"/>
  <c r="AG354" i="3"/>
  <c r="AG356" i="3" s="1"/>
  <c r="AG290" i="3" l="1"/>
  <c r="AG297" i="3" s="1"/>
  <c r="AF297" i="3"/>
  <c r="AF272" i="3" l="1"/>
  <c r="AF271" i="3"/>
  <c r="AF277" i="3"/>
  <c r="AF276" i="3" l="1"/>
  <c r="AF284" i="3" s="1"/>
  <c r="AF298" i="3" s="1"/>
  <c r="AF315" i="3"/>
  <c r="AF359" i="3"/>
  <c r="AH29" i="3"/>
  <c r="AF341" i="3"/>
  <c r="AG315" i="3"/>
  <c r="AG271" i="3"/>
  <c r="AF343" i="3"/>
  <c r="AG343" i="3" s="1"/>
  <c r="AG277" i="3"/>
  <c r="AG272" i="3"/>
  <c r="AF342" i="3"/>
  <c r="AG342" i="3" s="1"/>
  <c r="AG231" i="3" l="1"/>
  <c r="AG359" i="3"/>
  <c r="AG276" i="3"/>
  <c r="AG284" i="3" s="1"/>
  <c r="AG298" i="3" s="1"/>
  <c r="AF349" i="3"/>
  <c r="AF351" i="3" s="1"/>
  <c r="AF353" i="3" s="1"/>
  <c r="AF258" i="3" s="1"/>
  <c r="AG341" i="3"/>
  <c r="AG349" i="3" s="1"/>
  <c r="AG351" i="3" s="1"/>
  <c r="AG353" i="3" s="1"/>
  <c r="AL352" i="3" l="1"/>
  <c r="AH352" i="3"/>
  <c r="AF358" i="3"/>
  <c r="AF360" i="3" s="1"/>
  <c r="AF263" i="3"/>
  <c r="AF269" i="3" s="1"/>
  <c r="AF299" i="3" s="1"/>
  <c r="AH30" i="3"/>
  <c r="AG258" i="3"/>
  <c r="AG358" i="3" l="1"/>
  <c r="AG360" i="3" s="1"/>
  <c r="AG263" i="3"/>
  <c r="AG269" i="3" s="1"/>
  <c r="AG299" i="3" s="1"/>
  <c r="AG230" i="3"/>
  <c r="AH31" i="3"/>
  <c r="AH34" i="3" s="1"/>
  <c r="AH35" i="3" l="1"/>
  <c r="AH37" i="3" l="1"/>
  <c r="AH38" i="3" s="1"/>
  <c r="AH36" i="3"/>
  <c r="AH43" i="3" l="1"/>
  <c r="AH320" i="3"/>
  <c r="AH44" i="3"/>
  <c r="AH40" i="3"/>
  <c r="AH45" i="3" s="1"/>
  <c r="AH334" i="3" l="1"/>
  <c r="AH367" i="3" s="1"/>
  <c r="AH290" i="3"/>
  <c r="AH297" i="3" l="1"/>
  <c r="AH277" i="3" l="1"/>
  <c r="AH343" i="3" s="1"/>
  <c r="AH271" i="3"/>
  <c r="AH272" i="3"/>
  <c r="AH342" i="3" s="1"/>
  <c r="AH359" i="3" l="1"/>
  <c r="AI29" i="3"/>
  <c r="AH315" i="3"/>
  <c r="AH341" i="3"/>
  <c r="AH276" i="3"/>
  <c r="AH284" i="3" s="1"/>
  <c r="AH298" i="3" s="1"/>
  <c r="AH349" i="3" l="1"/>
  <c r="AH351" i="3" s="1"/>
  <c r="AH353" i="3" s="1"/>
  <c r="AI352" i="3" l="1"/>
  <c r="AH258" i="3"/>
  <c r="AI30" i="3" l="1"/>
  <c r="AH263" i="3"/>
  <c r="AH269" i="3" s="1"/>
  <c r="AH299" i="3" s="1"/>
  <c r="AH358" i="3"/>
  <c r="AH360" i="3" s="1"/>
  <c r="AI31" i="3" l="1"/>
  <c r="AI34" i="3" s="1"/>
  <c r="AI35" i="3" l="1"/>
  <c r="AI36" i="3" l="1"/>
  <c r="AI37" i="3"/>
  <c r="AI38" i="3" s="1"/>
  <c r="AI320" i="3" l="1"/>
  <c r="AI44" i="3"/>
  <c r="AI43" i="3"/>
  <c r="AI40" i="3"/>
  <c r="AI45" i="3" s="1"/>
  <c r="AI334" i="3" l="1"/>
  <c r="AI367" i="3" s="1"/>
  <c r="AI290" i="3"/>
  <c r="AI297" i="3" l="1"/>
  <c r="AI271" i="3" l="1"/>
  <c r="AI277" i="3"/>
  <c r="AI343" i="3" s="1"/>
  <c r="AI272" i="3"/>
  <c r="AI342" i="3" s="1"/>
  <c r="AI341" i="3" l="1"/>
  <c r="AI315" i="3"/>
  <c r="AI359" i="3"/>
  <c r="AI276" i="3"/>
  <c r="AI284" i="3" s="1"/>
  <c r="AI298" i="3" s="1"/>
  <c r="AJ29" i="3"/>
  <c r="AI349" i="3" l="1"/>
  <c r="AI351" i="3" s="1"/>
  <c r="AI353" i="3" s="1"/>
  <c r="AJ352" i="3" l="1"/>
  <c r="AI258" i="3"/>
  <c r="AI358" i="3" l="1"/>
  <c r="AI360" i="3" s="1"/>
  <c r="AJ30" i="3"/>
  <c r="AI263" i="3"/>
  <c r="AI269" i="3" s="1"/>
  <c r="AI299" i="3" s="1"/>
  <c r="AJ31" i="3" l="1"/>
  <c r="AJ34" i="3" s="1"/>
  <c r="AJ35" i="3" l="1"/>
  <c r="AJ36" i="3" l="1"/>
  <c r="AJ37" i="3"/>
  <c r="AJ40" i="3" l="1"/>
  <c r="AJ45" i="3" s="1"/>
  <c r="AJ38" i="3"/>
  <c r="AJ320" i="3" l="1"/>
  <c r="AJ44" i="3"/>
  <c r="AJ43" i="3"/>
  <c r="AJ334" i="3" l="1"/>
  <c r="AJ367" i="3" s="1"/>
  <c r="AJ290" i="3"/>
  <c r="AJ297" i="3" l="1"/>
  <c r="AJ271" i="3" l="1"/>
  <c r="AJ277" i="3"/>
  <c r="AJ343" i="3" s="1"/>
  <c r="AJ272" i="3"/>
  <c r="AJ342" i="3" s="1"/>
  <c r="AJ341" i="3" l="1"/>
  <c r="AK29" i="3"/>
  <c r="AJ359" i="3"/>
  <c r="AJ315" i="3"/>
  <c r="AJ276" i="3"/>
  <c r="AJ284" i="3" s="1"/>
  <c r="AJ298" i="3" s="1"/>
  <c r="AL29" i="3" l="1"/>
  <c r="AJ349" i="3"/>
  <c r="AJ351" i="3" s="1"/>
  <c r="AJ353" i="3" s="1"/>
  <c r="AK352" i="3" l="1"/>
  <c r="AJ258" i="3"/>
  <c r="AK30" i="3" l="1"/>
  <c r="AJ263" i="3"/>
  <c r="AJ269" i="3" s="1"/>
  <c r="AJ299" i="3" s="1"/>
  <c r="AJ358" i="3"/>
  <c r="AJ360" i="3" s="1"/>
  <c r="AL30" i="3" l="1"/>
  <c r="AK31" i="3"/>
  <c r="AK34" i="3" s="1"/>
  <c r="AK35" i="3" l="1"/>
  <c r="AL31" i="3"/>
  <c r="AL34" i="3" s="1"/>
  <c r="AL35" i="3" l="1"/>
  <c r="AK36" i="3"/>
  <c r="AK37" i="3"/>
  <c r="AK38" i="3" s="1"/>
  <c r="AK43" i="3" l="1"/>
  <c r="AK44" i="3"/>
  <c r="AK320" i="3"/>
  <c r="AL37" i="3"/>
  <c r="AL38" i="3" s="1"/>
  <c r="AK40" i="3"/>
  <c r="AK45" i="3" s="1"/>
  <c r="AL36" i="3"/>
  <c r="AL320" i="3" l="1"/>
  <c r="AL334" i="3" s="1"/>
  <c r="AL42" i="3"/>
  <c r="AL44" i="3" s="1"/>
  <c r="AL41" i="3"/>
  <c r="AL43" i="3" s="1"/>
  <c r="AK334" i="3"/>
  <c r="AK367" i="3" s="1"/>
  <c r="AK290" i="3"/>
  <c r="AL229" i="3"/>
  <c r="AL40" i="3"/>
  <c r="AL367" i="3" l="1"/>
  <c r="AL354" i="3"/>
  <c r="AL356" i="3" s="1"/>
  <c r="AL290" i="3"/>
  <c r="AL297" i="3" s="1"/>
  <c r="AK297" i="3"/>
  <c r="AL45" i="3"/>
  <c r="AL225" i="3" s="1"/>
  <c r="AK277" i="3" l="1"/>
  <c r="AK271" i="3"/>
  <c r="AK272" i="3"/>
  <c r="AK276" i="3" l="1"/>
  <c r="AK284" i="3" s="1"/>
  <c r="AK298" i="3" s="1"/>
  <c r="AK359" i="3"/>
  <c r="AM29" i="3"/>
  <c r="AK341" i="3"/>
  <c r="AL315" i="3"/>
  <c r="AL271" i="3"/>
  <c r="AK315" i="3"/>
  <c r="AL277" i="3"/>
  <c r="AK343" i="3"/>
  <c r="AL343" i="3" s="1"/>
  <c r="AL272" i="3"/>
  <c r="AK342" i="3"/>
  <c r="AL342" i="3" s="1"/>
  <c r="AK349" i="3" l="1"/>
  <c r="AK351" i="3" s="1"/>
  <c r="AK353" i="3" s="1"/>
  <c r="AK258" i="3" s="1"/>
  <c r="AL341" i="3"/>
  <c r="AL349" i="3" s="1"/>
  <c r="AL351" i="3" s="1"/>
  <c r="AL353" i="3" s="1"/>
  <c r="AL231" i="3"/>
  <c r="AL359" i="3"/>
  <c r="AL276" i="3"/>
  <c r="AL284" i="3" s="1"/>
  <c r="AL298" i="3" s="1"/>
  <c r="AK358" i="3" l="1"/>
  <c r="AK360" i="3" s="1"/>
  <c r="AK263" i="3"/>
  <c r="AK269" i="3" s="1"/>
  <c r="AK299" i="3" s="1"/>
  <c r="AM30" i="3"/>
  <c r="AL258" i="3"/>
  <c r="AM352" i="3"/>
  <c r="AQ352" i="3"/>
  <c r="AM31" i="3" l="1"/>
  <c r="AM34" i="3" s="1"/>
  <c r="AL263" i="3"/>
  <c r="AL269" i="3" s="1"/>
  <c r="AL299" i="3" s="1"/>
  <c r="AL358" i="3"/>
  <c r="AL360" i="3" s="1"/>
  <c r="AL230" i="3"/>
  <c r="AM35" i="3" l="1"/>
  <c r="AM36" i="3" l="1"/>
  <c r="AM37" i="3"/>
  <c r="AM40" i="3" l="1"/>
  <c r="AM45" i="3" s="1"/>
  <c r="AM38" i="3"/>
  <c r="AM44" i="3" l="1"/>
  <c r="AM320" i="3"/>
  <c r="AM43" i="3"/>
  <c r="AM334" i="3" l="1"/>
  <c r="AM367" i="3" s="1"/>
  <c r="AM290" i="3"/>
  <c r="AM297" i="3" l="1"/>
  <c r="AM272" i="3" l="1"/>
  <c r="AM342" i="3" s="1"/>
  <c r="AM277" i="3"/>
  <c r="AM343" i="3" s="1"/>
  <c r="AM271" i="3"/>
  <c r="AM341" i="3" l="1"/>
  <c r="AM359" i="3"/>
  <c r="AM315" i="3"/>
  <c r="AN29" i="3"/>
  <c r="AM276" i="3"/>
  <c r="AM284" i="3" s="1"/>
  <c r="AM298" i="3" s="1"/>
  <c r="AM349" i="3" l="1"/>
  <c r="AM351" i="3" s="1"/>
  <c r="AM353" i="3" s="1"/>
  <c r="AN352" i="3" l="1"/>
  <c r="AM258" i="3"/>
  <c r="AM263" i="3" l="1"/>
  <c r="AM269" i="3" s="1"/>
  <c r="AM299" i="3" s="1"/>
  <c r="AM358" i="3"/>
  <c r="AM360" i="3" s="1"/>
  <c r="AN30" i="3"/>
  <c r="AN31" i="3" l="1"/>
  <c r="AN34" i="3" s="1"/>
  <c r="AN35" i="3" l="1"/>
  <c r="AN37" i="3" l="1"/>
  <c r="AN38" i="3" s="1"/>
  <c r="AN36" i="3"/>
  <c r="AN320" i="3" l="1"/>
  <c r="AN44" i="3"/>
  <c r="AN43" i="3"/>
  <c r="AN40" i="3"/>
  <c r="AN45" i="3" s="1"/>
  <c r="AN334" i="3" l="1"/>
  <c r="AN367" i="3" s="1"/>
  <c r="AN290" i="3"/>
  <c r="AN297" i="3" l="1"/>
  <c r="AN277" i="3" l="1"/>
  <c r="AN343" i="3" s="1"/>
  <c r="AN272" i="3"/>
  <c r="AN342" i="3" s="1"/>
  <c r="AN271" i="3"/>
  <c r="AO29" i="3" l="1"/>
  <c r="AN276" i="3"/>
  <c r="AN284" i="3" s="1"/>
  <c r="AN298" i="3" s="1"/>
  <c r="AN359" i="3"/>
  <c r="AN341" i="3"/>
  <c r="AN315" i="3"/>
  <c r="AN349" i="3" l="1"/>
  <c r="AN351" i="3" s="1"/>
  <c r="AN353" i="3" s="1"/>
  <c r="AO352" i="3" l="1"/>
  <c r="AN258" i="3"/>
  <c r="AN263" i="3" l="1"/>
  <c r="AN269" i="3" s="1"/>
  <c r="AN299" i="3" s="1"/>
  <c r="AO30" i="3"/>
  <c r="AN358" i="3"/>
  <c r="AN360" i="3" s="1"/>
  <c r="AO31" i="3" l="1"/>
  <c r="AO34" i="3" s="1"/>
  <c r="AO35" i="3" l="1"/>
  <c r="AO37" i="3" l="1"/>
  <c r="AO38" i="3" s="1"/>
  <c r="AO36" i="3"/>
  <c r="AO320" i="3" l="1"/>
  <c r="AO43" i="3"/>
  <c r="AO44" i="3"/>
  <c r="AO40" i="3"/>
  <c r="AO45" i="3" s="1"/>
  <c r="AO334" i="3" l="1"/>
  <c r="AO367" i="3" s="1"/>
  <c r="AO290" i="3"/>
  <c r="AO297" i="3" l="1"/>
  <c r="AO272" i="3" l="1"/>
  <c r="AO342" i="3" s="1"/>
  <c r="AO277" i="3"/>
  <c r="AO343" i="3" s="1"/>
  <c r="AO271" i="3"/>
  <c r="AP29" i="3" l="1"/>
  <c r="AO276" i="3"/>
  <c r="AO284" i="3" s="1"/>
  <c r="AO298" i="3" s="1"/>
  <c r="AO341" i="3"/>
  <c r="AO359" i="3"/>
  <c r="AO315" i="3"/>
  <c r="AO349" i="3" l="1"/>
  <c r="AO351" i="3" s="1"/>
  <c r="AO353" i="3" s="1"/>
  <c r="AQ29" i="3"/>
  <c r="AP352" i="3" l="1"/>
  <c r="AO258" i="3"/>
  <c r="AO263" i="3" l="1"/>
  <c r="AO269" i="3" s="1"/>
  <c r="AO299" i="3" s="1"/>
  <c r="AP30" i="3"/>
  <c r="AO358" i="3"/>
  <c r="AO360" i="3" s="1"/>
  <c r="AQ30" i="3" l="1"/>
  <c r="AP31" i="3"/>
  <c r="AP34" i="3" s="1"/>
  <c r="AP35" i="3" l="1"/>
  <c r="AQ31" i="3"/>
  <c r="AQ34" i="3" s="1"/>
  <c r="AQ35" i="3" l="1"/>
  <c r="AP37" i="3"/>
  <c r="AP38" i="3" s="1"/>
  <c r="AP36" i="3"/>
  <c r="AP320" i="3" l="1"/>
  <c r="AP44" i="3"/>
  <c r="AP43" i="3"/>
  <c r="AQ37" i="3"/>
  <c r="AQ38" i="3" s="1"/>
  <c r="AP40" i="3"/>
  <c r="AP45" i="3" s="1"/>
  <c r="AQ36" i="3"/>
  <c r="AQ320" i="3" l="1"/>
  <c r="AQ334" i="3" s="1"/>
  <c r="AQ41" i="3"/>
  <c r="AQ43" i="3" s="1"/>
  <c r="AQ42" i="3"/>
  <c r="AQ44" i="3" s="1"/>
  <c r="AQ229" i="3"/>
  <c r="AQ40" i="3"/>
  <c r="AP334" i="3"/>
  <c r="AP367" i="3" s="1"/>
  <c r="AP290" i="3"/>
  <c r="AQ45" i="3" l="1"/>
  <c r="AQ225" i="3" s="1"/>
  <c r="AQ367" i="3"/>
  <c r="AQ354" i="3"/>
  <c r="AQ356" i="3" s="1"/>
  <c r="AQ290" i="3"/>
  <c r="AQ297" i="3" s="1"/>
  <c r="AP297" i="3"/>
  <c r="AP277" i="3" l="1"/>
  <c r="AP271" i="3"/>
  <c r="AP272" i="3"/>
  <c r="AR29" i="3" l="1"/>
  <c r="AP343" i="3"/>
  <c r="AQ343" i="3" s="1"/>
  <c r="AQ277" i="3"/>
  <c r="AP341" i="3"/>
  <c r="AQ315" i="3"/>
  <c r="AP359" i="3"/>
  <c r="AP276" i="3"/>
  <c r="AP284" i="3" s="1"/>
  <c r="AP298" i="3" s="1"/>
  <c r="AQ271" i="3"/>
  <c r="AP315" i="3"/>
  <c r="AQ272" i="3"/>
  <c r="AP342" i="3"/>
  <c r="AQ342" i="3" s="1"/>
  <c r="AQ231" i="3" l="1"/>
  <c r="AQ276" i="3"/>
  <c r="AQ284" i="3" s="1"/>
  <c r="AQ298" i="3" s="1"/>
  <c r="AQ359" i="3"/>
  <c r="AP349" i="3"/>
  <c r="AP351" i="3" s="1"/>
  <c r="AP353" i="3" s="1"/>
  <c r="AP258" i="3" s="1"/>
  <c r="AR30" i="3" s="1"/>
  <c r="AQ341" i="3"/>
  <c r="AQ349" i="3" s="1"/>
  <c r="AQ351" i="3" s="1"/>
  <c r="AQ353" i="3" s="1"/>
  <c r="AV352" i="3" l="1"/>
  <c r="AR352" i="3"/>
  <c r="AR31" i="3"/>
  <c r="AR34" i="3" s="1"/>
  <c r="AP358" i="3"/>
  <c r="AP360" i="3" s="1"/>
  <c r="AQ258" i="3"/>
  <c r="AP263" i="3"/>
  <c r="AP269" i="3" s="1"/>
  <c r="AP299" i="3" s="1"/>
  <c r="AR35" i="3" l="1"/>
  <c r="AQ358" i="3"/>
  <c r="AQ360" i="3" s="1"/>
  <c r="AQ263" i="3"/>
  <c r="AQ269" i="3" s="1"/>
  <c r="AQ299" i="3" s="1"/>
  <c r="AQ230" i="3"/>
  <c r="AG216" i="3"/>
  <c r="AL216" i="3" s="1"/>
  <c r="AQ216" i="3" s="1"/>
  <c r="AV216" i="3" s="1"/>
  <c r="W209" i="3"/>
  <c r="W211" i="3" l="1"/>
  <c r="W315" i="3" s="1"/>
  <c r="AR36" i="3"/>
  <c r="AR37" i="3"/>
  <c r="Y315" i="3"/>
  <c r="V315" i="3"/>
  <c r="Z315" i="3"/>
  <c r="X315" i="3"/>
  <c r="AR40" i="3" l="1"/>
  <c r="AR45" i="3" s="1"/>
  <c r="AR38" i="3"/>
  <c r="V27" i="3"/>
  <c r="W251" i="3"/>
  <c r="W27" i="3" s="1"/>
  <c r="AR320" i="3" l="1"/>
  <c r="AR44" i="3"/>
  <c r="AR43" i="3"/>
  <c r="W224" i="3"/>
  <c r="J22" i="37"/>
  <c r="V224" i="3"/>
  <c r="M22" i="31"/>
  <c r="V40" i="3"/>
  <c r="V45" i="3" s="1"/>
  <c r="W252" i="3"/>
  <c r="W39" i="3" l="1"/>
  <c r="W40" i="3" s="1"/>
  <c r="W45" i="3" s="1"/>
  <c r="AR334" i="3"/>
  <c r="AR367" i="3" s="1"/>
  <c r="AR290" i="3"/>
  <c r="J26" i="37"/>
  <c r="J39" i="37" s="1"/>
  <c r="M26" i="31"/>
  <c r="M39" i="31" s="1"/>
  <c r="M23" i="31"/>
  <c r="M36" i="31" s="1"/>
  <c r="M35" i="31"/>
  <c r="J35" i="37"/>
  <c r="J23" i="37"/>
  <c r="J36" i="37" s="1"/>
  <c r="W225" i="3" l="1"/>
  <c r="AB225" i="3"/>
  <c r="AR297" i="3"/>
  <c r="C6" i="3"/>
  <c r="J27" i="37"/>
  <c r="J40" i="37" s="1"/>
  <c r="M27" i="31"/>
  <c r="M40" i="31" s="1"/>
  <c r="AR271" i="3" l="1"/>
  <c r="AR272" i="3"/>
  <c r="AR342" i="3" s="1"/>
  <c r="AR277" i="3"/>
  <c r="AR343" i="3" s="1"/>
  <c r="AR341" i="3" l="1"/>
  <c r="AS29" i="3"/>
  <c r="AR276" i="3"/>
  <c r="AR284" i="3" s="1"/>
  <c r="AR298" i="3" s="1"/>
  <c r="AR359" i="3"/>
  <c r="AR315" i="3"/>
  <c r="AR349" i="3" l="1"/>
  <c r="AR351" i="3" s="1"/>
  <c r="AR353" i="3" s="1"/>
  <c r="AS352" i="3" l="1"/>
  <c r="AR258" i="3"/>
  <c r="AR358" i="3" l="1"/>
  <c r="AR360" i="3" s="1"/>
  <c r="AS30" i="3"/>
  <c r="AR263" i="3"/>
  <c r="AR269" i="3" s="1"/>
  <c r="AR299" i="3" s="1"/>
  <c r="AS31" i="3" l="1"/>
  <c r="AS34" i="3" s="1"/>
  <c r="AS35" i="3" l="1"/>
  <c r="AS37" i="3" l="1"/>
  <c r="AS38" i="3" s="1"/>
  <c r="AS36" i="3"/>
  <c r="AS320" i="3" l="1"/>
  <c r="AS44" i="3"/>
  <c r="AS43" i="3"/>
  <c r="AS40" i="3"/>
  <c r="AS45" i="3" s="1"/>
  <c r="AS334" i="3" l="1"/>
  <c r="AS367" i="3" s="1"/>
  <c r="AS290" i="3"/>
  <c r="AS297" i="3" l="1"/>
  <c r="AS271" i="3" l="1"/>
  <c r="AS272" i="3"/>
  <c r="AS342" i="3" s="1"/>
  <c r="AS277" i="3"/>
  <c r="AS343" i="3" s="1"/>
  <c r="AS276" i="3" l="1"/>
  <c r="AS284" i="3" s="1"/>
  <c r="AS298" i="3" s="1"/>
  <c r="AS315" i="3"/>
  <c r="AS359" i="3"/>
  <c r="AS341" i="3"/>
  <c r="AT29" i="3"/>
  <c r="AS349" i="3" l="1"/>
  <c r="AS351" i="3" s="1"/>
  <c r="AS353" i="3" s="1"/>
  <c r="AT352" i="3" l="1"/>
  <c r="AS258" i="3"/>
  <c r="AS263" i="3" l="1"/>
  <c r="AS269" i="3" s="1"/>
  <c r="AS299" i="3" s="1"/>
  <c r="AS358" i="3"/>
  <c r="AS360" i="3" s="1"/>
  <c r="AT30" i="3"/>
  <c r="AT31" i="3" l="1"/>
  <c r="AT34" i="3" s="1"/>
  <c r="AT35" i="3" l="1"/>
  <c r="AT37" i="3" l="1"/>
  <c r="AT38" i="3" s="1"/>
  <c r="AT36" i="3"/>
  <c r="AT320" i="3" l="1"/>
  <c r="AT43" i="3"/>
  <c r="AT44" i="3"/>
  <c r="AT40" i="3"/>
  <c r="AT45" i="3" s="1"/>
  <c r="AT334" i="3" l="1"/>
  <c r="AT367" i="3" s="1"/>
  <c r="AT290" i="3"/>
  <c r="AT297" i="3" l="1"/>
  <c r="AT277" i="3" l="1"/>
  <c r="AT343" i="3" s="1"/>
  <c r="AT272" i="3"/>
  <c r="AT342" i="3" s="1"/>
  <c r="AT271" i="3"/>
  <c r="AT359" i="3" l="1"/>
  <c r="AU29" i="3"/>
  <c r="AT315" i="3"/>
  <c r="AT276" i="3"/>
  <c r="AT284" i="3" s="1"/>
  <c r="AT298" i="3" s="1"/>
  <c r="AT341" i="3"/>
  <c r="AV29" i="3" l="1"/>
  <c r="AT349" i="3"/>
  <c r="AT351" i="3" s="1"/>
  <c r="AT353" i="3" s="1"/>
  <c r="AU352" i="3" l="1"/>
  <c r="AT258" i="3"/>
  <c r="AT358" i="3" l="1"/>
  <c r="AT360" i="3" s="1"/>
  <c r="AT263" i="3"/>
  <c r="AT269" i="3" s="1"/>
  <c r="AT299" i="3" s="1"/>
  <c r="AU30" i="3"/>
  <c r="AV30" i="3" l="1"/>
  <c r="AU31" i="3"/>
  <c r="AU34" i="3" s="1"/>
  <c r="AU35" i="3" l="1"/>
  <c r="AV31" i="3"/>
  <c r="AV34" i="3" s="1"/>
  <c r="AV35" i="3" l="1"/>
  <c r="AU37" i="3"/>
  <c r="AU36" i="3"/>
  <c r="AV37" i="3" l="1"/>
  <c r="AV38" i="3" s="1"/>
  <c r="AU40" i="3"/>
  <c r="AU45" i="3" s="1"/>
  <c r="AU38" i="3"/>
  <c r="AV36" i="3"/>
  <c r="AU44" i="3" l="1"/>
  <c r="AU43" i="3"/>
  <c r="AU320" i="3"/>
  <c r="AV320" i="3"/>
  <c r="AV334" i="3" s="1"/>
  <c r="AV41" i="3"/>
  <c r="AV43" i="3" s="1"/>
  <c r="AV42" i="3"/>
  <c r="AV44" i="3" s="1"/>
  <c r="AV229" i="3"/>
  <c r="AV40" i="3"/>
  <c r="AV45" i="3" l="1"/>
  <c r="AV225" i="3" s="1"/>
  <c r="AV354" i="3"/>
  <c r="AV356" i="3" s="1"/>
  <c r="C403" i="3" s="1"/>
  <c r="AV367" i="3"/>
  <c r="AU334" i="3"/>
  <c r="AU367" i="3" s="1"/>
  <c r="AU290" i="3"/>
  <c r="AV290" i="3" l="1"/>
  <c r="AV297" i="3" s="1"/>
  <c r="AU297" i="3"/>
  <c r="AU277" i="3" l="1"/>
  <c r="AU272" i="3"/>
  <c r="AU271" i="3"/>
  <c r="AU341" i="3" l="1"/>
  <c r="AU276" i="3"/>
  <c r="AU284" i="3" s="1"/>
  <c r="AU298" i="3" s="1"/>
  <c r="AU359" i="3"/>
  <c r="AV271" i="3"/>
  <c r="AU315" i="3"/>
  <c r="AV315" i="3"/>
  <c r="AU342" i="3"/>
  <c r="AV342" i="3" s="1"/>
  <c r="AV272" i="3"/>
  <c r="AU343" i="3"/>
  <c r="AV343" i="3" s="1"/>
  <c r="AV277" i="3"/>
  <c r="C402" i="3" l="1"/>
  <c r="C405" i="3" s="1"/>
  <c r="AV231" i="3"/>
  <c r="AV276" i="3"/>
  <c r="AV284" i="3" s="1"/>
  <c r="AV298" i="3" s="1"/>
  <c r="AV359" i="3"/>
  <c r="AU349" i="3"/>
  <c r="AU351" i="3" s="1"/>
  <c r="AU353" i="3" s="1"/>
  <c r="AU258" i="3" s="1"/>
  <c r="AV341" i="3"/>
  <c r="AV349" i="3" s="1"/>
  <c r="AV351" i="3" s="1"/>
  <c r="AV353" i="3" s="1"/>
  <c r="C7" i="3" l="1"/>
  <c r="C8" i="3" s="1"/>
  <c r="C410" i="3" s="1"/>
  <c r="C379" i="3"/>
  <c r="AU358" i="3"/>
  <c r="AU360" i="3" s="1"/>
  <c r="AU263" i="3"/>
  <c r="AU269" i="3" s="1"/>
  <c r="AU299" i="3" s="1"/>
  <c r="AV258" i="3"/>
  <c r="C412" i="3" l="1"/>
  <c r="C411" i="3"/>
  <c r="AV358" i="3"/>
  <c r="AV360" i="3" s="1"/>
  <c r="AV263" i="3"/>
  <c r="AV269" i="3" s="1"/>
  <c r="AV299" i="3" s="1"/>
  <c r="AV230" i="3"/>
  <c r="C9"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GE User</author>
    <author>Owner</author>
  </authors>
  <commentList>
    <comment ref="W18" authorId="0" shapeId="0" xr:uid="{5571E9B1-1654-4F63-B66C-731AAF5EEC45}">
      <text>
        <r>
          <rPr>
            <sz val="9"/>
            <color indexed="81"/>
            <rFont val="Tahoma"/>
            <family val="2"/>
          </rPr>
          <t>Management guided depreciation &amp; amortization expense to ~$3B. 
Source: F4Q2018 earnings call 6/19/2018</t>
        </r>
      </text>
    </comment>
    <comment ref="W42" authorId="0" shapeId="0" xr:uid="{C66305EE-A86D-4D8D-A560-A89657FE1417}">
      <text>
        <r>
          <rPr>
            <sz val="9"/>
            <color indexed="81"/>
            <rFont val="Tahoma"/>
            <family val="2"/>
          </rPr>
          <t xml:space="preserve">Management's guidance for the expected TNT integration expense net of tax per share implies a FY2019 share count of 265M shares.
Source: F3Q2019 earnings call 3/19/2019
</t>
        </r>
      </text>
    </comment>
    <comment ref="V45" authorId="0" shapeId="0" xr:uid="{A36273B6-0210-4B5F-83F4-6F58CF0486DD}">
      <text>
        <r>
          <rPr>
            <sz val="9"/>
            <color indexed="81"/>
            <rFont val="Tahoma"/>
            <family val="2"/>
          </rPr>
          <t>Share count adjusted per mangement's note in regards to non-GAAP share count</t>
        </r>
      </text>
    </comment>
    <comment ref="W45" authorId="0" shapeId="0" xr:uid="{EE093795-DD6B-465A-BD6D-B908ACB7545E}">
      <text>
        <r>
          <rPr>
            <sz val="9"/>
            <color indexed="81"/>
            <rFont val="Tahoma"/>
            <family val="2"/>
          </rPr>
          <t xml:space="preserve">Management guided FY2019 diluted EPS excluding the MTM retirement adjustment and TNT Integration expense between $15.10 and $15.90
Source: F3Q2019 earnings call 3/19/2019
</t>
        </r>
        <r>
          <rPr>
            <b/>
            <sz val="9"/>
            <color indexed="81"/>
            <rFont val="Tahoma"/>
            <family val="2"/>
          </rPr>
          <t>Historic Guidance:</t>
        </r>
        <r>
          <rPr>
            <sz val="9"/>
            <color indexed="81"/>
            <rFont val="Tahoma"/>
            <family val="2"/>
          </rPr>
          <t xml:space="preserve">
&gt;Management guided FY2019 diluted EPS excluding the MTM retirement adjustment and TNT Integration expense between $17.20 and $17.80.
Source: F1Q2019 earnings call 9/17/2018
&gt;Management guided FY2019 diluted EPS excluding the MTM retirement adjustment and TNT Integration expense between $17.00 and $17.60.
Source: F4Q2018 earnings call 6/19/2018
&gt;Management guided FY2019 diluted EPS excluding the MTM retirement adjustment and TNT Integration expense between $15.50 and $16.60.
Source: F2Q2019 earnings call 12/18/2018</t>
        </r>
      </text>
    </comment>
    <comment ref="AB45" authorId="0" shapeId="0" xr:uid="{42EDC5CD-8FBD-43C7-8863-CA7A60F1B3CE}">
      <text>
        <r>
          <rPr>
            <sz val="9"/>
            <color indexed="81"/>
            <rFont val="Tahoma"/>
            <family val="2"/>
          </rPr>
          <t xml:space="preserve">"A mid-single-digit percentage point decline in diluted earnings per share prior to the year-end MTM retirement plan accounting adjustment and excluding estimated TNT Express integration expenses compared with fiscal 2019’s adjusted earnings of $15.52 per diluted share."
</t>
        </r>
        <r>
          <rPr>
            <b/>
            <sz val="9"/>
            <color indexed="81"/>
            <rFont val="Tahoma"/>
            <family val="2"/>
          </rPr>
          <t>Source:</t>
        </r>
        <r>
          <rPr>
            <sz val="9"/>
            <color indexed="81"/>
            <rFont val="Tahoma"/>
            <family val="2"/>
          </rPr>
          <t xml:space="preserve"> F4Q2019 earnings press release 6/25/2019</t>
        </r>
      </text>
    </comment>
    <comment ref="AB72" authorId="0" shapeId="0" xr:uid="{1353C884-3A14-414D-BE25-FAC4F50E8ECE}">
      <text>
        <r>
          <rPr>
            <sz val="9"/>
            <color indexed="81"/>
            <rFont val="Tahoma"/>
            <family val="2"/>
          </rPr>
          <t xml:space="preserve">"At FedEx Express,
macroeconomic weakness and trade uncertainty, continued mix shift to loweryielding services and a strategic decision to not renew a customer contract will negatively impact operating income. "
</t>
        </r>
        <r>
          <rPr>
            <b/>
            <sz val="9"/>
            <color indexed="81"/>
            <rFont val="Tahoma"/>
            <family val="2"/>
          </rPr>
          <t>Source:</t>
        </r>
        <r>
          <rPr>
            <sz val="9"/>
            <color indexed="81"/>
            <rFont val="Tahoma"/>
            <family val="2"/>
          </rPr>
          <t xml:space="preserve"> F4Q2019 earnings press release 6/25/2019</t>
        </r>
      </text>
    </comment>
    <comment ref="AB76" authorId="0" shapeId="0" xr:uid="{8A7A7153-0DC7-44EA-B3FB-C861CF91DFC1}">
      <text>
        <r>
          <rPr>
            <sz val="9"/>
            <color indexed="81"/>
            <rFont val="Tahoma"/>
            <family val="2"/>
          </rPr>
          <t xml:space="preserve">Management guided FY2020 Express Operating Income increase of $1.2B to $1.5B from FY2017 results.
Source: F4Q2018 earnings call 6/19/2018
Reaffirmed in F1Q2019 earnings press release on 9/17/2018. 
Will not meet this target: F2Q2019 earnings press release on 12/18/2018. </t>
        </r>
      </text>
    </comment>
    <comment ref="B137" authorId="0" shapeId="0" xr:uid="{C842BFEF-5D3C-4DB4-80E9-8B42CB4B0182}">
      <text>
        <r>
          <rPr>
            <sz val="9"/>
            <color indexed="81"/>
            <rFont val="Tahoma"/>
            <family val="2"/>
          </rPr>
          <t>This row is used if the details in the company's stat book do not reconcile (i.e. Revenue per lb x operating days x average daily pounds does not equal total revenue, which indicates the need for an adjustment.</t>
        </r>
      </text>
    </comment>
    <comment ref="B141" authorId="0" shapeId="0" xr:uid="{2A45B567-F809-4920-A9D3-2F54BCE0737F}">
      <text>
        <r>
          <rPr>
            <sz val="9"/>
            <color indexed="81"/>
            <rFont val="Tahoma"/>
            <family val="2"/>
          </rPr>
          <t>Use this to back into total Ground Revenue</t>
        </r>
      </text>
    </comment>
    <comment ref="AB148" authorId="0" shapeId="0" xr:uid="{2423EF89-C1AA-4D81-8656-83CAB31996F4}">
      <text>
        <r>
          <rPr>
            <sz val="9"/>
            <color indexed="81"/>
            <rFont val="Tahoma"/>
            <family val="2"/>
          </rPr>
          <t xml:space="preserve">"During fiscal 2020, operating income at FedEx Ground and FedEx Freight is expected to increase due to higher revenues"
</t>
        </r>
        <r>
          <rPr>
            <b/>
            <sz val="9"/>
            <color indexed="81"/>
            <rFont val="Tahoma"/>
            <family val="2"/>
          </rPr>
          <t>Source:</t>
        </r>
        <r>
          <rPr>
            <sz val="9"/>
            <color indexed="81"/>
            <rFont val="Tahoma"/>
            <family val="2"/>
          </rPr>
          <t xml:space="preserve"> F4Q2019 earnings press release 6/25/2019
"At FedEx Ground, we expect volume and revenue growth to remain very strong in FY 2020. However, operating margins will face headwinds from higher operating cost associated with expanding FedEx’s Ground’s delivery schedule, improving our capabilities for large packages, and other investments to significantly improve efficiency and safety." </t>
        </r>
        <r>
          <rPr>
            <b/>
            <sz val="9"/>
            <color indexed="81"/>
            <rFont val="Tahoma"/>
            <family val="2"/>
          </rPr>
          <t>-Alan Graf Jr., FedEx Corp, Executive Vice President &amp; CFO, Fiscal fourth quarter 2019 earnings conference call, June 25, 2019.</t>
        </r>
        <r>
          <rPr>
            <sz val="9"/>
            <color indexed="81"/>
            <rFont val="Tahoma"/>
            <family val="2"/>
          </rPr>
          <t xml:space="preserve">
"We believe FedEx Ground will increase earnings for the fiscal year with modest, if any, margin compression from current levels despite the investments we’ve announced such as six and seven-day per week delivery, large package capabilities, and insourcing of SmartPost."</t>
        </r>
        <r>
          <rPr>
            <b/>
            <sz val="9"/>
            <color indexed="81"/>
            <rFont val="Tahoma"/>
            <family val="2"/>
          </rPr>
          <t xml:space="preserve"> -Frederick W. Smith, FedEx Corp, Chairman, President &amp; CEO, Fiscal fourth quarter 2019 earnings conference call, June 25, 2019. 
</t>
        </r>
      </text>
    </comment>
    <comment ref="AB154" authorId="0" shapeId="0" xr:uid="{9E666ACC-B769-4E67-B604-2B73A001983A}">
      <text>
        <r>
          <rPr>
            <sz val="9"/>
            <color indexed="81"/>
            <rFont val="Tahoma"/>
            <family val="2"/>
          </rPr>
          <t xml:space="preserve">"During fiscal 2020, operating income at FedEx Ground and FedEx Freight is expected to increase due to higher revenues"
</t>
        </r>
        <r>
          <rPr>
            <b/>
            <sz val="9"/>
            <color indexed="81"/>
            <rFont val="Tahoma"/>
            <family val="2"/>
          </rPr>
          <t>Source:</t>
        </r>
        <r>
          <rPr>
            <sz val="9"/>
            <color indexed="81"/>
            <rFont val="Tahoma"/>
            <family val="2"/>
          </rPr>
          <t xml:space="preserve"> F4Q2019 earnings press release 6/25/2019
"At FedEx Ground, we expect volume and revenue growth to remain very strong in FY 2020. However, operating margins will face headwinds from higher operating cost associated with expanding FedEx’s Ground’s delivery schedule, improving our capabilities for large packages, and other investments to significantly improve efficiency and safety." </t>
        </r>
        <r>
          <rPr>
            <b/>
            <sz val="9"/>
            <color indexed="81"/>
            <rFont val="Tahoma"/>
            <family val="2"/>
          </rPr>
          <t>-Alan Graf Jr., FedEx Corp, Executive Vice President &amp; CFO, Fiscal fourth quarter 2019 earnings conference call, June 25, 2019.</t>
        </r>
        <r>
          <rPr>
            <sz val="9"/>
            <color indexed="81"/>
            <rFont val="Tahoma"/>
            <family val="2"/>
          </rPr>
          <t xml:space="preserve">
"We believe FedEx Ground will increase earnings for the fiscal year with modest, if any, margin compression from current levels despite the investments we’ve announced such as six and seven-day per week delivery, large package capabilities, and insourcing of SmartPost."</t>
        </r>
        <r>
          <rPr>
            <b/>
            <sz val="9"/>
            <color indexed="81"/>
            <rFont val="Tahoma"/>
            <family val="2"/>
          </rPr>
          <t xml:space="preserve"> -Frederick W. Smith, FedEx Corp, Chairman, President &amp; CEO, Fiscal fourth quarter 2019 earnings conference call, June 25, 2019. </t>
        </r>
      </text>
    </comment>
    <comment ref="AB165" authorId="0" shapeId="0" xr:uid="{93D829AD-B39B-4DBC-B1CC-FE5019C8F006}">
      <text>
        <r>
          <rPr>
            <sz val="9"/>
            <color indexed="81"/>
            <rFont val="Tahoma"/>
            <family val="2"/>
          </rPr>
          <t>"During fiscal 2020, operating income at FedEx Ground and FedEx Freight is expected to increase due to higher revenues"</t>
        </r>
        <r>
          <rPr>
            <b/>
            <sz val="9"/>
            <color indexed="81"/>
            <rFont val="Tahoma"/>
            <family val="2"/>
          </rPr>
          <t xml:space="preserve">
Source: </t>
        </r>
        <r>
          <rPr>
            <sz val="9"/>
            <color indexed="81"/>
            <rFont val="Tahoma"/>
            <family val="2"/>
          </rPr>
          <t xml:space="preserve">F4Q2019 earnings press release 6/25/2019
"At FedEx Freight, we expect continued improved performance as we remain focused on improving revenue quality by implementing technology solutions that will drive efficiency and further differentiate us in the LTL market." </t>
        </r>
        <r>
          <rPr>
            <b/>
            <sz val="9"/>
            <color indexed="81"/>
            <rFont val="Tahoma"/>
            <family val="2"/>
          </rPr>
          <t>-Alan Graf Jr., FedEx Corp, Executive Vice President &amp; CFO, Fiscal fourth quarter 2019 earnings conference call, June 25, 2019.</t>
        </r>
        <r>
          <rPr>
            <sz val="9"/>
            <color indexed="81"/>
            <rFont val="Tahoma"/>
            <family val="2"/>
          </rPr>
          <t xml:space="preserve">
"Let me emphasize, however, that based on our current forecast of U.S. GDP growth for FY 2020, we anticipate FedEx Freight will increase earnings and margin over the period."</t>
        </r>
        <r>
          <rPr>
            <b/>
            <sz val="9"/>
            <color indexed="81"/>
            <rFont val="Tahoma"/>
            <family val="2"/>
          </rPr>
          <t xml:space="preserve"> -Frederick W. Smith, FedEx Corp, Chairman, President &amp; CEO, Fiscal fourth quarter 2019 earnings conference call, June 25, 2019.</t>
        </r>
        <r>
          <rPr>
            <sz val="9"/>
            <color indexed="81"/>
            <rFont val="Tahoma"/>
            <family val="2"/>
          </rPr>
          <t xml:space="preserve">
</t>
        </r>
      </text>
    </comment>
    <comment ref="AB171" authorId="0" shapeId="0" xr:uid="{9AF710A4-3D57-4E51-A584-3885318A4520}">
      <text>
        <r>
          <rPr>
            <sz val="9"/>
            <color indexed="81"/>
            <rFont val="Tahoma"/>
            <family val="2"/>
          </rPr>
          <t xml:space="preserve">"During fiscal 2020, operating income at FedEx Ground and FedEx Freight is expected to increase due to higher revenues"
</t>
        </r>
        <r>
          <rPr>
            <b/>
            <sz val="9"/>
            <color indexed="81"/>
            <rFont val="Tahoma"/>
            <family val="2"/>
          </rPr>
          <t xml:space="preserve">Source: </t>
        </r>
        <r>
          <rPr>
            <sz val="9"/>
            <color indexed="81"/>
            <rFont val="Tahoma"/>
            <family val="2"/>
          </rPr>
          <t xml:space="preserve">F4Q2019 earnings press release 6/25/2019
"At FedEx Freight, we expect continued improved performance as we remain focused on improving revenue quality by implementing technology solutions that will drive efficiency and further differentiate us in the LTL market." </t>
        </r>
        <r>
          <rPr>
            <b/>
            <sz val="9"/>
            <color indexed="81"/>
            <rFont val="Tahoma"/>
            <family val="2"/>
          </rPr>
          <t>-Alan Graf Jr., FedEx Corp, Executive Vice President &amp; CFO, Fiscal fourth quarter 2019 earnings conference call, June 25, 2019.</t>
        </r>
        <r>
          <rPr>
            <sz val="9"/>
            <color indexed="81"/>
            <rFont val="Tahoma"/>
            <family val="2"/>
          </rPr>
          <t xml:space="preserve">
"Let me emphasize, however, that based on our current forecast of U.S. GDP growth for FY 2020, we anticipate FedEx Freight will increase earnings and margin over the period." </t>
        </r>
        <r>
          <rPr>
            <b/>
            <sz val="9"/>
            <color indexed="81"/>
            <rFont val="Tahoma"/>
            <family val="2"/>
          </rPr>
          <t>-Frederick W. Smith, FedEx Corp, Chairman, President &amp; CEO, Fiscal fourth quarter 2019 earnings conference call, June 25, 2019.</t>
        </r>
      </text>
    </comment>
    <comment ref="B179" authorId="0" shapeId="0" xr:uid="{4C6D9F26-DE3D-49EB-952A-A5DBFCF3575D}">
      <text>
        <r>
          <rPr>
            <sz val="9"/>
            <color indexed="81"/>
            <rFont val="Tahoma"/>
            <family val="2"/>
          </rPr>
          <t>This is the full impact of the operating income adjustment plus the difference between the operating revenue and operating income</t>
        </r>
      </text>
    </comment>
    <comment ref="B183" authorId="0" shapeId="0" xr:uid="{0D6A47B5-847A-41CC-92DC-42E860D06162}">
      <text>
        <r>
          <rPr>
            <sz val="9"/>
            <color indexed="81"/>
            <rFont val="Tahoma"/>
            <family val="2"/>
          </rPr>
          <t xml:space="preserve">Plug to all other operating expenses so that Net Operating Income foots. Then review "All other operating expense" relative to historic results to ensure reasonable. Note that if you try to back into this in the forecast period you would end up with a circular reference error. To estimate, start by setting equal to the prior period then adjust until operating income reconciles.
</t>
        </r>
      </text>
    </comment>
    <comment ref="B195" authorId="0" shapeId="0" xr:uid="{EE63B956-6130-4B3C-87DF-980FAF4034B9}">
      <text>
        <r>
          <rPr>
            <sz val="9"/>
            <color indexed="81"/>
            <rFont val="Tahoma"/>
            <family val="2"/>
          </rPr>
          <t>Must remain above 80%</t>
        </r>
      </text>
    </comment>
    <comment ref="B197" authorId="0" shapeId="0" xr:uid="{55CD12DC-13B9-41E5-9A3C-CA89738272F9}">
      <text>
        <r>
          <rPr>
            <sz val="9"/>
            <color indexed="81"/>
            <rFont val="Tahoma"/>
            <family val="2"/>
          </rPr>
          <t>This is primarily the portion of the periodic benefit related to the amortization of prior services credit  which is recognized through OCI</t>
        </r>
      </text>
    </comment>
    <comment ref="M204" authorId="0" shapeId="0" xr:uid="{C69B17EC-2DF4-4062-9FC7-44F0EAC0BEA8}">
      <text>
        <r>
          <rPr>
            <sz val="9"/>
            <color indexed="81"/>
            <rFont val="Tahoma"/>
            <family val="2"/>
          </rPr>
          <t>Benefit payments were higher in 2017 because former employees with vested pension plans were able to make a one-time election to receive their benefit as a lump sum, which incresed benefit payments by $1.3B.</t>
        </r>
      </text>
    </comment>
    <comment ref="AB204" authorId="0" shapeId="0" xr:uid="{DD9F5E12-EEFA-460D-AA4F-ACF980E5A4A2}">
      <text>
        <r>
          <rPr>
            <b/>
            <sz val="9"/>
            <color indexed="81"/>
            <rFont val="Tahoma"/>
            <family val="2"/>
          </rPr>
          <t>Disclosed in the 10-K</t>
        </r>
      </text>
    </comment>
    <comment ref="AG204" authorId="0" shapeId="0" xr:uid="{7F8357B2-E019-45A2-A589-A6F3A8850086}">
      <text>
        <r>
          <rPr>
            <b/>
            <sz val="9"/>
            <color indexed="81"/>
            <rFont val="Tahoma"/>
            <family val="2"/>
          </rPr>
          <t>Disclosed in the 10-K</t>
        </r>
      </text>
    </comment>
    <comment ref="AL204" authorId="0" shapeId="0" xr:uid="{9253EF33-73FA-4470-90E6-6116B0A8C0B2}">
      <text>
        <r>
          <rPr>
            <b/>
            <sz val="9"/>
            <color indexed="81"/>
            <rFont val="Tahoma"/>
            <family val="2"/>
          </rPr>
          <t>Disclosed in the 10-K</t>
        </r>
      </text>
    </comment>
    <comment ref="AQ204" authorId="0" shapeId="0" xr:uid="{E967D3FB-FDF8-4514-813A-3042F22D6B75}">
      <text>
        <r>
          <rPr>
            <b/>
            <sz val="9"/>
            <color indexed="81"/>
            <rFont val="Tahoma"/>
            <family val="2"/>
          </rPr>
          <t>Disclosed in the 10-K</t>
        </r>
      </text>
    </comment>
    <comment ref="AV204" authorId="0" shapeId="0" xr:uid="{80BB9701-0BE5-41EF-9F90-C9EFDFF93C1A}">
      <text>
        <r>
          <rPr>
            <b/>
            <sz val="9"/>
            <color indexed="81"/>
            <rFont val="Tahoma"/>
            <family val="2"/>
          </rPr>
          <t>Disclosed in the 10-K</t>
        </r>
      </text>
    </comment>
    <comment ref="H205" authorId="0" shapeId="0" xr:uid="{00C6529B-8D50-4D47-9F99-A2D755164665}">
      <text>
        <r>
          <rPr>
            <sz val="9"/>
            <color indexed="81"/>
            <rFont val="Tahoma"/>
            <family val="2"/>
          </rPr>
          <t>Higher due to impact of TNT acquisition.</t>
        </r>
      </text>
    </comment>
    <comment ref="H207" authorId="0" shapeId="0" xr:uid="{579AF088-4783-4311-BFFE-0D2B3FB84AEC}">
      <text>
        <r>
          <rPr>
            <sz val="9"/>
            <color indexed="81"/>
            <rFont val="Tahoma"/>
            <family val="2"/>
          </rPr>
          <t>Actual return of 1.2% was lower than the expected return of 6.5%.</t>
        </r>
      </text>
    </comment>
    <comment ref="M207" authorId="0" shapeId="0" xr:uid="{6F52A86F-22B4-433C-BAB7-988446472BB8}">
      <text>
        <r>
          <rPr>
            <sz val="9"/>
            <color indexed="81"/>
            <rFont val="Tahoma"/>
            <family val="2"/>
          </rPr>
          <t>Actual return of 9.6% was higher than the expected return of 6.5%.</t>
        </r>
      </text>
    </comment>
    <comment ref="R207" authorId="0" shapeId="0" xr:uid="{6112CCD8-BB97-4372-AFE6-D6BE29FBC3C7}">
      <text>
        <r>
          <rPr>
            <sz val="9"/>
            <color indexed="81"/>
            <rFont val="Tahoma"/>
            <family val="2"/>
          </rPr>
          <t>Actual return of 6.3% was lower than the expected return of 6.5%.</t>
        </r>
      </text>
    </comment>
    <comment ref="R208" authorId="0" shapeId="0" xr:uid="{49775B38-CF18-4788-9408-5FB01CF39DDE}">
      <text>
        <r>
          <rPr>
            <sz val="9"/>
            <color indexed="81"/>
            <rFont val="Tahoma"/>
            <family val="2"/>
          </rPr>
          <t>MetLife group annuity contract transfered ~$6 billion of U.S. Pension Plan obligations.</t>
        </r>
      </text>
    </comment>
    <comment ref="H209" authorId="0" shapeId="0" xr:uid="{CEF0FA89-F20D-41AE-9E93-C58B17A8AF6D}">
      <text>
        <r>
          <rPr>
            <sz val="9"/>
            <color indexed="81"/>
            <rFont val="Tahoma"/>
            <family val="2"/>
          </rPr>
          <t xml:space="preserve">Discount rate decreased from 4.38% in 2015 to 4.04% in 2016. </t>
        </r>
      </text>
    </comment>
    <comment ref="M209" authorId="0" shapeId="0" xr:uid="{F0607158-74C8-4FF0-AFC2-216C98ACEAB5}">
      <text>
        <r>
          <rPr>
            <sz val="9"/>
            <color indexed="81"/>
            <rFont val="Tahoma"/>
            <family val="2"/>
          </rPr>
          <t xml:space="preserve">Discount rate decreased from 4.04% in 2016 to 3.98% in 2017. </t>
        </r>
      </text>
    </comment>
    <comment ref="R209" authorId="0" shapeId="0" xr:uid="{96027B91-4C12-4F59-AEA2-AAC007039DD9}">
      <text>
        <r>
          <rPr>
            <sz val="9"/>
            <color indexed="81"/>
            <rFont val="Tahoma"/>
            <family val="2"/>
          </rPr>
          <t xml:space="preserve">Discount rate decreased from 3.98% in 2017 to 4.11% in 2018. </t>
        </r>
      </text>
    </comment>
    <comment ref="H210" authorId="0" shapeId="0" xr:uid="{A99056AB-32FE-402B-BF36-E4AE1767997F}">
      <text>
        <r>
          <rPr>
            <sz val="9"/>
            <color indexed="81"/>
            <rFont val="Tahoma"/>
            <family val="2"/>
          </rPr>
          <t>Impact of updated Mortality Tables.</t>
        </r>
      </text>
    </comment>
    <comment ref="M210" authorId="0" shapeId="0" xr:uid="{875E1C91-C4F4-44FB-80B8-A18DFE1F39AD}">
      <text>
        <r>
          <rPr>
            <sz val="9"/>
            <color indexed="81"/>
            <rFont val="Tahoma"/>
            <family val="2"/>
          </rPr>
          <t>Impact of updated Mortality Tables.</t>
        </r>
      </text>
    </comment>
    <comment ref="R210" authorId="0" shapeId="0" xr:uid="{25E04B8A-AFF1-4D8A-8087-E07CC38AB02C}">
      <text>
        <r>
          <rPr>
            <sz val="9"/>
            <color indexed="81"/>
            <rFont val="Tahoma"/>
            <family val="2"/>
          </rPr>
          <t>Impact of updated Mortality Tables.</t>
        </r>
      </text>
    </comment>
    <comment ref="R214" authorId="0" shapeId="0" xr:uid="{044F7983-0E5B-428E-881C-603B38DA9F2E}">
      <text>
        <r>
          <rPr>
            <b/>
            <sz val="9"/>
            <color indexed="81"/>
            <rFont val="Tahoma"/>
            <family val="2"/>
          </rPr>
          <t>Last disclosed in May-2018 10-K</t>
        </r>
      </text>
    </comment>
    <comment ref="W214" authorId="0" shapeId="0" xr:uid="{1EF73BCE-1A83-490F-B98E-297FD69CCC2E}">
      <text>
        <r>
          <rPr>
            <sz val="9"/>
            <color indexed="81"/>
            <rFont val="Tahoma"/>
            <family val="2"/>
          </rPr>
          <t>Last disclosed in May-2018 10-K</t>
        </r>
      </text>
    </comment>
    <comment ref="B216" authorId="0" shapeId="0" xr:uid="{2EA5235B-F6D5-4558-B8C4-9D99562D0E3D}">
      <text>
        <r>
          <rPr>
            <sz val="9"/>
            <color indexed="81"/>
            <rFont val="Tahoma"/>
            <family val="2"/>
          </rPr>
          <t xml:space="preserve">The rate used to discount Projected Benefit Obligation to net present value terms. Actuaries calcualte the rate based on a theoretical portfolio of high-grade corporate bonds (Aa or better).
</t>
        </r>
      </text>
    </comment>
    <comment ref="W217" authorId="0" shapeId="0" xr:uid="{FF8BA979-9ECC-4F80-BCF9-593BABE9E93C}">
      <text>
        <r>
          <rPr>
            <sz val="9"/>
            <color indexed="81"/>
            <rFont val="Tahoma"/>
            <family val="2"/>
          </rPr>
          <t>Last disclosed in May-2018 10-K</t>
        </r>
      </text>
    </comment>
    <comment ref="B220" authorId="0" shapeId="0" xr:uid="{2DFF789A-76A9-427A-A256-E2AAEBDFC1B6}">
      <text>
        <r>
          <rPr>
            <sz val="9"/>
            <color indexed="81"/>
            <rFont val="Tahoma"/>
            <family val="2"/>
          </rPr>
          <t>As mortality tables are published by the IRS, and actuaries analyze the expected impact, adjust the pension MtM forecast to incorporate the impact.</t>
        </r>
      </text>
    </comment>
    <comment ref="W222" authorId="0" shapeId="0" xr:uid="{259E0A5B-753A-444B-9EF2-1562975E61FE}">
      <text>
        <r>
          <rPr>
            <sz val="9"/>
            <color indexed="81"/>
            <rFont val="Tahoma"/>
            <family val="2"/>
          </rPr>
          <t>Management guided FY2019 revenue growth to ~9% 
Original Source: F4Q2018 earnings call 6/19/2018
Reaffirmed on: F1Q2019 earnings call 9/17/2018
No longer providing guidance: F2Q2019 earnings call 12/18/2018</t>
        </r>
      </text>
    </comment>
    <comment ref="W224" authorId="0" shapeId="0" xr:uid="{49404006-C1DB-4F42-BD5A-764744382BFA}">
      <text>
        <r>
          <rPr>
            <sz val="9"/>
            <color indexed="81"/>
            <rFont val="Tahoma"/>
            <family val="2"/>
          </rPr>
          <t>Management guided FY2019 operating margin to ~7.9% and 8.5% excluding TNT integration costs. 
Original Source: F4Q2018 earnings call 6/19/2018
Reaffirmed on: F1Q2019 earnings call 9/17/2018
No longer providing guidance: F2Q2019 earnings call 12/18/2018</t>
        </r>
      </text>
    </comment>
    <comment ref="AB225" authorId="0" shapeId="0" xr:uid="{F90D4F64-666C-48D6-89A8-644C735686C9}">
      <text>
        <r>
          <rPr>
            <sz val="9"/>
            <color indexed="81"/>
            <rFont val="Tahoma"/>
            <family val="2"/>
          </rPr>
          <t xml:space="preserve">"A mid-single-digit percentage point decline in diluted earnings per share prior to the year-end MTM retirement plan accounting adjustment and excluding estimated TNT Express integration expenses compared with fiscal 2019’s adjusted earnings of $15.52 per diluted share."
</t>
        </r>
        <r>
          <rPr>
            <b/>
            <sz val="9"/>
            <color indexed="81"/>
            <rFont val="Tahoma"/>
            <family val="2"/>
          </rPr>
          <t>Source:</t>
        </r>
        <r>
          <rPr>
            <sz val="9"/>
            <color indexed="81"/>
            <rFont val="Tahoma"/>
            <family val="2"/>
          </rPr>
          <t xml:space="preserve"> F4Q2019 earnings press release 6/25/2019</t>
        </r>
      </text>
    </comment>
    <comment ref="W229" authorId="0" shapeId="0" xr:uid="{B25E5183-5E0D-43E3-8B77-6103C3D28FAE}">
      <text>
        <r>
          <rPr>
            <sz val="9"/>
            <color indexed="81"/>
            <rFont val="Tahoma"/>
            <family val="2"/>
          </rPr>
          <t xml:space="preserve">Management guided the effective tax rate between 22% and 23%. 
Source: F3Q2019 earnings call 3/19/2019
</t>
        </r>
      </text>
    </comment>
    <comment ref="AB229" authorId="0" shapeId="0" xr:uid="{20D97529-F074-45B5-A9E9-D1D8E0B0D8BB}">
      <text>
        <r>
          <rPr>
            <sz val="9"/>
            <color indexed="81"/>
            <rFont val="Tahoma"/>
            <family val="2"/>
          </rPr>
          <t>Management guided the effective tax rate between 23% and 25%. 
Source: F4Q2019 earnings call 6/25/2019</t>
        </r>
      </text>
    </comment>
    <comment ref="W241" authorId="0" shapeId="0" xr:uid="{112C2E22-9290-4A83-A85C-6EE76FEC8811}">
      <text>
        <r>
          <rPr>
            <sz val="9"/>
            <color indexed="81"/>
            <rFont val="Tahoma"/>
            <family val="2"/>
          </rPr>
          <t xml:space="preserve">Management guided TNT integration expense to $435M $350M net of tax effect. Total cummulative TNT integration expense expected to exceed $1.5B through 2021.
</t>
        </r>
        <r>
          <rPr>
            <b/>
            <sz val="9"/>
            <color indexed="81"/>
            <rFont val="Tahoma"/>
            <family val="2"/>
          </rPr>
          <t>Source:</t>
        </r>
        <r>
          <rPr>
            <sz val="9"/>
            <color indexed="81"/>
            <rFont val="Tahoma"/>
            <family val="2"/>
          </rPr>
          <t xml:space="preserve"> F3Q2019 earnings call 3/19/2019
</t>
        </r>
      </text>
    </comment>
    <comment ref="AB241" authorId="0" shapeId="0" xr:uid="{2EBE606B-16FC-42E6-84E2-FEA1F9D016A4}">
      <text>
        <r>
          <rPr>
            <sz val="9"/>
            <color indexed="81"/>
            <rFont val="Tahoma"/>
            <family val="2"/>
          </rPr>
          <t>"Total TNT Express integration program expenses through fiscal 2021 are now estimated to be approximately $1.7 billion, of which $350 million is expected to be incurred in fiscal 2020."</t>
        </r>
        <r>
          <rPr>
            <b/>
            <sz val="9"/>
            <color indexed="81"/>
            <rFont val="Tahoma"/>
            <family val="2"/>
          </rPr>
          <t xml:space="preserve">
Source: </t>
        </r>
        <r>
          <rPr>
            <sz val="9"/>
            <color indexed="81"/>
            <rFont val="Tahoma"/>
            <family val="2"/>
          </rPr>
          <t>F4Q2019 earnings call 6/20/2019</t>
        </r>
        <r>
          <rPr>
            <b/>
            <sz val="9"/>
            <color indexed="81"/>
            <rFont val="Tahoma"/>
            <family val="2"/>
          </rPr>
          <t xml:space="preserve">
</t>
        </r>
      </text>
    </comment>
    <comment ref="AF242" authorId="0" shapeId="0" xr:uid="{F6C1009A-1F8E-4647-8AAE-35ADB6A88889}">
      <text>
        <r>
          <rPr>
            <sz val="9"/>
            <color indexed="81"/>
            <rFont val="Tahoma"/>
            <family val="2"/>
          </rPr>
          <t xml:space="preserve">"Total TNT Express integration program expenses through fiscal 2021 are now estimated to be approximately $1.7 billion, of which $350 million is expected to be incurred in fiscal 2020."
</t>
        </r>
        <r>
          <rPr>
            <b/>
            <sz val="9"/>
            <color indexed="81"/>
            <rFont val="Tahoma"/>
            <family val="2"/>
          </rPr>
          <t xml:space="preserve">Source: </t>
        </r>
        <r>
          <rPr>
            <sz val="9"/>
            <color indexed="81"/>
            <rFont val="Tahoma"/>
            <family val="2"/>
          </rPr>
          <t xml:space="preserve">F4Q2019 earnings call 6/20/2019
</t>
        </r>
        <r>
          <rPr>
            <b/>
            <sz val="9"/>
            <color indexed="81"/>
            <rFont val="Tahoma"/>
            <family val="2"/>
          </rPr>
          <t>Prior Guidance:</t>
        </r>
        <r>
          <rPr>
            <sz val="9"/>
            <color indexed="81"/>
            <rFont val="Tahoma"/>
            <family val="2"/>
          </rPr>
          <t xml:space="preserve">
Management guided TNT integration expense to $435M $350M net of tax effect. Total cummulative TNT integration expense expected to exceed $1.5B through 2021.
</t>
        </r>
        <r>
          <rPr>
            <b/>
            <sz val="9"/>
            <color indexed="81"/>
            <rFont val="Tahoma"/>
            <family val="2"/>
          </rPr>
          <t>Source:</t>
        </r>
        <r>
          <rPr>
            <sz val="9"/>
            <color indexed="81"/>
            <rFont val="Tahoma"/>
            <family val="2"/>
          </rPr>
          <t xml:space="preserve"> F3Q2019 earnings call 3/19/2019</t>
        </r>
      </text>
    </comment>
    <comment ref="W244" authorId="0" shapeId="0" xr:uid="{66B38228-13A3-4CA3-8FE8-7DD42B8F9490}">
      <text>
        <r>
          <rPr>
            <sz val="9"/>
            <color indexed="81"/>
            <rFont val="Tahoma"/>
            <family val="2"/>
          </rPr>
          <t>Management guided TNT integration expense to $435M $350M net of tax effect. Total cummulative TNT integration expense expected to exceed $1.5B through 2021.
Source: F3Q2019 earnings call 3/19/2019</t>
        </r>
      </text>
    </comment>
    <comment ref="W245" authorId="0" shapeId="0" xr:uid="{A1A325EE-443C-4D65-99DE-9214FF48ECF9}">
      <text>
        <r>
          <rPr>
            <sz val="9"/>
            <color indexed="81"/>
            <rFont val="Tahoma"/>
            <family val="2"/>
          </rPr>
          <t>Management guided FedEx Ground Legal Expense to $46M 
Source: F3Q2019 earnings call 3/19/2019</t>
        </r>
      </text>
    </comment>
    <comment ref="W247" authorId="0" shapeId="0" xr:uid="{F89019DA-30D1-48FB-B135-8015F4471B6B}">
      <text>
        <r>
          <rPr>
            <sz val="9"/>
            <color indexed="81"/>
            <rFont val="Tahoma"/>
            <family val="2"/>
          </rPr>
          <t>Management guided Business alignment (primarily voluntary buyout charges) between  $450M and $575M pre-tax (primarily in F4Q2019). Tax impact -$110M to -$140M.
Source: F3Q2019 earnings call 3/18/2019</t>
        </r>
      </text>
    </comment>
    <comment ref="Z248" authorId="0" shapeId="0" xr:uid="{A5C8C9C2-20F1-4681-B4ED-FB45EA4D588C}">
      <text>
        <r>
          <rPr>
            <sz val="9"/>
            <color indexed="81"/>
            <rFont val="Tahoma"/>
            <family val="2"/>
          </rPr>
          <t>Management guided Business alignment (primarily voluntary buyout charges) between  $450M and $575M pre-tax (primarily in F4Q2019). Tax impact -$110M to -$140M.
Source: F3Q2019 earnings call 3/18/2019</t>
        </r>
      </text>
    </comment>
    <comment ref="V251" authorId="0" shapeId="0" xr:uid="{89018A1D-F584-4A62-9CFF-7B9AE44B19C9}">
      <text>
        <r>
          <rPr>
            <sz val="9"/>
            <color indexed="81"/>
            <rFont val="Tahoma"/>
            <family val="2"/>
          </rPr>
          <t xml:space="preserve">The MtM on the retirement plan is now reported below the opex line, so will only impact net income.
</t>
        </r>
      </text>
    </comment>
    <comment ref="B315" authorId="0" shapeId="0" xr:uid="{0AC8C104-EB4A-4380-855D-1388A823A7E5}">
      <text>
        <r>
          <rPr>
            <sz val="9"/>
            <color indexed="81"/>
            <rFont val="Tahoma"/>
            <family val="2"/>
          </rPr>
          <t xml:space="preserve">There is a covenant for the relvolving credit facility which requires the company to maintain a ratio of debt to consolidated earnings (excluding non-cash pension mark-to-market adjustments and non-cash asset impairment charges) before interest, taxes, depreciation and amortization (“adjusted EBITDA”) of not more than 3.5 to 1.0, calculated as of the end of the applicable quarter on a rolling four-quarters basis. 
</t>
        </r>
      </text>
    </comment>
    <comment ref="W336" authorId="0" shapeId="0" xr:uid="{66A64359-4E7E-442B-8289-5E351FE151F7}">
      <text>
        <r>
          <rPr>
            <sz val="9"/>
            <color indexed="81"/>
            <rFont val="Tahoma"/>
            <family val="2"/>
          </rPr>
          <t>Management guided FY2019 capex to $5.6B or ~8% of revenue.
Original Source: F4Q2018 earnings call 6/19/2018
Reaffirmed: F1Q2019 earnings call 9/17/2018
Reaffirmed: F2Q2019 earnings call 12/18/2018</t>
        </r>
      </text>
    </comment>
    <comment ref="AB336" authorId="0" shapeId="0" xr:uid="{67CA57DD-218A-437E-B980-C717636A7AF9}">
      <text>
        <r>
          <rPr>
            <sz val="9"/>
            <color indexed="81"/>
            <rFont val="Tahoma"/>
            <family val="2"/>
          </rPr>
          <t>Management guided FY2020 capex to $5.9B
Source: F4Q2019 earnings call 6/25/2019</t>
        </r>
      </text>
    </comment>
    <comment ref="B354" authorId="0" shapeId="0" xr:uid="{FA95C4A7-0B69-4F13-92E4-DBC34B46CEE3}">
      <text>
        <r>
          <rPr>
            <sz val="9"/>
            <color indexed="81"/>
            <rFont val="Tahoma"/>
            <family val="2"/>
          </rPr>
          <t>Cash Flow from Operations - Capital Expenditures + After tax Interest Expense</t>
        </r>
      </text>
    </comment>
    <comment ref="B370" authorId="0" shapeId="0" xr:uid="{B6E4CE20-2A40-47B5-888C-68A4435644B7}">
      <text>
        <r>
          <rPr>
            <b/>
            <sz val="9"/>
            <color indexed="81"/>
            <rFont val="Tahoma"/>
            <family val="2"/>
          </rPr>
          <t>Multiple Note:</t>
        </r>
        <r>
          <rPr>
            <sz val="9"/>
            <color indexed="81"/>
            <rFont val="Tahoma"/>
            <family val="2"/>
          </rPr>
          <t xml:space="preserve"> There are many different multiples which could be applied to various earnings metrics, each of which result in different valuations. This calculation is for demonstration only. Please refer to the Terms of Use link for important details.  The DCF and Multiple valuation metrics are kept constant at certain points during each quarter to isolate the impact from changes in earnings estimates.   The multiple  in this section was last updated on 7/10/2019.</t>
        </r>
      </text>
    </comment>
    <comment ref="C377" authorId="0" shapeId="0" xr:uid="{2CEB5B94-2169-490A-95B6-386396099A7D}">
      <text>
        <r>
          <rPr>
            <sz val="9"/>
            <color indexed="81"/>
            <rFont val="Tahoma"/>
            <family val="2"/>
          </rPr>
          <t>Multiples are calculated including the value of net cash/(debt) and are based on the 3-month average daily share price compared to the consensus EPS estimates for the next twelve month period.</t>
        </r>
      </text>
    </comment>
    <comment ref="B380" authorId="0" shapeId="0" xr:uid="{E5640D7B-D34A-40D4-850C-3398B5CFA630}">
      <text>
        <r>
          <rPr>
            <sz val="9"/>
            <color indexed="81"/>
            <rFont val="Tahoma"/>
            <family val="2"/>
          </rPr>
          <t>There are many different methods to calculate a DCF-based valuation, each of which result in different final valuation estimates. This calculation is for demonstration only. Different inputs and assumptions can result in significantly different valuation estimates. Refer to the Terms of Use link for important information regarding this demonstration.  The DCF and Multiple valuation metrics are kept constant at certain points during each quarter to isolate the impact from changes in earnings estimates.  The  Beta, Volatility, and Risk-Free rate used in this DCF section was last updated on 7/10/2019.</t>
        </r>
      </text>
    </comment>
    <comment ref="C382" authorId="0" shapeId="0" xr:uid="{C8595294-E50A-485C-94B7-52DE006F807D}">
      <text>
        <r>
          <rPr>
            <sz val="9"/>
            <color indexed="81"/>
            <rFont val="Tahoma"/>
            <family val="2"/>
          </rPr>
          <t xml:space="preserve">The DCF calculation relies on an estimate of the equity to total capital ratio. Since the share price goes into the calculation of the capital ratio, this will naturally cause a circular reference. To demonstrate assume the current share price is $100 and the DCF is projecting a price of $150. If the DCF target price of $150 came to pass, then equity would make up a larger percentage of the total capital structure and the share price would actually be much lower.
Consider what would happen if we simply used the current share price in the DCF calculation, and market risk increased from one quarter to the next. As the share price declines, the equity to total capital ratio will also decline. As a result the discount rate will decline, and the share price projected by the DCF would actually increase, despite the heighten level of risk. The reverse effect would occur in a scenario where market risk decreases from one period to the next. From a reasonableness standpoint this simply does not make sense directionally.
To solve this issue the target share price must be used in the calculation of debt to equity. You can use trial and error to type in share prices until the price for the market capitalization calculation equals that of the DCF target. Or you can simply input the equation of "Target Share Price" = "Implied DCF 12-month target value" (i.e. "DCF check") and use the Goal Seek function to change "Target Share Price" to equal the final DCF target. This should be the final step in your model, as any changes in the inputs could impact the valuation.
</t>
        </r>
      </text>
    </comment>
    <comment ref="C386" authorId="0" shapeId="0" xr:uid="{E3E704A4-617E-451F-BB87-E09038CE61B8}">
      <text>
        <r>
          <rPr>
            <sz val="9"/>
            <color indexed="81"/>
            <rFont val="Tahoma"/>
            <family val="2"/>
          </rPr>
          <t>This model uses the Constant Sharpe approach to estimate the Equity Risk Premium (ERP). The S&amp;P500 Constant Sharpe is calculated by taking the excess return on the index over the risk-free rate, divided by the standard deviation of returns. The Constant Sharpe ratio is then multiplied by the estimate of implied volatility to calculate the ERP.</t>
        </r>
      </text>
    </comment>
    <comment ref="C387" authorId="0" shapeId="0" xr:uid="{815930CD-DDBD-444A-8E95-13D7A512EE75}">
      <text>
        <r>
          <rPr>
            <sz val="9"/>
            <color indexed="81"/>
            <rFont val="Tahoma"/>
            <family val="2"/>
          </rPr>
          <t>The VIX is quoted in percentage points and measures the implied annualized volatility for the S&amp;P500. The VIX is a forward looking measure of implied volatility, however, single day volatility would have too much of an impact on the overall discount rate. For this reason the twelve month trailing  average is used (based on a 12-month forecast, refer to the ERP model for details).</t>
        </r>
      </text>
    </comment>
    <comment ref="C396" authorId="0" shapeId="0" xr:uid="{F3BA3301-D32A-4817-AAFD-4C0355DEE8F2}">
      <text>
        <r>
          <rPr>
            <sz val="9"/>
            <color indexed="81"/>
            <rFont val="Tahoma"/>
            <family val="2"/>
          </rPr>
          <t>&gt;Assumes constant networking capital in the constant growth stage.
&gt;Assumes debt balance and interest expense remains constant in the constant growth stage, and that book value of debt approximates fair value.</t>
        </r>
      </text>
    </comment>
    <comment ref="C400" authorId="0" shapeId="0" xr:uid="{F00C9224-6975-494C-9D3D-BF3BBA4E8999}">
      <text>
        <r>
          <rPr>
            <sz val="9"/>
            <color indexed="81"/>
            <rFont val="Tahoma"/>
            <family val="2"/>
          </rPr>
          <t>The Stage 2 long-term WACC assumes the weight and cost of debt remains constant, and cost of equity reaches the long-term average based on a long-term estimate of beta, using the historic average VIX of 18.43%, the historic average 10-year U.S. Treasury rate of 6.23%, and Constant Sharpe of 0.3</t>
        </r>
      </text>
    </comment>
    <comment ref="C402" authorId="1" shapeId="0" xr:uid="{00000000-0006-0000-0200-000053000000}">
      <text>
        <r>
          <rPr>
            <b/>
            <sz val="9"/>
            <color indexed="81"/>
            <rFont val="Tahoma"/>
            <family val="2"/>
          </rPr>
          <t>Equation:
CFO:</t>
        </r>
        <r>
          <rPr>
            <sz val="9"/>
            <color indexed="81"/>
            <rFont val="Tahoma"/>
            <family val="2"/>
          </rPr>
          <t xml:space="preserve"> [CFO x (1 + Constant CFO growth rate)] 
</t>
        </r>
        <r>
          <rPr>
            <b/>
            <sz val="9"/>
            <color indexed="81"/>
            <rFont val="Tahoma"/>
            <family val="2"/>
          </rPr>
          <t>Minus Capex:</t>
        </r>
        <r>
          <rPr>
            <sz val="9"/>
            <color indexed="81"/>
            <rFont val="Tahoma"/>
            <family val="2"/>
          </rPr>
          <t xml:space="preserve"> [(Average Capex to sales ratio) x [Sales x (1 + Constant Sales growth rate)]
</t>
        </r>
        <r>
          <rPr>
            <b/>
            <sz val="9"/>
            <color indexed="81"/>
            <rFont val="Tahoma"/>
            <family val="2"/>
          </rPr>
          <t>Plus after-tax cost of debt:</t>
        </r>
        <r>
          <rPr>
            <sz val="9"/>
            <color indexed="81"/>
            <rFont val="Tahoma"/>
            <family val="2"/>
          </rPr>
          <t xml:space="preserve"> [After tax cost of debt x Long-Term debt] </t>
        </r>
      </text>
    </comment>
    <comment ref="C404" authorId="2" shapeId="0" xr:uid="{00000000-0006-0000-0200-000054000000}">
      <text>
        <r>
          <rPr>
            <sz val="9"/>
            <color indexed="81"/>
            <rFont val="Tahoma"/>
            <family val="2"/>
          </rPr>
          <t xml:space="preserve">This adds back cash and removes debt from the enterprise value to arrive at the equity only value
</t>
        </r>
      </text>
    </comment>
    <comment ref="B407" authorId="0" shapeId="0" xr:uid="{03D34BD7-1E79-431F-85A9-F89BFB86C419}">
      <text>
        <r>
          <rPr>
            <sz val="9"/>
            <color indexed="81"/>
            <rFont val="Tahoma"/>
            <family val="2"/>
          </rPr>
          <t>There are many approaches to estimating a stock's risk. In this demonstration we use the standard deviation and the monthly average return over the last 12 months to construct an estimated price target range. Standard deviation is a measure of dispersion around the mean monthly return. The larger the historic standard deviation the greater the volatility in prices. Using a normal distribution, approximately 95% of observations fall within 2 standard deviations of the mean. This approach has multiple limitations including: 1) it assumes that historic results can predict future return characteristics, and 2) it assumes the stock's returns are normally distributed. This analysis is for demonstration only, refer to full Terms of Use at GutenbergResearch.com. The mean &amp; standard deviation in this section were last updated on 6/20/2019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7" authorId="0" shapeId="0" xr:uid="{5A23D195-6077-4A91-8F98-11AD466213CA}">
      <text>
        <r>
          <rPr>
            <sz val="9"/>
            <color indexed="81"/>
            <rFont val="Tahoma"/>
            <family val="2"/>
          </rPr>
          <t>Copy/paste special values before the next earnings release.</t>
        </r>
      </text>
    </comment>
    <comment ref="F7" authorId="0" shapeId="0" xr:uid="{4925B438-A3CA-4709-9CB5-A34372AE07DE}">
      <text>
        <r>
          <rPr>
            <sz val="9"/>
            <color indexed="81"/>
            <rFont val="Tahoma"/>
            <family val="2"/>
          </rPr>
          <t>To be updated after the next earnings release.</t>
        </r>
      </text>
    </comment>
    <comment ref="J7" authorId="0" shapeId="0" xr:uid="{8F9A4EFA-6BFF-466A-B41E-CDF4E3559E02}">
      <text>
        <r>
          <rPr>
            <sz val="9"/>
            <color indexed="81"/>
            <rFont val="Tahoma"/>
            <family val="2"/>
          </rPr>
          <t>Copy/paste special values before the next earnings release.</t>
        </r>
      </text>
    </comment>
    <comment ref="M7" authorId="0" shapeId="0" xr:uid="{582309C8-CEB6-4531-AB49-E8CCC108F221}">
      <text>
        <r>
          <rPr>
            <sz val="9"/>
            <color indexed="81"/>
            <rFont val="Tahoma"/>
            <family val="2"/>
          </rPr>
          <t>Copy/paste special values before the next earnings release.</t>
        </r>
      </text>
    </comment>
    <comment ref="P7" authorId="0" shapeId="0" xr:uid="{787C3AF6-116E-4908-A0FA-DDE6E14B399E}">
      <text>
        <r>
          <rPr>
            <sz val="9"/>
            <color indexed="81"/>
            <rFont val="Tahoma"/>
            <family val="2"/>
          </rPr>
          <t>Copy/paste special values before the next earnings release.</t>
        </r>
      </text>
    </comment>
    <comment ref="S7" authorId="0" shapeId="0" xr:uid="{405006F0-50A1-4731-8AE0-C5FAA552399C}">
      <text>
        <r>
          <rPr>
            <sz val="9"/>
            <color indexed="81"/>
            <rFont val="Tahoma"/>
            <family val="2"/>
          </rPr>
          <t>Copy/paste special values before the next earnings release.</t>
        </r>
      </text>
    </comment>
    <comment ref="I20" authorId="0" shapeId="0" xr:uid="{FE68B3F7-D389-4CF4-B96F-0C43D8DFF55B}">
      <text>
        <r>
          <rPr>
            <sz val="9"/>
            <color indexed="81"/>
            <rFont val="Tahoma"/>
            <family val="2"/>
          </rPr>
          <t>Consensus will not update automatically. After the release pull the new consensus estimates after Analysts have updated their models.</t>
        </r>
      </text>
    </comment>
    <comment ref="J20" authorId="0" shapeId="0" xr:uid="{3A8EB0CC-C756-493A-9E43-E1B3E0B7B8FC}">
      <text>
        <r>
          <rPr>
            <sz val="9"/>
            <color indexed="81"/>
            <rFont val="Tahoma"/>
            <family val="2"/>
          </rPr>
          <t>Cells are linked to the model. Values will change after the release as the model is updated.</t>
        </r>
      </text>
    </comment>
    <comment ref="M20" authorId="0" shapeId="0" xr:uid="{47AC1B2D-299B-4A6D-A62B-9E0C9112CDB4}">
      <text>
        <r>
          <rPr>
            <sz val="9"/>
            <color indexed="81"/>
            <rFont val="Tahoma"/>
            <family val="2"/>
          </rPr>
          <t>Cells are linked to the model. Values will change after the release as the model is updated.</t>
        </r>
      </text>
    </comment>
    <comment ref="P20" authorId="0" shapeId="0" xr:uid="{6E12A996-4F31-4B75-9614-A70BC25CBA97}">
      <text>
        <r>
          <rPr>
            <sz val="9"/>
            <color indexed="81"/>
            <rFont val="Tahoma"/>
            <family val="2"/>
          </rPr>
          <t>Cells are linked to the model. Values will change after the release as the model is updated.</t>
        </r>
      </text>
    </comment>
    <comment ref="S20" authorId="0" shapeId="0" xr:uid="{04D0353E-AC58-4FC0-BE4E-37F1CDE94729}">
      <text>
        <r>
          <rPr>
            <sz val="9"/>
            <color indexed="81"/>
            <rFont val="Tahoma"/>
            <family val="2"/>
          </rPr>
          <t>Cells are linked to the model. Values will change after the release as the model is updated.</t>
        </r>
      </text>
    </comment>
    <comment ref="E32" authorId="0" shapeId="0" xr:uid="{6F8C58BF-F1B4-4AAA-8B1F-F16BBE84D266}">
      <text>
        <r>
          <rPr>
            <sz val="9"/>
            <color indexed="81"/>
            <rFont val="Tahoma"/>
            <family val="2"/>
          </rPr>
          <t>This section compares the Actual results against the consensus estimates and our model forecast estimates.</t>
        </r>
      </text>
    </comment>
    <comment ref="H32" authorId="0" shapeId="0" xr:uid="{461E6680-646C-42FE-B0FA-9030C2C4B07E}">
      <text>
        <r>
          <rPr>
            <sz val="9"/>
            <color indexed="81"/>
            <rFont val="Tahoma"/>
            <family val="2"/>
          </rPr>
          <t>The last four columns will compare the original consensus and model forecast for the next forecast quarters before the release, to the new forecasts after the release.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7" authorId="0" shapeId="0" xr:uid="{431FD0B0-2B9F-4900-8614-4831614FCA0F}">
      <text>
        <r>
          <rPr>
            <sz val="9"/>
            <color indexed="81"/>
            <rFont val="Tahoma"/>
            <family val="2"/>
          </rPr>
          <t>Copy/paste special values before the next earnings release.</t>
        </r>
      </text>
    </comment>
    <comment ref="F7" authorId="0" shapeId="0" xr:uid="{0D16AEBF-60CF-4840-9536-5E8C105BFE9F}">
      <text>
        <r>
          <rPr>
            <sz val="9"/>
            <color indexed="81"/>
            <rFont val="Tahoma"/>
            <family val="2"/>
          </rPr>
          <t>To be updated after the next earnings release.</t>
        </r>
      </text>
    </comment>
    <comment ref="J7" authorId="0" shapeId="0" xr:uid="{7CC788D5-4886-4977-9658-92AB885A0E29}">
      <text>
        <r>
          <rPr>
            <sz val="9"/>
            <color indexed="81"/>
            <rFont val="Tahoma"/>
            <family val="2"/>
          </rPr>
          <t>Copy/paste special values before the next earnings release.</t>
        </r>
      </text>
    </comment>
    <comment ref="M7" authorId="0" shapeId="0" xr:uid="{F72C32C7-D973-4F67-A8EE-3302AC40F0FF}">
      <text>
        <r>
          <rPr>
            <sz val="9"/>
            <color indexed="81"/>
            <rFont val="Tahoma"/>
            <family val="2"/>
          </rPr>
          <t>Copy/paste special values before the next earnings release.</t>
        </r>
      </text>
    </comment>
    <comment ref="P7" authorId="0" shapeId="0" xr:uid="{A2E99635-D792-408E-8A5D-8B5801A143B0}">
      <text>
        <r>
          <rPr>
            <sz val="9"/>
            <color indexed="81"/>
            <rFont val="Tahoma"/>
            <family val="2"/>
          </rPr>
          <t>Copy/paste special values before the next earnings release.</t>
        </r>
      </text>
    </comment>
    <comment ref="S7" authorId="0" shapeId="0" xr:uid="{02B9E770-A668-4A92-AC6C-6E002E92C3D9}">
      <text>
        <r>
          <rPr>
            <sz val="9"/>
            <color indexed="81"/>
            <rFont val="Tahoma"/>
            <family val="2"/>
          </rPr>
          <t>Copy/paste special values before the next earnings release.</t>
        </r>
      </text>
    </comment>
    <comment ref="I20" authorId="0" shapeId="0" xr:uid="{FC446C40-EED3-4514-B0A8-6A6D2ADD0BA4}">
      <text>
        <r>
          <rPr>
            <sz val="9"/>
            <color indexed="81"/>
            <rFont val="Tahoma"/>
            <family val="2"/>
          </rPr>
          <t>Consensus will not update automatically. After the release pull the new consensus estimates after Analysts have updated their models.</t>
        </r>
      </text>
    </comment>
    <comment ref="J20" authorId="0" shapeId="0" xr:uid="{6BEBB996-0F66-41AE-9A35-B1EF29934E57}">
      <text>
        <r>
          <rPr>
            <sz val="9"/>
            <color indexed="81"/>
            <rFont val="Tahoma"/>
            <family val="2"/>
          </rPr>
          <t>Cells are linked to the model. Values will change after the release as the model is updated.</t>
        </r>
      </text>
    </comment>
    <comment ref="M20" authorId="0" shapeId="0" xr:uid="{16ABF093-CB76-4ED6-B8D6-359FB4F0C1AD}">
      <text>
        <r>
          <rPr>
            <sz val="9"/>
            <color indexed="81"/>
            <rFont val="Tahoma"/>
            <family val="2"/>
          </rPr>
          <t>Cells are linked to the model. Values will change after the release as the model is updated.</t>
        </r>
      </text>
    </comment>
    <comment ref="P20" authorId="0" shapeId="0" xr:uid="{FC95F62F-A5C5-4FDB-ADBD-2E1C4219CFC2}">
      <text>
        <r>
          <rPr>
            <sz val="9"/>
            <color indexed="81"/>
            <rFont val="Tahoma"/>
            <family val="2"/>
          </rPr>
          <t>Cells are linked to the model. Values will change after the release as the model is updated.</t>
        </r>
      </text>
    </comment>
    <comment ref="S20" authorId="0" shapeId="0" xr:uid="{A2FEDF5D-7EA0-416F-B73A-7A5D91C08533}">
      <text>
        <r>
          <rPr>
            <sz val="9"/>
            <color indexed="81"/>
            <rFont val="Tahoma"/>
            <family val="2"/>
          </rPr>
          <t>Cells are linked to the model. Values will change after the release as the model is updated.</t>
        </r>
      </text>
    </comment>
    <comment ref="E32" authorId="0" shapeId="0" xr:uid="{68D95508-7093-4520-88EF-E51EF67898D3}">
      <text>
        <r>
          <rPr>
            <sz val="9"/>
            <color indexed="81"/>
            <rFont val="Tahoma"/>
            <family val="2"/>
          </rPr>
          <t>This section compares the Actual results against the consensus estimates and our model forecast estimates.</t>
        </r>
      </text>
    </comment>
    <comment ref="H32" authorId="0" shapeId="0" xr:uid="{BB4E247F-B92F-4A9B-997D-2BD181C66EEE}">
      <text>
        <r>
          <rPr>
            <sz val="9"/>
            <color indexed="81"/>
            <rFont val="Tahoma"/>
            <family val="2"/>
          </rPr>
          <t>The last four columns will compare the original consensus and model forecast for the next forecast quarters before the release, to the new forecasts after the release.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7" authorId="0" shapeId="0" xr:uid="{A01E0047-1F3B-4184-87CB-23C27F632E70}">
      <text>
        <r>
          <rPr>
            <sz val="9"/>
            <color indexed="81"/>
            <rFont val="Tahoma"/>
            <family val="2"/>
          </rPr>
          <t>Copy/paste special values before the next earnings release.</t>
        </r>
      </text>
    </comment>
    <comment ref="F7" authorId="0" shapeId="0" xr:uid="{68237BF9-C56C-40AE-BD0D-401A65884045}">
      <text>
        <r>
          <rPr>
            <sz val="9"/>
            <color indexed="81"/>
            <rFont val="Tahoma"/>
            <family val="2"/>
          </rPr>
          <t>To be updated after the next earnings release.</t>
        </r>
      </text>
    </comment>
    <comment ref="J7" authorId="0" shapeId="0" xr:uid="{62868D80-DFB2-4775-893B-2475C05A56A7}">
      <text>
        <r>
          <rPr>
            <sz val="9"/>
            <color indexed="81"/>
            <rFont val="Tahoma"/>
            <family val="2"/>
          </rPr>
          <t>Copy/paste special values before the next earnings release.</t>
        </r>
      </text>
    </comment>
    <comment ref="M7" authorId="0" shapeId="0" xr:uid="{1BC15715-6445-4BA1-9389-90A825CD4F93}">
      <text>
        <r>
          <rPr>
            <sz val="9"/>
            <color indexed="81"/>
            <rFont val="Tahoma"/>
            <family val="2"/>
          </rPr>
          <t>Copy/paste special values before the next earnings release.</t>
        </r>
      </text>
    </comment>
    <comment ref="P7" authorId="0" shapeId="0" xr:uid="{89EC3991-C938-47A0-8F06-52D73AA04710}">
      <text>
        <r>
          <rPr>
            <sz val="9"/>
            <color indexed="81"/>
            <rFont val="Tahoma"/>
            <family val="2"/>
          </rPr>
          <t>Copy/paste special values before the next earnings release.</t>
        </r>
      </text>
    </comment>
    <comment ref="S7" authorId="0" shapeId="0" xr:uid="{9CB28DE1-1C2E-4FD6-B9E8-A2B3EDD2B064}">
      <text>
        <r>
          <rPr>
            <sz val="9"/>
            <color indexed="81"/>
            <rFont val="Tahoma"/>
            <family val="2"/>
          </rPr>
          <t>Copy/paste special values before the next earnings release.</t>
        </r>
      </text>
    </comment>
    <comment ref="I20" authorId="0" shapeId="0" xr:uid="{C8AFC9B5-30E7-436D-A1B6-7C9EA17220D0}">
      <text>
        <r>
          <rPr>
            <sz val="9"/>
            <color indexed="81"/>
            <rFont val="Tahoma"/>
            <family val="2"/>
          </rPr>
          <t>Consensus will not update automatically. After the release pull the new consensus estimates after Analysts have updated their models.</t>
        </r>
      </text>
    </comment>
    <comment ref="J20" authorId="0" shapeId="0" xr:uid="{96BF3970-8392-4CA6-9EBF-FE9D29FC5ED1}">
      <text>
        <r>
          <rPr>
            <sz val="9"/>
            <color indexed="81"/>
            <rFont val="Tahoma"/>
            <family val="2"/>
          </rPr>
          <t>Cells are linked to the model. Values will change after the release as the model is updated.</t>
        </r>
      </text>
    </comment>
    <comment ref="M20" authorId="0" shapeId="0" xr:uid="{D23420D4-CD24-4549-9D57-A415D7235F46}">
      <text>
        <r>
          <rPr>
            <sz val="9"/>
            <color indexed="81"/>
            <rFont val="Tahoma"/>
            <family val="2"/>
          </rPr>
          <t>Cells are linked to the model. Values will change after the release as the model is updated.</t>
        </r>
      </text>
    </comment>
    <comment ref="P20" authorId="0" shapeId="0" xr:uid="{E220AA1B-BE0A-4DB6-A330-DB0123002C6F}">
      <text>
        <r>
          <rPr>
            <sz val="9"/>
            <color indexed="81"/>
            <rFont val="Tahoma"/>
            <family val="2"/>
          </rPr>
          <t>Cells are linked to the model. Values will change after the release as the model is updated.</t>
        </r>
      </text>
    </comment>
    <comment ref="S20" authorId="0" shapeId="0" xr:uid="{BA97E4AC-D545-40D3-82CA-BA4C858101DF}">
      <text>
        <r>
          <rPr>
            <sz val="9"/>
            <color indexed="81"/>
            <rFont val="Tahoma"/>
            <family val="2"/>
          </rPr>
          <t>Cells are linked to the model. Values will change after the release as the model is updated.</t>
        </r>
      </text>
    </comment>
    <comment ref="E32" authorId="0" shapeId="0" xr:uid="{B6F70674-C017-432A-A858-79DB01486AE6}">
      <text>
        <r>
          <rPr>
            <sz val="9"/>
            <color indexed="81"/>
            <rFont val="Tahoma"/>
            <family val="2"/>
          </rPr>
          <t>This section compares the Actual results against the consensus estimates and our model forecast estimates.</t>
        </r>
      </text>
    </comment>
    <comment ref="H32" authorId="0" shapeId="0" xr:uid="{AA0CBE35-D210-4633-A739-15C743FE0127}">
      <text>
        <r>
          <rPr>
            <sz val="9"/>
            <color indexed="81"/>
            <rFont val="Tahoma"/>
            <family val="2"/>
          </rPr>
          <t>The last four columns will compare the original consensus and model forecast for the next forecast quarters before the release, to the new forecasts after the release.</t>
        </r>
      </text>
    </comment>
  </commentList>
</comments>
</file>

<file path=xl/sharedStrings.xml><?xml version="1.0" encoding="utf-8"?>
<sst xmlns="http://schemas.openxmlformats.org/spreadsheetml/2006/main" count="2111" uniqueCount="801">
  <si>
    <t>Basic shares outstanding</t>
  </si>
  <si>
    <t xml:space="preserve">Diluted shares outstanding </t>
  </si>
  <si>
    <t>Effective tax rate</t>
  </si>
  <si>
    <t>(Dollars in millions, except per share data)</t>
  </si>
  <si>
    <t>Total Current Assets</t>
  </si>
  <si>
    <t>Total Assets</t>
  </si>
  <si>
    <t>Assets</t>
  </si>
  <si>
    <t>Liabilities</t>
  </si>
  <si>
    <t>Total Current liabilities</t>
  </si>
  <si>
    <t>Other current assets</t>
  </si>
  <si>
    <t>Total liabilities</t>
  </si>
  <si>
    <t>Common stock</t>
  </si>
  <si>
    <t>Total liabilities and equity</t>
  </si>
  <si>
    <t>Cash flows from operating activities</t>
  </si>
  <si>
    <t>Net income (loss)</t>
  </si>
  <si>
    <t>Net cash provided by operating activities</t>
  </si>
  <si>
    <t>Cash flows from investing activities</t>
  </si>
  <si>
    <t>Net cash provided by (used for) investing</t>
  </si>
  <si>
    <t>Cash flows from financing activities</t>
  </si>
  <si>
    <t>Net cash provided by (used for) financing</t>
  </si>
  <si>
    <t>Net increase (decrease) in cash and equivalents</t>
  </si>
  <si>
    <t>Cash and equivalents at beginning of period</t>
  </si>
  <si>
    <t>Cash and equivalents at end of period</t>
  </si>
  <si>
    <t>Multiple Valuation</t>
  </si>
  <si>
    <t>Balance Sheet Ratios &amp; Assumptions</t>
  </si>
  <si>
    <t>Receivables turnover</t>
  </si>
  <si>
    <t>Number of days of payables</t>
  </si>
  <si>
    <t>Cash Flow Ratios &amp; Assumptions</t>
  </si>
  <si>
    <t>Operating margin (GAAP)</t>
  </si>
  <si>
    <t>Share repurchase assumptions: average price</t>
  </si>
  <si>
    <t>Share repurchase: amount in the period ($M)</t>
  </si>
  <si>
    <t>Discounted FCFF</t>
  </si>
  <si>
    <t>Discounted Cash Flow Valuation</t>
  </si>
  <si>
    <t>Shares outstanding</t>
  </si>
  <si>
    <t>Market Capitalization ($M)</t>
  </si>
  <si>
    <t>Equity market risk premium</t>
  </si>
  <si>
    <t>Required return on equity (CAPM)</t>
  </si>
  <si>
    <t>Equity to total capital</t>
  </si>
  <si>
    <t>Average cost of debt</t>
  </si>
  <si>
    <t xml:space="preserve">After tax cost of debt </t>
  </si>
  <si>
    <t>P/E used for valuation</t>
  </si>
  <si>
    <t>Provisions for income tax</t>
  </si>
  <si>
    <t>Dividends per share</t>
  </si>
  <si>
    <t>Cash and equivalents</t>
  </si>
  <si>
    <t>Goodwill</t>
  </si>
  <si>
    <t>Accounts payable</t>
  </si>
  <si>
    <t>Accrued expenses</t>
  </si>
  <si>
    <t>Other non-current liabilities</t>
  </si>
  <si>
    <t>Commitments and contingencies</t>
  </si>
  <si>
    <t xml:space="preserve">Retained earnings </t>
  </si>
  <si>
    <t>Total shareholders' equity</t>
  </si>
  <si>
    <t>Dividends paid</t>
  </si>
  <si>
    <t>Beta (relative to the S&amp;P500)</t>
  </si>
  <si>
    <t>Revenue growth (in perpetuity)</t>
  </si>
  <si>
    <t>Constant CFO growth rate</t>
  </si>
  <si>
    <t>DCF Valuation</t>
  </si>
  <si>
    <t xml:space="preserve">Net income </t>
  </si>
  <si>
    <t xml:space="preserve">Basic EPS </t>
  </si>
  <si>
    <t xml:space="preserve">Diluted EPS </t>
  </si>
  <si>
    <t>P/E 3-month high</t>
  </si>
  <si>
    <t>P/E 3-month low</t>
  </si>
  <si>
    <t>DCF Period (approximate number of years)</t>
  </si>
  <si>
    <t xml:space="preserve">Plus cash/(debt) per share </t>
  </si>
  <si>
    <t>Implied P/E 12-month target value</t>
  </si>
  <si>
    <t>Implied DCF 12-month target value</t>
  </si>
  <si>
    <t>Total operating expenses</t>
  </si>
  <si>
    <t>Change in basic shares  (excluding repurchases)</t>
  </si>
  <si>
    <t>Change in diluted shares  (excluding repurchases)</t>
  </si>
  <si>
    <t>Consensus</t>
  </si>
  <si>
    <t>F1Q16</t>
  </si>
  <si>
    <t>By obtaining this model you are deemed to have read and agreed to our Terms of Use. Visit our website for details: https://www.gutenbergresearch.com/terms-of-use.html</t>
  </si>
  <si>
    <t>GR</t>
  </si>
  <si>
    <t>F2Q16</t>
  </si>
  <si>
    <t>F3Q16</t>
  </si>
  <si>
    <t>Ratio Analysis</t>
  </si>
  <si>
    <t>Shares repurchased (in millions)</t>
  </si>
  <si>
    <t>F4Q16</t>
  </si>
  <si>
    <t>FY 2016</t>
  </si>
  <si>
    <t>F1Q17</t>
  </si>
  <si>
    <t xml:space="preserve">Net Cash and investments per share </t>
  </si>
  <si>
    <t>Debt-to-Equity Ratio</t>
  </si>
  <si>
    <t>Dividend growth rate (YoY)</t>
  </si>
  <si>
    <t>Day Count (number of days in the quarter)</t>
  </si>
  <si>
    <t>Days sales outstanding</t>
  </si>
  <si>
    <t>Payables turnover</t>
  </si>
  <si>
    <t>Total other income/(expense)</t>
  </si>
  <si>
    <t>Share Count Analysis</t>
  </si>
  <si>
    <t>Segment &amp; Product Data</t>
  </si>
  <si>
    <t>Net Cash from Operations growth rate (YoY)</t>
  </si>
  <si>
    <t>F2Q17</t>
  </si>
  <si>
    <t>Revenue</t>
  </si>
  <si>
    <t>Quarterly Consensus Estimates</t>
  </si>
  <si>
    <t>Metric</t>
  </si>
  <si>
    <t># of Analysts</t>
  </si>
  <si>
    <t>Annual Consensus Estimates</t>
  </si>
  <si>
    <t>FY2019E</t>
  </si>
  <si>
    <t>FY2020E</t>
  </si>
  <si>
    <t>EBITDA</t>
  </si>
  <si>
    <t>Mean monthly return</t>
  </si>
  <si>
    <t xml:space="preserve">Standard deviation </t>
  </si>
  <si>
    <t>Implied upper bound</t>
  </si>
  <si>
    <t>Implied Lower bound</t>
  </si>
  <si>
    <t>Implied target value</t>
  </si>
  <si>
    <t>Implied 50/50 average target value</t>
  </si>
  <si>
    <t xml:space="preserve">Implied target price band </t>
  </si>
  <si>
    <t>F3Q17</t>
  </si>
  <si>
    <t>FedEx Corp Income Statement</t>
  </si>
  <si>
    <t>FedEx Corp Balance Sheet</t>
  </si>
  <si>
    <t>FedEx Corp Cash Flow Statement</t>
  </si>
  <si>
    <t>F4Q17</t>
  </si>
  <si>
    <t>FY 2017</t>
  </si>
  <si>
    <t>F1Q18</t>
  </si>
  <si>
    <t>F2Q18</t>
  </si>
  <si>
    <t>F3Q18</t>
  </si>
  <si>
    <t>F4Q18</t>
  </si>
  <si>
    <t>FY 2018</t>
  </si>
  <si>
    <t>Aug-15</t>
  </si>
  <si>
    <t>Nov-15</t>
  </si>
  <si>
    <t>Feb-16</t>
  </si>
  <si>
    <t>May-16</t>
  </si>
  <si>
    <t>Aug-16</t>
  </si>
  <si>
    <t>Nov-16</t>
  </si>
  <si>
    <t>Feb-17</t>
  </si>
  <si>
    <t>May-17</t>
  </si>
  <si>
    <t>Aug-17</t>
  </si>
  <si>
    <t>Nov-17</t>
  </si>
  <si>
    <t>Feb-18</t>
  </si>
  <si>
    <t>May-18</t>
  </si>
  <si>
    <t>Aug-18</t>
  </si>
  <si>
    <t>Nov-18</t>
  </si>
  <si>
    <t>Feb-19</t>
  </si>
  <si>
    <t>May-19</t>
  </si>
  <si>
    <t>Aug-19</t>
  </si>
  <si>
    <t>Nov-19</t>
  </si>
  <si>
    <t>Feb-20</t>
  </si>
  <si>
    <t>May-20</t>
  </si>
  <si>
    <t>Aug-20</t>
  </si>
  <si>
    <t>Nov-20</t>
  </si>
  <si>
    <t>Feb-21</t>
  </si>
  <si>
    <t>May-21</t>
  </si>
  <si>
    <t>Aug-21</t>
  </si>
  <si>
    <t>Nov-21</t>
  </si>
  <si>
    <t>Feb-22</t>
  </si>
  <si>
    <t>May-22</t>
  </si>
  <si>
    <t>Aug-22</t>
  </si>
  <si>
    <t>Nov-22</t>
  </si>
  <si>
    <t>Feb-23</t>
  </si>
  <si>
    <t>May-23</t>
  </si>
  <si>
    <t>Total Revenue</t>
  </si>
  <si>
    <t>Operating expenses:</t>
  </si>
  <si>
    <t>Salaries and employee benefits</t>
  </si>
  <si>
    <t>Purchased transportation</t>
  </si>
  <si>
    <t>Rentals and landing fees</t>
  </si>
  <si>
    <t>Depreciation and amortization</t>
  </si>
  <si>
    <t>Fuel</t>
  </si>
  <si>
    <t>Maintenance and repairs</t>
  </si>
  <si>
    <t>Impairment and other charges</t>
  </si>
  <si>
    <t>Retirement plans mark-to-market adjustment</t>
  </si>
  <si>
    <t xml:space="preserve">Other  </t>
  </si>
  <si>
    <t>Total operating income/(loss)</t>
  </si>
  <si>
    <t>Other Income/(Expense):</t>
  </si>
  <si>
    <t xml:space="preserve">Other, net </t>
  </si>
  <si>
    <t>Income/(loss) before income tax</t>
  </si>
  <si>
    <t>U.S. Overnight Box Revenue ($M)</t>
  </si>
  <si>
    <t>Express Segment - U.S. Overnight Box</t>
  </si>
  <si>
    <t>Express Segment - U.S. Overnight Envelope</t>
  </si>
  <si>
    <t>U.S. Overnight Envelope Revenue ($M)</t>
  </si>
  <si>
    <t>Express Segment - U.S. Deferred</t>
  </si>
  <si>
    <t>U.S. Deferrred Revenue ($M)</t>
  </si>
  <si>
    <t>U.S. Overnight Box Yield (Revenue per package, in $)</t>
  </si>
  <si>
    <t>U.S. Overnight Envelope Yield (Revenue per package, in $)</t>
  </si>
  <si>
    <t>U.S. Deferred Yield (Revenue per package, in $)</t>
  </si>
  <si>
    <t>Express Segment - International Priority</t>
  </si>
  <si>
    <t>International Priority Yield (Revenue per package, in $)</t>
  </si>
  <si>
    <t>International Priority Revenue ($M)</t>
  </si>
  <si>
    <t>Express Segment - International Economy</t>
  </si>
  <si>
    <t>International Economy Yield (Revenue per package, in $)</t>
  </si>
  <si>
    <t>International Economy Revenue ($M)</t>
  </si>
  <si>
    <t>Express Segment - International Domestic</t>
  </si>
  <si>
    <t>International Domestic Yield (Revenue per package, in $)</t>
  </si>
  <si>
    <t>International Domestic Revenue ($M)</t>
  </si>
  <si>
    <t>Express Segment - U.S. Freight</t>
  </si>
  <si>
    <t>U.S. Freight Yield (Revenue per Freight LB, in $)</t>
  </si>
  <si>
    <t>U.S. Freight Revenue ($M)</t>
  </si>
  <si>
    <t>Express Segment - International Priority Freight</t>
  </si>
  <si>
    <t>Intl Priority Freight Yield (Revenue per Freight LB, in $)</t>
  </si>
  <si>
    <t>Intl Priority Freight Revenue ($M)</t>
  </si>
  <si>
    <t>Express Segment - International Economy Freight</t>
  </si>
  <si>
    <t>Intl Economy Freight Yield (Revenue per Freight LB, in $)</t>
  </si>
  <si>
    <t>Intl Economy Freight Revenue ($M)</t>
  </si>
  <si>
    <t>Express Segment - International Airfreight Freight</t>
  </si>
  <si>
    <t>Intl Airfreight Freight Yield (Revenue per Freight LB, in $)</t>
  </si>
  <si>
    <t>Intl Airfreight Freight Revenue ($M)</t>
  </si>
  <si>
    <t>Express Segment - Totals</t>
  </si>
  <si>
    <r>
      <rPr>
        <b/>
        <sz val="11"/>
        <rFont val="Calibri"/>
        <family val="2"/>
        <scheme val="minor"/>
      </rPr>
      <t>Packages:</t>
    </r>
    <r>
      <rPr>
        <sz val="11"/>
        <rFont val="Calibri"/>
        <family val="2"/>
        <scheme val="minor"/>
      </rPr>
      <t xml:space="preserve"> Composite Yield (Revenue per package, in $)</t>
    </r>
  </si>
  <si>
    <r>
      <rPr>
        <b/>
        <sz val="11"/>
        <rFont val="Calibri"/>
        <family val="2"/>
        <scheme val="minor"/>
      </rPr>
      <t>Freight:</t>
    </r>
    <r>
      <rPr>
        <sz val="11"/>
        <rFont val="Calibri"/>
        <family val="2"/>
        <scheme val="minor"/>
      </rPr>
      <t xml:space="preserve"> Composite Freight Yield (Revenue per package, in $)</t>
    </r>
  </si>
  <si>
    <t>Express Segment - Details</t>
  </si>
  <si>
    <t>Packages: Revenue</t>
  </si>
  <si>
    <t>Freight: Revenue</t>
  </si>
  <si>
    <t>YoY Percentage Increases in Yield</t>
  </si>
  <si>
    <t>YoY Percentage Increases in Average Daily Volume</t>
  </si>
  <si>
    <t>Other Express Revenue</t>
  </si>
  <si>
    <t>Ground Segment</t>
  </si>
  <si>
    <t>Ground Yield (Revenue per Freight LB, in $)</t>
  </si>
  <si>
    <t>FedEx Ground</t>
  </si>
  <si>
    <t>Receivables, less allowances</t>
  </si>
  <si>
    <t>Spare parts, supplies and fuel, less allowances</t>
  </si>
  <si>
    <t>Deferred income taxes</t>
  </si>
  <si>
    <t>Less: Less accumulated depreciation and amortization</t>
  </si>
  <si>
    <t>Other long-term assets</t>
  </si>
  <si>
    <t>Short-term borrowings</t>
  </si>
  <si>
    <t>Current portion of long-term debt</t>
  </si>
  <si>
    <t>Accrued salaries and employee benefits</t>
  </si>
  <si>
    <t>Long-term debt, less current portion</t>
  </si>
  <si>
    <t>Pension, postretirement healthcare and other benefit obligations</t>
  </si>
  <si>
    <t>Self-insurance accruals</t>
  </si>
  <si>
    <t>Deferred lease obligations</t>
  </si>
  <si>
    <t>Deferred gains, principally related to aircraft transactions</t>
  </si>
  <si>
    <t>Additional paid-in capital</t>
  </si>
  <si>
    <t>Treasury stock, at cost</t>
  </si>
  <si>
    <t xml:space="preserve">Depreciation and amortization </t>
  </si>
  <si>
    <t>Provision for uncollectible accounts</t>
  </si>
  <si>
    <t>Stock-based compensation expense</t>
  </si>
  <si>
    <t>Deferred income taxes and other noncash items</t>
  </si>
  <si>
    <t>Gain from sale of investment</t>
  </si>
  <si>
    <t>Receivable</t>
  </si>
  <si>
    <t>Pension and postretirement assets and liabilities, net</t>
  </si>
  <si>
    <t>Accounts payable other operating liabilities</t>
  </si>
  <si>
    <t>Other, net</t>
  </si>
  <si>
    <t>Capital expenditures</t>
  </si>
  <si>
    <t>Business acquisitions, net of cash acquired</t>
  </si>
  <si>
    <t>Proceeds from asset dispositions and other</t>
  </si>
  <si>
    <t>Proceeds from short-term borrowings</t>
  </si>
  <si>
    <t>Principal payments on debt</t>
  </si>
  <si>
    <t>Proceeds from debt issuances</t>
  </si>
  <si>
    <t>Proceeds from stock issuances</t>
  </si>
  <si>
    <t>Purchase of treasury stock</t>
  </si>
  <si>
    <t>Effect of exchange rate changes on cash</t>
  </si>
  <si>
    <t>Excess tax benefit on the exercise of stock options</t>
  </si>
  <si>
    <t>Freight Segment</t>
  </si>
  <si>
    <t>FedEx Freight</t>
  </si>
  <si>
    <t>YoY Percentage change in weight LTL</t>
  </si>
  <si>
    <t>YoY Percentage change in shipments per day</t>
  </si>
  <si>
    <t>Weight per Less-than-Truck-Load (LTL) per shipment (lbs)</t>
  </si>
  <si>
    <t>Services Segment and Other</t>
  </si>
  <si>
    <t>FedEx Services Revenue</t>
  </si>
  <si>
    <t>YoY change in services revenue</t>
  </si>
  <si>
    <t>Express Segment Operating Expenses</t>
  </si>
  <si>
    <t>All other operating expenses</t>
  </si>
  <si>
    <t>Express operating margin</t>
  </si>
  <si>
    <t>All other operating expenses as a % of revenue</t>
  </si>
  <si>
    <t>Total fuel expense</t>
  </si>
  <si>
    <t>Price per gallon ($ per gallon)</t>
  </si>
  <si>
    <t>Jet fuel expense ($ in millions)</t>
  </si>
  <si>
    <t>Other Express fuel expense</t>
  </si>
  <si>
    <t>FedEx Ground Revenue ($M)</t>
  </si>
  <si>
    <t>Ground Segment Operating Expenses</t>
  </si>
  <si>
    <t>Express operating income</t>
  </si>
  <si>
    <t>Ground operating margin</t>
  </si>
  <si>
    <t>Freight Segment Operating Expenses</t>
  </si>
  <si>
    <t>Freight operating income</t>
  </si>
  <si>
    <t>Freight operating margin</t>
  </si>
  <si>
    <t>FedEx Freight Total Revenue ($M)</t>
  </si>
  <si>
    <t>Operating Income</t>
  </si>
  <si>
    <t>Implied opex not reported in 3 main segments:</t>
  </si>
  <si>
    <t>Fuel expense</t>
  </si>
  <si>
    <t>All other operating expense</t>
  </si>
  <si>
    <t>Reconciling items (Consolidated results vs Segments):</t>
  </si>
  <si>
    <t>Segment Reconciliation Checks:</t>
  </si>
  <si>
    <t>Depreciation and Amortization</t>
  </si>
  <si>
    <t>Fuel Expense</t>
  </si>
  <si>
    <t xml:space="preserve">Pension Fund Analysis </t>
  </si>
  <si>
    <t>Components of pre-tax MtM retirement plan adjustments:</t>
  </si>
  <si>
    <t>Actual vs expected return on assets</t>
  </si>
  <si>
    <t>Discount rate changes</t>
  </si>
  <si>
    <t>Demographic assumption experience</t>
  </si>
  <si>
    <t>Net Retirement plans mark-to-market adjustment</t>
  </si>
  <si>
    <t xml:space="preserve">Plan Assumptions and Macroeconomic Data: </t>
  </si>
  <si>
    <t>Plan Expected Return</t>
  </si>
  <si>
    <t>Plan Actual Return</t>
  </si>
  <si>
    <t>Funded Status of Plans:</t>
  </si>
  <si>
    <t>Projected Benefit Obligation (PBO)</t>
  </si>
  <si>
    <t>Fair value of plan assets</t>
  </si>
  <si>
    <t xml:space="preserve">Funded status </t>
  </si>
  <si>
    <t>Cash contributions during the year</t>
  </si>
  <si>
    <t>Benefit payments during the year</t>
  </si>
  <si>
    <t>Percentage Funded</t>
  </si>
  <si>
    <t>Impact of 1bp in expected return on pension expense  ($ in millions, disclosed in 10-K)</t>
  </si>
  <si>
    <t>Weighted Average Discount Rate (for all Plans)</t>
  </si>
  <si>
    <t xml:space="preserve">Hold flat </t>
  </si>
  <si>
    <t>Forecast assumption: Impact of changes in mortality tables (Gutenberg proxy for forecasting)</t>
  </si>
  <si>
    <t>Forecast assumption: Expected increase in Plan (market return) in excess of expected return</t>
  </si>
  <si>
    <t>Forecast assumption: Expected increase in discount rate</t>
  </si>
  <si>
    <t>Impact on MtM adjustment of 1bp increase in discount rate ($ in millions largest Plan only [use as proxy], disclosed in 10-K)</t>
  </si>
  <si>
    <t>Other Opex (exDep/Amort, Fuel and Retirement MtM)</t>
  </si>
  <si>
    <t>Fuel expense as a % of revenue</t>
  </si>
  <si>
    <t>Purchased transportation expense as a % of revenue</t>
  </si>
  <si>
    <t>Salaries and employee benefits as a % of revenue</t>
  </si>
  <si>
    <t>Property and equipment, at cost (P&amp;E)</t>
  </si>
  <si>
    <t>Total Net P&amp;E</t>
  </si>
  <si>
    <t>Depreciation &amp; amortization-to-average P&amp;E</t>
  </si>
  <si>
    <t>Spare parts, supplies and fuel as a percentage of Gross P&amp;E</t>
  </si>
  <si>
    <t>Prepaid expenses and other current assets</t>
  </si>
  <si>
    <t>Debt covenant check: Debt to Adjusted EBTIDA</t>
  </si>
  <si>
    <t>Commercial Paper-to-total Debt</t>
  </si>
  <si>
    <t>Current portion of debt-to-total Debt</t>
  </si>
  <si>
    <t>Average accrued expenses-to-revenue</t>
  </si>
  <si>
    <t>Amounts recognized in OCI (net of tax)</t>
  </si>
  <si>
    <t>Accumulated Other Comprehensive Income (AOCI):</t>
  </si>
  <si>
    <t>Total AOCI</t>
  </si>
  <si>
    <t>All other changes in AOCI</t>
  </si>
  <si>
    <t>Foreign currency translation (end of period balance)</t>
  </si>
  <si>
    <t>Retirement plan adjustments (end of period balance)</t>
  </si>
  <si>
    <t>Reconciling funded status to the Balance Sheet</t>
  </si>
  <si>
    <t>Amounts recognized in OCI (tax impact)</t>
  </si>
  <si>
    <t>Balance Sheet check</t>
  </si>
  <si>
    <t>Implied portion of liability classified as current</t>
  </si>
  <si>
    <t xml:space="preserve"> Service costs/Interest Cost/Actuarial loss/other PBO increases (note DBP only)</t>
  </si>
  <si>
    <t>Amounts recognized in OCI (gross)</t>
  </si>
  <si>
    <t>Average Self Insurance Accrual-to-revenue</t>
  </si>
  <si>
    <t>YoY Percentage Change in Other Express Revenue</t>
  </si>
  <si>
    <t>YoY Percentage Change in Other Ground Revenue</t>
  </si>
  <si>
    <t>Ground operating income ($M)</t>
  </si>
  <si>
    <t>All Other Ground Revenue ($M)</t>
  </si>
  <si>
    <t>Revenue per Shipment</t>
  </si>
  <si>
    <t>YoY change in revenue per shipment</t>
  </si>
  <si>
    <t>Express Operating Weekdays</t>
  </si>
  <si>
    <t>Ground Operating Weekdays</t>
  </si>
  <si>
    <t>Freight Operating Weekdays</t>
  </si>
  <si>
    <t>All other non-Segment Revenue and Corp cons eliminations</t>
  </si>
  <si>
    <t>All other non-Segment Operating Expense and Corp cons eliminations</t>
  </si>
  <si>
    <t>Revenue Adjustments</t>
  </si>
  <si>
    <t>Anuity contract purchase</t>
  </si>
  <si>
    <t>Settlements</t>
  </si>
  <si>
    <t>Interest expense</t>
  </si>
  <si>
    <t>Interest income</t>
  </si>
  <si>
    <t>Net Interest Income/(Expense)</t>
  </si>
  <si>
    <t>Free Cash Flow to Firm (FCFF)</t>
  </si>
  <si>
    <t>Total Debt</t>
  </si>
  <si>
    <t xml:space="preserve">Cash and investments </t>
  </si>
  <si>
    <t xml:space="preserve">Adjusted net cash  per share </t>
  </si>
  <si>
    <t>Non-GAAP Adjustments</t>
  </si>
  <si>
    <t>FedEx Supply Chain GW &amp; asset impairments (opex)</t>
  </si>
  <si>
    <t>FedEx Supply Chain GW &amp; asset impairments (tax)</t>
  </si>
  <si>
    <t>TNT Express integration expenses (tax)</t>
  </si>
  <si>
    <t>MtM Retirment plan accounting and other (tax)</t>
  </si>
  <si>
    <t>Net U.S. deferred tax liability remeasurement (tax)</t>
  </si>
  <si>
    <t>Legal matters (opex)</t>
  </si>
  <si>
    <t>Legal matters (tax)</t>
  </si>
  <si>
    <t>Non-GAAP Operating Income Adjustments</t>
  </si>
  <si>
    <t xml:space="preserve">Non-GAAP Operating Income  </t>
  </si>
  <si>
    <t>Non-GAAP Net Income</t>
  </si>
  <si>
    <t>Non-GAAP Diluted EPS</t>
  </si>
  <si>
    <t>U.S. Overnight Box Average Daily Volume (ADV, in thousands)</t>
  </si>
  <si>
    <t>U.S. Overnight Envelope Average Daily Volume (ADV, in thousands)</t>
  </si>
  <si>
    <r>
      <rPr>
        <b/>
        <sz val="11"/>
        <rFont val="Calibri"/>
        <family val="2"/>
        <scheme val="minor"/>
      </rPr>
      <t>Packages:</t>
    </r>
    <r>
      <rPr>
        <sz val="11"/>
        <rFont val="Calibri"/>
        <family val="2"/>
        <scheme val="minor"/>
      </rPr>
      <t xml:space="preserve"> Total Average Daily Volume (ADV, in thousands)</t>
    </r>
  </si>
  <si>
    <r>
      <rPr>
        <b/>
        <sz val="11"/>
        <rFont val="Calibri"/>
        <family val="2"/>
        <scheme val="minor"/>
      </rPr>
      <t xml:space="preserve">Freight: </t>
    </r>
    <r>
      <rPr>
        <sz val="11"/>
        <rFont val="Calibri"/>
        <family val="2"/>
        <scheme val="minor"/>
      </rPr>
      <t>Total Average Daily Freight LBS (ADV, in thousands)</t>
    </r>
  </si>
  <si>
    <t>Jet fuel gallons (in thousands)</t>
  </si>
  <si>
    <t>U.S. Deferred Average Daily Volume (ADV, in thousands)</t>
  </si>
  <si>
    <t>International Priority Average Daily Volume (ADV, in thousands)</t>
  </si>
  <si>
    <t>International Economy Average Daily Volume (ADV, in thousands)</t>
  </si>
  <si>
    <t>International Domestic Average Daily Volume (ADV, in thousands)</t>
  </si>
  <si>
    <t>U.S. Freight Average Daily Freight LB (ADV, in thousands)</t>
  </si>
  <si>
    <t>Intl Priority Freight Average Daily Freight LB (ADV, in thousands)</t>
  </si>
  <si>
    <t>Intl Economy Freight Average Daily Freight LB (ADV, in thousands)</t>
  </si>
  <si>
    <t>Intl Airfreight Freight Average Daily Freight LB (ADV, in thousands)</t>
  </si>
  <si>
    <t>Ground Average Daily Freight LB (in thousands LBS)</t>
  </si>
  <si>
    <t>Shipments per day (in thousands)</t>
  </si>
  <si>
    <t>F2Q19E</t>
  </si>
  <si>
    <t>F3Q19E</t>
  </si>
  <si>
    <t>F4Q19E</t>
  </si>
  <si>
    <t>F1Q20E</t>
  </si>
  <si>
    <t>F2Q20E</t>
  </si>
  <si>
    <t>F3Q20E</t>
  </si>
  <si>
    <t>F4Q20E</t>
  </si>
  <si>
    <t>FY 2020E</t>
  </si>
  <si>
    <t>F1Q21E</t>
  </si>
  <si>
    <t>F2Q21E</t>
  </si>
  <si>
    <t>F3Q21E</t>
  </si>
  <si>
    <t>F4Q21E</t>
  </si>
  <si>
    <t>FY 2021E</t>
  </si>
  <si>
    <t>F1Q22E</t>
  </si>
  <si>
    <t>F2Q22E</t>
  </si>
  <si>
    <t>F3Q22E</t>
  </si>
  <si>
    <t>F4Q22E</t>
  </si>
  <si>
    <t>FY 2022E</t>
  </si>
  <si>
    <t>F1Q23E</t>
  </si>
  <si>
    <t>F2Q23E</t>
  </si>
  <si>
    <t>F3Q23E</t>
  </si>
  <si>
    <t>F4Q23E</t>
  </si>
  <si>
    <t>FY 2023E</t>
  </si>
  <si>
    <t>Provision for uncollectible accounts as a % of A/R</t>
  </si>
  <si>
    <t>Cash Flow Statement Ratios</t>
  </si>
  <si>
    <t>Corp cons eliminations (implied Total decrease in opex)</t>
  </si>
  <si>
    <t>Capex to revenue</t>
  </si>
  <si>
    <t>Equity</t>
  </si>
  <si>
    <t>Annual Interest expense as a percentage of average debt</t>
  </si>
  <si>
    <t>Annual Interest and dividend income as a % of investments</t>
  </si>
  <si>
    <t>Guidance</t>
  </si>
  <si>
    <t>Actual Reported Results</t>
  </si>
  <si>
    <t>Guidance For</t>
  </si>
  <si>
    <t>Date Released</t>
  </si>
  <si>
    <t>Capex</t>
  </si>
  <si>
    <t xml:space="preserve">EPS </t>
  </si>
  <si>
    <t>(Non-GAAP exMtM, incTNT)</t>
  </si>
  <si>
    <t>(Non-GAAP exMtM, exTNT)</t>
  </si>
  <si>
    <t>FY2015</t>
  </si>
  <si>
    <t>$4.2B</t>
  </si>
  <si>
    <t>N/A</t>
  </si>
  <si>
    <t>$8.50 to $9.00</t>
  </si>
  <si>
    <t xml:space="preserve">$8.50 to $9.00 </t>
  </si>
  <si>
    <t>$8.80 to $8.95</t>
  </si>
  <si>
    <t>$4.3B</t>
  </si>
  <si>
    <t>FY2016</t>
  </si>
  <si>
    <t>$4.6B</t>
  </si>
  <si>
    <t>$10.60 to $11.10</t>
  </si>
  <si>
    <t>$10.40 to $10.90</t>
  </si>
  <si>
    <t>$4.8B</t>
  </si>
  <si>
    <t>$10.70 to $10.90</t>
  </si>
  <si>
    <t>FY2017</t>
  </si>
  <si>
    <t>$5.1B</t>
  </si>
  <si>
    <t>$11.75 to $12.25</t>
  </si>
  <si>
    <t>$5.6B</t>
  </si>
  <si>
    <t>$10.85 to $11.35</t>
  </si>
  <si>
    <t>$11.85 to $12.35</t>
  </si>
  <si>
    <t>$10.95 to $11.45</t>
  </si>
  <si>
    <t>$5.3B</t>
  </si>
  <si>
    <t>$10.80 to $11.30</t>
  </si>
  <si>
    <t>FY2018</t>
  </si>
  <si>
    <t>$5.9B</t>
  </si>
  <si>
    <t>$12.45 to $13.25</t>
  </si>
  <si>
    <t>$13.20 to $14.00</t>
  </si>
  <si>
    <t>$11.05 to $11.85</t>
  </si>
  <si>
    <t>$12.00 to $12.80</t>
  </si>
  <si>
    <t>$11.45 to $12.05</t>
  </si>
  <si>
    <t>$12.70 to $13.30</t>
  </si>
  <si>
    <t>$5.8B</t>
  </si>
  <si>
    <t>$17.90 to $18.30</t>
  </si>
  <si>
    <t>$15.00 to $15.40</t>
  </si>
  <si>
    <t>$5.7B</t>
  </si>
  <si>
    <t>6/18/2014 From the F4Q14 release</t>
  </si>
  <si>
    <r>
      <rPr>
        <b/>
        <sz val="11"/>
        <color theme="1"/>
        <rFont val="Calibri"/>
        <family val="2"/>
        <scheme val="minor"/>
      </rPr>
      <t>Purpose:</t>
    </r>
    <r>
      <rPr>
        <sz val="11"/>
        <color theme="1"/>
        <rFont val="Calibri"/>
        <family val="2"/>
        <scheme val="minor"/>
      </rPr>
      <t xml:space="preserve"> This worksheet tracks the primary components of management's guidance over time</t>
    </r>
  </si>
  <si>
    <t>9/17/2014 From the F1Q15 release</t>
  </si>
  <si>
    <t>12/17/2014 From the F2Q15 release</t>
  </si>
  <si>
    <t>3/18/2015 From the F3Q15 release</t>
  </si>
  <si>
    <t>6/17/2015 From the F4Q15 release</t>
  </si>
  <si>
    <t>9/16/2015 From the F1Q16 release</t>
  </si>
  <si>
    <t>12/16/2015 From the F2Q16 release</t>
  </si>
  <si>
    <t>3/16/2016 From the F3Q16 release</t>
  </si>
  <si>
    <t>6/21/2016 From the F4Q16 release</t>
  </si>
  <si>
    <t>9/20/2016 From the F1Q17 release</t>
  </si>
  <si>
    <t>12/20/2016 From the F2Q17 release</t>
  </si>
  <si>
    <t>3/21/2017 From the F3Q17 release</t>
  </si>
  <si>
    <t>6/20/2018 From the F4Q17 release</t>
  </si>
  <si>
    <t>9/17/2018 From the F1Q18 release</t>
  </si>
  <si>
    <t>12/19/2017 From the F2Q18 release</t>
  </si>
  <si>
    <t>3/20/2018 From the F3Q18 release</t>
  </si>
  <si>
    <r>
      <rPr>
        <b/>
        <sz val="11"/>
        <color theme="1"/>
        <rFont val="Calibri"/>
        <family val="2"/>
        <scheme val="minor"/>
      </rPr>
      <t>Purpose:</t>
    </r>
    <r>
      <rPr>
        <sz val="11"/>
        <color theme="1"/>
        <rFont val="Calibri"/>
        <family val="2"/>
        <scheme val="minor"/>
      </rPr>
      <t xml:space="preserve"> This worksheet tracks the consensus estimates for key metrics</t>
    </r>
  </si>
  <si>
    <t>F1Q2019E</t>
  </si>
  <si>
    <t>F2Q2019E</t>
  </si>
  <si>
    <t>F3Q2019E</t>
  </si>
  <si>
    <t>F4Q2019E</t>
  </si>
  <si>
    <t>FY2021E</t>
  </si>
  <si>
    <t>FY2022E</t>
  </si>
  <si>
    <t>Revenue ($M)</t>
  </si>
  <si>
    <t>EBITDA ($M)</t>
  </si>
  <si>
    <t>Pre-tax profit ($M)</t>
  </si>
  <si>
    <t>Net income (non-GAAP, $M)</t>
  </si>
  <si>
    <t>Operating Profit ($M)</t>
  </si>
  <si>
    <t>EPS (non-GAAP, $/per share)</t>
  </si>
  <si>
    <t>Free cash flow ($M)</t>
  </si>
  <si>
    <t>Capital expenditures ($M)</t>
  </si>
  <si>
    <t>Implied Operating Margin (%)</t>
  </si>
  <si>
    <t>Quarterly Estimates (Before Release)</t>
  </si>
  <si>
    <t>Quarterly Estimates (After Release)</t>
  </si>
  <si>
    <t>F1Q2020E</t>
  </si>
  <si>
    <t>Gutenberg Estimates</t>
  </si>
  <si>
    <t>Reported Actual</t>
  </si>
  <si>
    <t>Difference (Actual vs GR)</t>
  </si>
  <si>
    <t>Operating Profit (non-GAAP $M)</t>
  </si>
  <si>
    <r>
      <rPr>
        <b/>
        <sz val="11"/>
        <color theme="1"/>
        <rFont val="Calibri"/>
        <family val="2"/>
        <scheme val="minor"/>
      </rPr>
      <t>Instructions:</t>
    </r>
    <r>
      <rPr>
        <sz val="11"/>
        <color theme="1"/>
        <rFont val="Calibri"/>
        <family val="2"/>
        <scheme val="minor"/>
      </rPr>
      <t xml:space="preserve"> Before the release copy/paste/values in E8:E16, J8:J16, M8:M16, P8:P16, S8:S16. After the release J21:J29, M21:M29, P21:P29, S21:S29 will update and you can compare the estimate before and after.</t>
    </r>
  </si>
  <si>
    <t>F1Q2019A</t>
  </si>
  <si>
    <t>Differences From Estimates Prior to the Latest Earnings Release</t>
  </si>
  <si>
    <t>Average CapEx (% of sales)</t>
  </si>
  <si>
    <t>Weighted Average Cost of Capital (WACC) Inputs</t>
  </si>
  <si>
    <t>Stage 1 WACC</t>
  </si>
  <si>
    <t>Share-based compensation to revenue</t>
  </si>
  <si>
    <t>Average accrued salaries to salary expense</t>
  </si>
  <si>
    <t>NPV of Stage 1 cash flows</t>
  </si>
  <si>
    <t>PV of terminal value (Stage 2)</t>
  </si>
  <si>
    <t xml:space="preserve">Other adjustments - 1 </t>
  </si>
  <si>
    <t>Other adjustments - 2</t>
  </si>
  <si>
    <t>F1Q19</t>
  </si>
  <si>
    <t>Other retirement plans income/(expense)</t>
  </si>
  <si>
    <r>
      <rPr>
        <b/>
        <sz val="11"/>
        <color theme="1"/>
        <rFont val="Calibri"/>
        <family val="2"/>
        <scheme val="minor"/>
      </rPr>
      <t>Last updated:</t>
    </r>
    <r>
      <rPr>
        <sz val="11"/>
        <color theme="1"/>
        <rFont val="Calibri"/>
        <family val="2"/>
        <scheme val="minor"/>
      </rPr>
      <t xml:space="preserve"> 11/26/2018</t>
    </r>
  </si>
  <si>
    <t>FY2019</t>
  </si>
  <si>
    <t>9/17/2018 From the F1Q19 release</t>
  </si>
  <si>
    <t>6/19/2018 From the F4Q18 release</t>
  </si>
  <si>
    <t>$17.00 to $17.60</t>
  </si>
  <si>
    <t>$15.65 to $16.25</t>
  </si>
  <si>
    <t>Growth of 9%</t>
  </si>
  <si>
    <t>Operating Margin</t>
  </si>
  <si>
    <t>Effective Tax Rate (exMtM adjustment)</t>
  </si>
  <si>
    <t>Operating Margin (exTNT integration expense)</t>
  </si>
  <si>
    <t>TNT Integration Expense</t>
  </si>
  <si>
    <t>$450M, $365M net of tax effect</t>
  </si>
  <si>
    <t>Implied 2019 weighted average share count (M)</t>
  </si>
  <si>
    <t>$15.85 to $16.45</t>
  </si>
  <si>
    <t>$17.20 to $17.80</t>
  </si>
  <si>
    <t>November-2018 Roadshow Presentation - Long-Term Targets</t>
  </si>
  <si>
    <t>Other</t>
  </si>
  <si>
    <t>Reaffirmed FedEx Express Operating income target up $1.2B to $1.5B from F2017</t>
  </si>
  <si>
    <t xml:space="preserve">&gt; Increase EPS 10% to 15% per year
&gt; Grow profitable revenue
&gt; Achieve 10%+ operating margin
</t>
  </si>
  <si>
    <t>&gt; Improve cash flow
&gt; Increase ROIC
&gt; Increase returns to shareholders</t>
  </si>
  <si>
    <t>Operating margin (Non-GAAP)</t>
  </si>
  <si>
    <t>Revenue growth rate (year-over-year)</t>
  </si>
  <si>
    <t>EPS Growth (Non-GAAP, year-over-year)</t>
  </si>
  <si>
    <t>FedEx Express Segment Charts</t>
  </si>
  <si>
    <t>FedEx Ground Segment Charts</t>
  </si>
  <si>
    <t>Express Segment Revenue ($M)</t>
  </si>
  <si>
    <t>FedEx Freight Segment Charts</t>
  </si>
  <si>
    <t>FedEx Corp Consolidated Charts</t>
  </si>
  <si>
    <t>Express segment revenue produced per gallon of jet fuel</t>
  </si>
  <si>
    <t>Implied Operating Margin (%, non-GAAP)</t>
  </si>
  <si>
    <t>Actuals</t>
  </si>
  <si>
    <t>Operating Profit ($M, non-GAAP)</t>
  </si>
  <si>
    <t>F2Q2020E</t>
  </si>
  <si>
    <t>F2Q2019A</t>
  </si>
  <si>
    <r>
      <rPr>
        <b/>
        <sz val="11"/>
        <color theme="1"/>
        <rFont val="Calibri"/>
        <family val="2"/>
        <scheme val="minor"/>
      </rPr>
      <t>Purpose:</t>
    </r>
    <r>
      <rPr>
        <sz val="11"/>
        <color theme="1"/>
        <rFont val="Calibri"/>
        <family val="2"/>
        <scheme val="minor"/>
      </rPr>
      <t xml:space="preserve"> This worksheet tracks the mean monthly share return and standard deviation.</t>
    </r>
  </si>
  <si>
    <t>Date</t>
  </si>
  <si>
    <t>Open</t>
  </si>
  <si>
    <t>High</t>
  </si>
  <si>
    <t>Low</t>
  </si>
  <si>
    <t>Close</t>
  </si>
  <si>
    <t>Volume</t>
  </si>
  <si>
    <t>Monthly return</t>
  </si>
  <si>
    <t>Diff from mean</t>
  </si>
  <si>
    <t>Diff Squared</t>
  </si>
  <si>
    <t>Mean</t>
  </si>
  <si>
    <t>Sum of squared differences</t>
  </si>
  <si>
    <t>Variance</t>
  </si>
  <si>
    <t>Standard Deviation</t>
  </si>
  <si>
    <t>Enter the absolute mean return and standard deviation into the model</t>
  </si>
  <si>
    <t>check</t>
  </si>
  <si>
    <t>Absolute value of mean monthly return</t>
  </si>
  <si>
    <t>Adjusted Close</t>
  </si>
  <si>
    <t>Estimate</t>
  </si>
  <si>
    <t>Q1 19</t>
  </si>
  <si>
    <t>08/18</t>
  </si>
  <si>
    <t>-9.02%</t>
  </si>
  <si>
    <t>-5.53%</t>
  </si>
  <si>
    <t>Q4 18</t>
  </si>
  <si>
    <t>05/18</t>
  </si>
  <si>
    <t>3.87%</t>
  </si>
  <si>
    <t>-2.69%</t>
  </si>
  <si>
    <t>Q3 18</t>
  </si>
  <si>
    <t>02/18</t>
  </si>
  <si>
    <t>19.77%</t>
  </si>
  <si>
    <t>-1.18%</t>
  </si>
  <si>
    <t>Q2 18</t>
  </si>
  <si>
    <t>11/17</t>
  </si>
  <si>
    <t>10.23%</t>
  </si>
  <si>
    <t>3.52%</t>
  </si>
  <si>
    <t>Q1 18</t>
  </si>
  <si>
    <t>08/17</t>
  </si>
  <si>
    <t>-17.02%</t>
  </si>
  <si>
    <t>2.08%</t>
  </si>
  <si>
    <t>Q4 17</t>
  </si>
  <si>
    <t>05/17</t>
  </si>
  <si>
    <t>9.68%</t>
  </si>
  <si>
    <t>1.60%</t>
  </si>
  <si>
    <t>Q3 17</t>
  </si>
  <si>
    <t>02/17</t>
  </si>
  <si>
    <t>-10.44%</t>
  </si>
  <si>
    <t>2.13%</t>
  </si>
  <si>
    <t>Q2 17</t>
  </si>
  <si>
    <t>11/16</t>
  </si>
  <si>
    <t>-3.71%</t>
  </si>
  <si>
    <t>-3.33%</t>
  </si>
  <si>
    <t>Q1 17</t>
  </si>
  <si>
    <t>08/16</t>
  </si>
  <si>
    <t>3.76%</t>
  </si>
  <si>
    <t>6.89%</t>
  </si>
  <si>
    <t>Q4 16</t>
  </si>
  <si>
    <t>05/16</t>
  </si>
  <si>
    <t>0.49%</t>
  </si>
  <si>
    <t>-4.54%</t>
  </si>
  <si>
    <t>Q3 16</t>
  </si>
  <si>
    <t>02/16</t>
  </si>
  <si>
    <t>7.40%</t>
  </si>
  <si>
    <t>11.83%</t>
  </si>
  <si>
    <t>Q2 16</t>
  </si>
  <si>
    <t>11/15</t>
  </si>
  <si>
    <t>3.20%</t>
  </si>
  <si>
    <t>2.02%</t>
  </si>
  <si>
    <t>Q1 16</t>
  </si>
  <si>
    <t>08/15</t>
  </si>
  <si>
    <t>-1.39%</t>
  </si>
  <si>
    <t>-2.84%</t>
  </si>
  <si>
    <t>Q4 15</t>
  </si>
  <si>
    <t>05/15</t>
  </si>
  <si>
    <t>-0.93%</t>
  </si>
  <si>
    <t>-2.96%</t>
  </si>
  <si>
    <t>Q3 15</t>
  </si>
  <si>
    <t>02/15</t>
  </si>
  <si>
    <t>7.03%</t>
  </si>
  <si>
    <t>-1.37%</t>
  </si>
  <si>
    <t>Q2 15</t>
  </si>
  <si>
    <t>11/14</t>
  </si>
  <si>
    <t>-4.76%</t>
  </si>
  <si>
    <t>-3.72%</t>
  </si>
  <si>
    <t>Q1 15</t>
  </si>
  <si>
    <t>08/14</t>
  </si>
  <si>
    <t>6.98%</t>
  </si>
  <si>
    <t>3.27%</t>
  </si>
  <si>
    <t>Q4 14</t>
  </si>
  <si>
    <t>05/14</t>
  </si>
  <si>
    <t>4.33%</t>
  </si>
  <si>
    <t>6.16%</t>
  </si>
  <si>
    <t>Q3 14</t>
  </si>
  <si>
    <t>02/14</t>
  </si>
  <si>
    <t>-15.81%</t>
  </si>
  <si>
    <t>-0.14%</t>
  </si>
  <si>
    <t>Q2 14</t>
  </si>
  <si>
    <t>11/13</t>
  </si>
  <si>
    <t>-4.38%</t>
  </si>
  <si>
    <t>0.45%</t>
  </si>
  <si>
    <t>Q1 14</t>
  </si>
  <si>
    <t>08/13</t>
  </si>
  <si>
    <t>2.27%</t>
  </si>
  <si>
    <t>5.03%</t>
  </si>
  <si>
    <t>Q4 13</t>
  </si>
  <si>
    <t>05/13</t>
  </si>
  <si>
    <t>9.01%</t>
  </si>
  <si>
    <t>1.07%</t>
  </si>
  <si>
    <t>Q3 13</t>
  </si>
  <si>
    <t>02/13</t>
  </si>
  <si>
    <t>-10.80%</t>
  </si>
  <si>
    <t>-6.89%</t>
  </si>
  <si>
    <t>Q2 13</t>
  </si>
  <si>
    <t>11/12</t>
  </si>
  <si>
    <t>-1.14%</t>
  </si>
  <si>
    <t>0.91%</t>
  </si>
  <si>
    <t>Q1 13</t>
  </si>
  <si>
    <t>08/12</t>
  </si>
  <si>
    <t>3.57%</t>
  </si>
  <si>
    <t>-3.06%</t>
  </si>
  <si>
    <t>Q4 12</t>
  </si>
  <si>
    <t>05/12</t>
  </si>
  <si>
    <t>3.73%</t>
  </si>
  <si>
    <t>Q3 12</t>
  </si>
  <si>
    <t>02/12</t>
  </si>
  <si>
    <t>14.99%</t>
  </si>
  <si>
    <t>-3.46%</t>
  </si>
  <si>
    <t>Q2 12</t>
  </si>
  <si>
    <t>11/11</t>
  </si>
  <si>
    <t>2.95%</t>
  </si>
  <si>
    <t>8.00%</t>
  </si>
  <si>
    <t>Q1 12</t>
  </si>
  <si>
    <t>08/11</t>
  </si>
  <si>
    <t>1.11%</t>
  </si>
  <si>
    <t>-8.17%</t>
  </si>
  <si>
    <t>Q4 11</t>
  </si>
  <si>
    <t>05/11</t>
  </si>
  <si>
    <t>2.26%</t>
  </si>
  <si>
    <t>2.59%</t>
  </si>
  <si>
    <t>Q3 11</t>
  </si>
  <si>
    <t>02/11</t>
  </si>
  <si>
    <t>-0.77%</t>
  </si>
  <si>
    <t>3.06%</t>
  </si>
  <si>
    <t>Q2 11</t>
  </si>
  <si>
    <t>11/10</t>
  </si>
  <si>
    <t>-10.82%</t>
  </si>
  <si>
    <t>1.98%</t>
  </si>
  <si>
    <t>Q1 11</t>
  </si>
  <si>
    <t>08/10</t>
  </si>
  <si>
    <t>-0.74%</t>
  </si>
  <si>
    <t>-3.75%</t>
  </si>
  <si>
    <t>Q4 10</t>
  </si>
  <si>
    <t>05/10</t>
  </si>
  <si>
    <t>2.87%</t>
  </si>
  <si>
    <t>-5.95%</t>
  </si>
  <si>
    <t>Q3 10</t>
  </si>
  <si>
    <t>02/10</t>
  </si>
  <si>
    <t>4.68%</t>
  </si>
  <si>
    <t>Q2 10</t>
  </si>
  <si>
    <t>11/09</t>
  </si>
  <si>
    <t>0.00%</t>
  </si>
  <si>
    <t>-6.09%</t>
  </si>
  <si>
    <t>Q1 10</t>
  </si>
  <si>
    <t>08/09</t>
  </si>
  <si>
    <t>-2.23%</t>
  </si>
  <si>
    <t>Q4 09</t>
  </si>
  <si>
    <t>05/09</t>
  </si>
  <si>
    <t>26.73%</t>
  </si>
  <si>
    <t>-1.40%</t>
  </si>
  <si>
    <t>Q3 09</t>
  </si>
  <si>
    <t>02/09</t>
  </si>
  <si>
    <t>-32.75%</t>
  </si>
  <si>
    <t>4.76%</t>
  </si>
  <si>
    <t>Q2 09</t>
  </si>
  <si>
    <t>11/08</t>
  </si>
  <si>
    <t>-0.06%</t>
  </si>
  <si>
    <t>-2.14%</t>
  </si>
  <si>
    <t>Q1 09</t>
  </si>
  <si>
    <t>08/08</t>
  </si>
  <si>
    <t>3.47%</t>
  </si>
  <si>
    <t>Q4 08</t>
  </si>
  <si>
    <t>05/08</t>
  </si>
  <si>
    <t>-1.09%</t>
  </si>
  <si>
    <t>-1.05%</t>
  </si>
  <si>
    <t>Q3 08</t>
  </si>
  <si>
    <t>02/08</t>
  </si>
  <si>
    <t>2.77%</t>
  </si>
  <si>
    <t>0.92%</t>
  </si>
  <si>
    <t>Q2 08</t>
  </si>
  <si>
    <t>11/07</t>
  </si>
  <si>
    <t>2.19%</t>
  </si>
  <si>
    <t>-1.06%</t>
  </si>
  <si>
    <t>Period</t>
  </si>
  <si>
    <t>Period End Date</t>
  </si>
  <si>
    <t>Reported EPS</t>
  </si>
  <si>
    <t>Surprise (%)</t>
  </si>
  <si>
    <t>Impact on Share Price</t>
  </si>
  <si>
    <t>Consensus Price Target</t>
  </si>
  <si>
    <t>Buys</t>
  </si>
  <si>
    <t>Holds</t>
  </si>
  <si>
    <t>Sells</t>
  </si>
  <si>
    <t>12M Tgt Px</t>
  </si>
  <si>
    <t>Last Price</t>
  </si>
  <si>
    <t>Return Potential</t>
  </si>
  <si>
    <t>Target share price</t>
  </si>
  <si>
    <t>DCF check</t>
  </si>
  <si>
    <r>
      <rPr>
        <b/>
        <sz val="11"/>
        <color theme="1"/>
        <rFont val="Calibri"/>
        <family val="2"/>
        <scheme val="minor"/>
      </rPr>
      <t>Last updated:</t>
    </r>
    <r>
      <rPr>
        <sz val="11"/>
        <color theme="1"/>
        <rFont val="Calibri"/>
        <family val="2"/>
        <scheme val="minor"/>
      </rPr>
      <t xml:space="preserve"> 12/14/2018</t>
    </r>
  </si>
  <si>
    <t>F2Q19</t>
  </si>
  <si>
    <t>Express non-GAAP Adjustments (TNT)</t>
  </si>
  <si>
    <t>TNT Express integration expenses (opex-total)</t>
  </si>
  <si>
    <t>TNT Express integration expenses (opex-Express only)</t>
  </si>
  <si>
    <t>Express non-GAAP Operating Margin ($)</t>
  </si>
  <si>
    <t>Express non-GAAP Operating Margin (%)</t>
  </si>
  <si>
    <t>12/18/2018 From the F2Q19 release</t>
  </si>
  <si>
    <t>$12.65 to $13.40</t>
  </si>
  <si>
    <t>$15.50 to $16.60</t>
  </si>
  <si>
    <t>24% to 25%</t>
  </si>
  <si>
    <r>
      <t>&gt;</t>
    </r>
    <r>
      <rPr>
        <b/>
        <u/>
        <sz val="10.5"/>
        <rFont val="Calibri"/>
        <family val="2"/>
        <scheme val="minor"/>
      </rPr>
      <t xml:space="preserve">Will not meet </t>
    </r>
    <r>
      <rPr>
        <sz val="10.5"/>
        <rFont val="Calibri"/>
        <family val="2"/>
        <scheme val="minor"/>
      </rPr>
      <t>FedEx Express Operating income target up $1.2B to $1.5B from F2017 in 2020.
&gt;Pre-tax charge for voluntary buyout of $450M to $575M (primarily F4Q2019).Savings expected to be $225M to $275M in F2020.</t>
    </r>
  </si>
  <si>
    <t>No longer providing guidance</t>
  </si>
  <si>
    <t>Express portion of Voluntary buyout charge (opex)</t>
  </si>
  <si>
    <r>
      <rPr>
        <b/>
        <sz val="11"/>
        <color theme="1"/>
        <rFont val="Calibri"/>
        <family val="2"/>
        <scheme val="minor"/>
      </rPr>
      <t>Last updated:</t>
    </r>
    <r>
      <rPr>
        <sz val="11"/>
        <color theme="1"/>
        <rFont val="Calibri"/>
        <family val="2"/>
        <scheme val="minor"/>
      </rPr>
      <t xml:space="preserve"> 1/2/2019</t>
    </r>
  </si>
  <si>
    <r>
      <rPr>
        <b/>
        <sz val="11"/>
        <color theme="1"/>
        <rFont val="Calibri"/>
        <family val="2"/>
        <scheme val="minor"/>
      </rPr>
      <t>Last updated:</t>
    </r>
    <r>
      <rPr>
        <sz val="11"/>
        <color theme="1"/>
        <rFont val="Calibri"/>
        <family val="2"/>
        <scheme val="minor"/>
      </rPr>
      <t xml:space="preserve"> 12/14/20198</t>
    </r>
  </si>
  <si>
    <t>Consensus Price Target (Before F2Q2019)</t>
  </si>
  <si>
    <t>Consensus Price Target (After F2Q2019)</t>
  </si>
  <si>
    <t>Consensus Return</t>
  </si>
  <si>
    <t>Estimate of Risk Free (future 10yr UST)</t>
  </si>
  <si>
    <t>F3Q19</t>
  </si>
  <si>
    <r>
      <rPr>
        <b/>
        <sz val="11"/>
        <color theme="1"/>
        <rFont val="Calibri"/>
        <family val="2"/>
        <scheme val="minor"/>
      </rPr>
      <t>Last updated:</t>
    </r>
    <r>
      <rPr>
        <sz val="11"/>
        <color theme="1"/>
        <rFont val="Calibri"/>
        <family val="2"/>
        <scheme val="minor"/>
      </rPr>
      <t xml:space="preserve"> 3/19/2019</t>
    </r>
  </si>
  <si>
    <t>F3Q2020E</t>
  </si>
  <si>
    <t>F3Q2019A</t>
  </si>
  <si>
    <t>3/19/2019 From the F3Q19 release</t>
  </si>
  <si>
    <t>$11.95 to $13.10</t>
  </si>
  <si>
    <t>$15.10 to $15.90</t>
  </si>
  <si>
    <t>22% to 23%</t>
  </si>
  <si>
    <t>$435M, $350M net of tax effect</t>
  </si>
  <si>
    <t>&gt;TNT integration will continue into 2021.
&gt;Total cumulative TNT integration expense will exceed $1.5B through 2021.
&gt;Pre-tax charge for voluntary buyout of $450M to $575M (primarily F4Q2019).Savings expected to be $225M to $275M in F2020.
&gt;Total 2019 FDX Ground Legal Expense $46M.
&gt; DTL remeasurement -$4M.
&gt; Realignment Costs $575M to $450M, tax impact -$140M to $110M. 
&gt;Implied share count 265M ($350/265 = $1.32 per share).</t>
  </si>
  <si>
    <r>
      <rPr>
        <b/>
        <sz val="11"/>
        <color theme="1"/>
        <rFont val="Calibri"/>
        <family val="2"/>
        <scheme val="minor"/>
      </rPr>
      <t>Last updated:</t>
    </r>
    <r>
      <rPr>
        <sz val="11"/>
        <color theme="1"/>
        <rFont val="Calibri"/>
        <family val="2"/>
        <scheme val="minor"/>
      </rPr>
      <t xml:space="preserve"> 3/19/2018</t>
    </r>
  </si>
  <si>
    <t>Voluntary buyout/alignment (opex)</t>
  </si>
  <si>
    <t>Voluntary buyout/alignment (tax)</t>
  </si>
  <si>
    <t>Cumulative TNT integration expense</t>
  </si>
  <si>
    <t>Cumulative alignment expense</t>
  </si>
  <si>
    <r>
      <rPr>
        <b/>
        <sz val="11"/>
        <color theme="1"/>
        <rFont val="Calibri"/>
        <family val="2"/>
        <scheme val="minor"/>
      </rPr>
      <t>Last updated:</t>
    </r>
    <r>
      <rPr>
        <sz val="11"/>
        <color theme="1"/>
        <rFont val="Calibri"/>
        <family val="2"/>
        <scheme val="minor"/>
      </rPr>
      <t xml:space="preserve"> 6/20/2019</t>
    </r>
  </si>
  <si>
    <t>Purple cells = Company guidance (updated 6/25/2019)</t>
  </si>
  <si>
    <t xml:space="preserve">Orange cells = Consensus estimates (updated 7/10/2019) </t>
  </si>
  <si>
    <t>F4Q19</t>
  </si>
  <si>
    <t>Retirement plans mark-to-market adjustment (pre-2019)</t>
  </si>
  <si>
    <t>FY 2019</t>
  </si>
  <si>
    <t>Changes in operating assets and liabilities</t>
  </si>
  <si>
    <t>MtM Retirment plan accounting and other (opex pre'19, Net Income after)</t>
  </si>
  <si>
    <t>Non-GAAP tax and other net income adjustments</t>
  </si>
  <si>
    <t>Aug-23</t>
  </si>
  <si>
    <t>Nov-23</t>
  </si>
  <si>
    <t>Feb-24</t>
  </si>
  <si>
    <t>May-24</t>
  </si>
  <si>
    <t>F1Q24E</t>
  </si>
  <si>
    <t>F2Q24E</t>
  </si>
  <si>
    <t>F3Q24E</t>
  </si>
  <si>
    <t>F4Q24E</t>
  </si>
  <si>
    <t>FY 2024E</t>
  </si>
  <si>
    <t>Blue cells = Gutenberg estimates (last updated 7/10/2019)</t>
  </si>
  <si>
    <t xml:space="preserve">P/E 3-month average </t>
  </si>
  <si>
    <t>Other adjustments - 3</t>
  </si>
  <si>
    <t>Constant market Sharpe ratio</t>
  </si>
  <si>
    <t>S&amp;P500 implied volatility</t>
  </si>
  <si>
    <t>Constant Growth Stage Assumptions</t>
  </si>
  <si>
    <t>Stage 2 Long-Term WACC</t>
  </si>
  <si>
    <t>Risk Estimation Summary</t>
  </si>
  <si>
    <t>Updated: 7/10/2019</t>
  </si>
  <si>
    <t>FY2020</t>
  </si>
  <si>
    <t>6/20/2019 From the F4Q19 release</t>
  </si>
  <si>
    <t xml:space="preserve">Total TNT Express integration program expenses through fiscal 2021 are now
estimated to be approximately $1.7 billion, of which $350 million is expected
to be incurred in fiscal 2020. </t>
  </si>
  <si>
    <t>23% to 25%</t>
  </si>
  <si>
    <t xml:space="preserve">A mid-single-digit percentage point decline in diluted earnings per share prior to the year-end MTM retirement plan accounting adjustment and excluding estimated TNT Express integration expenses compared with
fiscal 2019’s adjusted earnings of $15.52 </t>
  </si>
  <si>
    <t>A low-single-digit percentage point increase in diluted earnings per share prior to the year-end MTM retirement plan accounting adjustment
compared with fiscal 2019’s earnings of $13.25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</si>
</sst>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0_);_(* \(#,##0.0\);_(* &quot;-&quot;??_);_(@_)"/>
    <numFmt numFmtId="165" formatCode="_(* #,##0_);_(* \(#,##0\);_(* &quot;-&quot;??_);_(@_)"/>
    <numFmt numFmtId="166" formatCode="0.0%"/>
    <numFmt numFmtId="167" formatCode="_(* #,##0.000_);_(* \(#,##0.000\);_(* &quot;-&quot;??_);_(@_)"/>
    <numFmt numFmtId="168" formatCode="0.0_)\%;\(0.0\)\%;0.0_)\%;@_)_%"/>
    <numFmt numFmtId="169" formatCode="#,##0.0_)_%;\(#,##0.0\)_%;0.0_)_%;@_)_%"/>
    <numFmt numFmtId="170" formatCode="#,##0.0_);\(#,##0.0\);#,##0.0_);@_)"/>
    <numFmt numFmtId="171" formatCode="&quot;$&quot;_(#,##0.00_);&quot;$&quot;\(#,##0.00\);&quot;$&quot;_(0.00_);@_)"/>
    <numFmt numFmtId="172" formatCode="#,##0.00_);\(#,##0.00\);0.00_);@_)"/>
    <numFmt numFmtId="173" formatCode="\€_(#,##0.00_);\€\(#,##0.00\);\€_(0.00_);@_)"/>
    <numFmt numFmtId="174" formatCode="#,##0_)\x;\(#,##0\)\x;0_)\x;@_)_x"/>
    <numFmt numFmtId="175" formatCode="#,##0_)_x;\(#,##0\)_x;0_)_x;@_)_x"/>
    <numFmt numFmtId="176" formatCode="* #,##0.00_);\(#,##0.00\)"/>
    <numFmt numFmtId="177" formatCode="&quot;$&quot;#,##0;\-&quot;$&quot;#,##0"/>
    <numFmt numFmtId="178" formatCode="#,##0;\-#,##0;&quot;-&quot;"/>
    <numFmt numFmtId="179" formatCode="0.000000"/>
    <numFmt numFmtId="180" formatCode="_(* #,##0,,_);_(* \(#,##0,,\);_(* &quot;-&quot;_)"/>
    <numFmt numFmtId="181" formatCode="_(* #,##0_);[Red]_(* \(#,##0\);_(* &quot;&quot;&quot;&quot;&quot;&quot;&quot;&quot;\ \-\ &quot;&quot;&quot;&quot;&quot;&quot;&quot;&quot;_);_(@_)"/>
    <numFmt numFmtId="182" formatCode="&quot;£&quot;#,##0;[Red]\-&quot;£&quot;#,##0"/>
    <numFmt numFmtId="183" formatCode="_(* #,##0,_);[Red]_(* \(#,##0,\);_(* &quot;&quot;&quot;&quot;&quot;&quot;&quot;&quot;\ \-\ &quot;&quot;&quot;&quot;&quot;&quot;&quot;&quot;_);_(@_)"/>
    <numFmt numFmtId="184" formatCode="0.00_);[Red]\(0.00\)"/>
    <numFmt numFmtId="185" formatCode="0%;\(0%\);;"/>
    <numFmt numFmtId="186" formatCode="&quot;£&quot;#,##0.00;[Red]\-&quot;£&quot;#,##0.00"/>
    <numFmt numFmtId="187" formatCode="_(* #,##0.000_);_(* \(#,##0.000\);_(* &quot;-&quot;_);_(@_)"/>
    <numFmt numFmtId="188" formatCode="0%;\(0%\);&quot;-&quot;"/>
    <numFmt numFmtId="189" formatCode="_-&quot;£&quot;* #,##0_-;\-&quot;£&quot;* #,##0_-;_-&quot;£&quot;* &quot;-&quot;_-;_-@_-"/>
    <numFmt numFmtId="190" formatCode="_(&quot;$&quot;* #,##0,_);_(&quot;$&quot;* \(#,##0,\);_(&quot;$&quot;* &quot;-&quot;_);_(@_)"/>
    <numFmt numFmtId="191" formatCode="#,##0\ ;\(#,##0.0\)"/>
    <numFmt numFmtId="192" formatCode="0.0"/>
    <numFmt numFmtId="193" formatCode="#,##0.00;\-#,##0.00;&quot;-&quot;"/>
    <numFmt numFmtId="194" formatCode="_._.* \(#,##0\)_%;_._.* #,##0_)_%;_._.* 0_)_%;_._.@_)_%"/>
    <numFmt numFmtId="195" formatCode="_._.&quot;$&quot;* \(#,##0\)_%;_._.&quot;$&quot;* #,##0_)_%;_._.&quot;$&quot;* 0_)_%;_._.@_)_%"/>
    <numFmt numFmtId="196" formatCode="&quot;$&quot;0.00_)"/>
    <numFmt numFmtId="197" formatCode="&quot;SFr.&quot;\ #,##0.00;&quot;SFr.&quot;\ \-#,##0.00"/>
    <numFmt numFmtId="198" formatCode="#,##0;\(#,##0\)"/>
    <numFmt numFmtId="199" formatCode="_([$€-2]* #,##0.00_);_([$€-2]* \(#,##0.00\);_([$€-2]* &quot;-&quot;??_)"/>
    <numFmt numFmtId="200" formatCode="_-* #,##0\ _D_M_-;\-* #,##0\ _D_M_-;_-* &quot;-&quot;\ _D_M_-;_-@_-"/>
    <numFmt numFmtId="201" formatCode="_-* #,##0.00\ _D_M_-;\-* #,##0.00\ _D_M_-;_-* &quot;-&quot;??\ _D_M_-;_-@_-"/>
    <numFmt numFmtId="202" formatCode="_-* #,##0\ &quot;DM&quot;_-;\-* #,##0\ &quot;DM&quot;_-;_-* &quot;-&quot;\ &quot;DM&quot;_-;_-@_-"/>
    <numFmt numFmtId="203" formatCode="_-* #,##0.00\ &quot;DM&quot;_-;\-* #,##0.00\ &quot;DM&quot;_-;_-* &quot;-&quot;??\ &quot;DM&quot;_-;_-@_-"/>
    <numFmt numFmtId="204" formatCode="#,##0.0_);\(#,##0.0\)"/>
    <numFmt numFmtId="205" formatCode="#,##0.0\ ;\(#,##0.0\)"/>
    <numFmt numFmtId="206" formatCode="0%;\(0%\)"/>
    <numFmt numFmtId="207" formatCode="&quot;SFr.&quot;#,##0;[Red]&quot;SFr.&quot;\-#,##0"/>
    <numFmt numFmtId="208" formatCode="#,##0.0000000000;\-#,##0.0000000000"/>
    <numFmt numFmtId="209" formatCode="#,##0.0;\-#,##0.0"/>
    <numFmt numFmtId="210" formatCode="#,##0.000;\-#,##0.000"/>
    <numFmt numFmtId="211" formatCode="#,##0.0000;\-#,##0.0000"/>
    <numFmt numFmtId="212" formatCode="#,##0.00000;\-#,##0.00000"/>
    <numFmt numFmtId="213" formatCode="#,##0.000000;\-#,##0.000000"/>
    <numFmt numFmtId="214" formatCode="#,##0.0000000;\-#,##0.0000000"/>
    <numFmt numFmtId="215" formatCode="#,##0.00000000;\-#,##0.00000000"/>
    <numFmt numFmtId="216" formatCode="#,##0.000000000;\-#,##0.000000000"/>
    <numFmt numFmtId="217" formatCode="#,##0___);\(#,##0.00\)"/>
    <numFmt numFmtId="218" formatCode="#,##0&quot;%&quot;"/>
    <numFmt numFmtId="219" formatCode="#,##0_);[Red]\(#,##0\);&quot;-&quot;"/>
    <numFmt numFmtId="220" formatCode="_-&quot;£&quot;* #,##0.00_-;\-&quot;£&quot;* #,##0.00_-;_-&quot;£&quot;* &quot;-&quot;??_-;_-@_-"/>
    <numFmt numFmtId="221" formatCode="*-"/>
    <numFmt numFmtId="222" formatCode="#,##0;[Red]\(#,##0\)"/>
    <numFmt numFmtId="223" formatCode="_-&quot;$&quot;* #,##0_-;\-&quot;$&quot;* #,##0_-;_-&quot;$&quot;* &quot;-&quot;_-;_-@_-"/>
    <numFmt numFmtId="224" formatCode="_-&quot;$&quot;* #,##0.00_-;\-&quot;$&quot;* #,##0.00_-;_-&quot;$&quot;* &quot;-&quot;??_-;_-@_-"/>
    <numFmt numFmtId="225" formatCode="&quot;$&quot;#,##0.0_);[Red]\(&quot;$&quot;#,##0.0\)"/>
    <numFmt numFmtId="226" formatCode="&quot;$&quot;#,##0.00"/>
    <numFmt numFmtId="227" formatCode="&quot;$&quot;#,##0.000_);\(&quot;$&quot;#,##0.000\)"/>
    <numFmt numFmtId="228" formatCode="&quot;$&quot;#,##0"/>
    <numFmt numFmtId="229" formatCode="0.0\x"/>
    <numFmt numFmtId="231" formatCode="0.00000"/>
  </numFmts>
  <fonts count="105"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rgb="FFFF0000"/>
      <name val="Calibri"/>
      <family val="2"/>
      <scheme val="minor"/>
    </font>
    <font>
      <sz val="11"/>
      <name val="Calibri"/>
      <family val="2"/>
    </font>
    <font>
      <b/>
      <sz val="11"/>
      <color theme="0" tint="-0.14999847407452621"/>
      <name val="Calibri"/>
      <family val="2"/>
      <scheme val="minor"/>
    </font>
    <font>
      <sz val="9"/>
      <color indexed="81"/>
      <name val="Tahoma"/>
      <family val="2"/>
    </font>
    <font>
      <b/>
      <sz val="9"/>
      <color indexed="81"/>
      <name val="Tahoma"/>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Times New Roman"/>
      <family val="1"/>
    </font>
    <font>
      <sz val="10"/>
      <name val="Helv"/>
      <family val="2"/>
    </font>
    <font>
      <sz val="8"/>
      <name val="Helv"/>
    </font>
    <font>
      <b/>
      <sz val="12"/>
      <name val="Tms Rmn"/>
    </font>
    <font>
      <b/>
      <i/>
      <sz val="12"/>
      <name val="Tms Rmn"/>
    </font>
    <font>
      <b/>
      <sz val="10"/>
      <name val="MS Sans Serif"/>
      <family val="2"/>
    </font>
    <font>
      <sz val="10"/>
      <color indexed="8"/>
      <name val="Arial"/>
      <family val="2"/>
    </font>
    <font>
      <b/>
      <sz val="11"/>
      <name val="Arial"/>
      <family val="2"/>
    </font>
    <font>
      <sz val="10"/>
      <name val="Helv"/>
    </font>
    <font>
      <sz val="10"/>
      <color theme="1"/>
      <name val="Arial"/>
      <family val="2"/>
    </font>
    <font>
      <sz val="10"/>
      <color indexed="0"/>
      <name val="MS Sans Serif"/>
      <family val="2"/>
    </font>
    <font>
      <b/>
      <sz val="14"/>
      <name val="Arial"/>
      <family val="2"/>
    </font>
    <font>
      <sz val="11"/>
      <color indexed="12"/>
      <name val="Times New Roman"/>
      <family val="1"/>
    </font>
    <font>
      <sz val="11"/>
      <name val="Times New Roman"/>
      <family val="1"/>
    </font>
    <font>
      <sz val="10"/>
      <color indexed="12"/>
      <name val="Helv"/>
    </font>
    <font>
      <sz val="8"/>
      <color indexed="18"/>
      <name val="Helv"/>
    </font>
    <font>
      <b/>
      <u/>
      <sz val="10"/>
      <color indexed="8"/>
      <name val="Times New Roman"/>
      <family val="1"/>
    </font>
    <font>
      <sz val="10"/>
      <color indexed="12"/>
      <name val="Arial"/>
      <family val="2"/>
    </font>
    <font>
      <sz val="8"/>
      <name val="Arial"/>
      <family val="2"/>
    </font>
    <font>
      <b/>
      <sz val="12"/>
      <name val="Arial"/>
      <family val="2"/>
    </font>
    <font>
      <b/>
      <sz val="10"/>
      <name val="Arial"/>
      <family val="2"/>
    </font>
    <font>
      <u/>
      <sz val="11"/>
      <color theme="10"/>
      <name val="Calibri"/>
      <family val="2"/>
    </font>
    <font>
      <u/>
      <sz val="10"/>
      <color indexed="12"/>
      <name val="Arial"/>
      <family val="2"/>
    </font>
    <font>
      <u/>
      <sz val="10"/>
      <color theme="10"/>
      <name val="Trebuchet MS"/>
      <family val="2"/>
    </font>
    <font>
      <sz val="10"/>
      <color indexed="14"/>
      <name val="Arial"/>
      <family val="2"/>
    </font>
    <font>
      <sz val="10"/>
      <name val="MS Sans Serif"/>
      <family val="2"/>
    </font>
    <font>
      <sz val="7"/>
      <name val="Small Fonts"/>
      <family val="2"/>
    </font>
    <font>
      <sz val="12"/>
      <name val="Helv"/>
      <family val="2"/>
    </font>
    <font>
      <sz val="10"/>
      <name val="Trebuchet MS"/>
      <family val="2"/>
    </font>
    <font>
      <sz val="10"/>
      <name val="Tms Rmn"/>
    </font>
    <font>
      <sz val="10"/>
      <name val="Tms Rmn"/>
      <family val="1"/>
    </font>
    <font>
      <sz val="11"/>
      <color indexed="8"/>
      <name val="Calibri"/>
      <family val="2"/>
    </font>
    <font>
      <b/>
      <u/>
      <sz val="26"/>
      <color indexed="9"/>
      <name val="Arial"/>
      <family val="2"/>
    </font>
    <font>
      <sz val="10"/>
      <color indexed="10"/>
      <name val="Arial"/>
      <family val="2"/>
    </font>
    <font>
      <sz val="12"/>
      <name val="Helv"/>
    </font>
    <font>
      <sz val="10"/>
      <color rgb="FF404040"/>
      <name val="Segoe UI"/>
      <family val="2"/>
    </font>
    <font>
      <b/>
      <sz val="10"/>
      <color rgb="FF404040"/>
      <name val="Segoe UI"/>
      <family val="2"/>
    </font>
    <font>
      <b/>
      <sz val="10"/>
      <color indexed="10"/>
      <name val="Arial"/>
      <family val="2"/>
    </font>
    <font>
      <sz val="8"/>
      <name val="Tms Rmn"/>
    </font>
    <font>
      <u/>
      <sz val="11"/>
      <color theme="10"/>
      <name val="Calibri"/>
      <family val="2"/>
      <scheme val="minor"/>
    </font>
    <font>
      <b/>
      <sz val="11"/>
      <color theme="0"/>
      <name val="Calibri"/>
      <family val="2"/>
      <scheme val="minor"/>
    </font>
    <font>
      <i/>
      <sz val="11"/>
      <color rgb="FFFF0000"/>
      <name val="Calibri"/>
      <family val="2"/>
      <scheme val="minor"/>
    </font>
    <font>
      <b/>
      <u val="singleAccounting"/>
      <sz val="11"/>
      <name val="Calibri"/>
      <family val="2"/>
      <scheme val="minor"/>
    </font>
    <font>
      <b/>
      <sz val="11"/>
      <color rgb="FFFF0000"/>
      <name val="Calibri"/>
      <family val="2"/>
      <scheme val="minor"/>
    </font>
    <font>
      <u/>
      <sz val="11"/>
      <color rgb="FFFF0000"/>
      <name val="Calibri"/>
      <family val="2"/>
      <scheme val="minor"/>
    </font>
    <font>
      <b/>
      <u val="singleAccounting"/>
      <sz val="11"/>
      <color rgb="FFFF0000"/>
      <name val="Calibri"/>
      <family val="2"/>
      <scheme val="minor"/>
    </font>
    <font>
      <b/>
      <u/>
      <sz val="11"/>
      <color rgb="FFFF0000"/>
      <name val="Calibri"/>
      <family val="2"/>
      <scheme val="minor"/>
    </font>
    <font>
      <b/>
      <sz val="11"/>
      <color theme="2"/>
      <name val="Calibri"/>
      <family val="2"/>
      <scheme val="minor"/>
    </font>
    <font>
      <b/>
      <u val="singleAccounting"/>
      <sz val="11"/>
      <color theme="2"/>
      <name val="Calibri"/>
      <family val="2"/>
      <scheme val="minor"/>
    </font>
    <font>
      <b/>
      <u/>
      <sz val="12"/>
      <color theme="2"/>
      <name val="Calibri"/>
      <family val="2"/>
      <scheme val="minor"/>
    </font>
    <font>
      <sz val="10"/>
      <color theme="2"/>
      <name val="Calibri"/>
      <family val="2"/>
      <scheme val="minor"/>
    </font>
    <font>
      <sz val="11"/>
      <name val="Calibri"/>
      <family val="2"/>
      <scheme val="minor"/>
    </font>
    <font>
      <i/>
      <sz val="11"/>
      <name val="Calibri"/>
      <family val="2"/>
      <scheme val="minor"/>
    </font>
    <font>
      <b/>
      <sz val="11"/>
      <name val="Calibri"/>
      <family val="2"/>
      <scheme val="minor"/>
    </font>
    <font>
      <u val="singleAccounting"/>
      <sz val="11"/>
      <name val="Calibri"/>
      <family val="2"/>
      <scheme val="minor"/>
    </font>
    <font>
      <b/>
      <u/>
      <sz val="11"/>
      <name val="Calibri"/>
      <family val="2"/>
      <scheme val="minor"/>
    </font>
    <font>
      <b/>
      <u/>
      <sz val="12"/>
      <name val="Calibri"/>
      <family val="2"/>
      <scheme val="minor"/>
    </font>
    <font>
      <u/>
      <sz val="11"/>
      <name val="Calibri"/>
      <family val="2"/>
      <scheme val="minor"/>
    </font>
    <font>
      <i/>
      <sz val="8"/>
      <color rgb="FFFF0000"/>
      <name val="Calibri"/>
      <family val="2"/>
      <scheme val="minor"/>
    </font>
    <font>
      <i/>
      <sz val="6"/>
      <color rgb="FFFF0000"/>
      <name val="Calibri"/>
      <family val="2"/>
      <scheme val="minor"/>
    </font>
    <font>
      <b/>
      <u val="singleAccounting"/>
      <sz val="6"/>
      <color rgb="FFFF0000"/>
      <name val="Calibri"/>
      <family val="2"/>
      <scheme val="minor"/>
    </font>
    <font>
      <i/>
      <u/>
      <sz val="11"/>
      <name val="Calibri"/>
      <family val="2"/>
      <scheme val="minor"/>
    </font>
    <font>
      <i/>
      <sz val="9"/>
      <color theme="3" tint="0.39997558519241921"/>
      <name val="Calibri"/>
      <family val="2"/>
      <scheme val="minor"/>
    </font>
    <font>
      <i/>
      <u/>
      <sz val="11"/>
      <color theme="3" tint="0.39997558519241921"/>
      <name val="Calibri"/>
      <family val="2"/>
      <scheme val="minor"/>
    </font>
    <font>
      <sz val="9.5"/>
      <name val="Calibri"/>
      <family val="2"/>
      <scheme val="minor"/>
    </font>
    <font>
      <sz val="11"/>
      <color theme="3" tint="0.39997558519241921"/>
      <name val="Calibri"/>
      <family val="2"/>
      <scheme val="minor"/>
    </font>
    <font>
      <b/>
      <sz val="10.5"/>
      <color rgb="FFE7E6E6"/>
      <name val="Calibri"/>
      <family val="2"/>
    </font>
    <font>
      <sz val="10.5"/>
      <color rgb="FFE7E6E6"/>
      <name val="Calibri"/>
      <family val="2"/>
    </font>
    <font>
      <sz val="8"/>
      <color rgb="FFE7E6E6"/>
      <name val="Calibri"/>
      <family val="2"/>
    </font>
    <font>
      <b/>
      <sz val="10.5"/>
      <name val="Calibri"/>
      <family val="2"/>
      <scheme val="minor"/>
    </font>
    <font>
      <sz val="10.5"/>
      <name val="Calibri"/>
      <family val="2"/>
      <scheme val="minor"/>
    </font>
    <font>
      <sz val="9"/>
      <name val="Calibri"/>
      <family val="2"/>
      <scheme val="minor"/>
    </font>
    <font>
      <b/>
      <sz val="10.5"/>
      <name val="Calibri"/>
      <family val="2"/>
    </font>
    <font>
      <sz val="11"/>
      <color theme="1" tint="0.14999847407452621"/>
      <name val="Calibri"/>
      <family val="2"/>
      <scheme val="minor"/>
    </font>
    <font>
      <b/>
      <sz val="11"/>
      <color theme="1" tint="0.14999847407452621"/>
      <name val="Calibri"/>
      <family val="2"/>
      <scheme val="minor"/>
    </font>
    <font>
      <b/>
      <u/>
      <sz val="11"/>
      <color theme="1" tint="0.14999847407452621"/>
      <name val="Calibri"/>
      <family val="2"/>
      <scheme val="minor"/>
    </font>
    <font>
      <u val="singleAccounting"/>
      <sz val="11"/>
      <color theme="1" tint="0.14999847407452621"/>
      <name val="Calibri"/>
      <family val="2"/>
      <scheme val="minor"/>
    </font>
    <font>
      <i/>
      <sz val="11"/>
      <color theme="4" tint="-0.249977111117893"/>
      <name val="Calibri"/>
      <family val="2"/>
      <scheme val="minor"/>
    </font>
    <font>
      <b/>
      <i/>
      <sz val="11"/>
      <color theme="4" tint="-0.249977111117893"/>
      <name val="Calibri"/>
      <family val="2"/>
      <scheme val="minor"/>
    </font>
    <font>
      <i/>
      <u val="singleAccounting"/>
      <sz val="11"/>
      <color theme="4" tint="-0.249977111117893"/>
      <name val="Calibri"/>
      <family val="2"/>
      <scheme val="minor"/>
    </font>
    <font>
      <b/>
      <i/>
      <u val="singleAccounting"/>
      <sz val="11"/>
      <color theme="4" tint="-0.249977111117893"/>
      <name val="Calibri"/>
      <family val="2"/>
      <scheme val="minor"/>
    </font>
    <font>
      <b/>
      <sz val="10"/>
      <color theme="1"/>
      <name val="Calibri"/>
      <family val="2"/>
      <scheme val="minor"/>
    </font>
    <font>
      <i/>
      <sz val="11"/>
      <color theme="1"/>
      <name val="Calibri"/>
      <family val="2"/>
      <scheme val="minor"/>
    </font>
    <font>
      <i/>
      <sz val="8"/>
      <name val="Calibri"/>
      <family val="2"/>
      <scheme val="minor"/>
    </font>
    <font>
      <sz val="8"/>
      <name val="Calibri"/>
      <family val="2"/>
      <scheme val="minor"/>
    </font>
    <font>
      <i/>
      <sz val="11"/>
      <color theme="4"/>
      <name val="Calibri"/>
      <family val="2"/>
      <scheme val="minor"/>
    </font>
    <font>
      <b/>
      <i/>
      <sz val="11"/>
      <color theme="4"/>
      <name val="Calibri"/>
      <family val="2"/>
      <scheme val="minor"/>
    </font>
    <font>
      <b/>
      <u/>
      <sz val="10.5"/>
      <name val="Calibri"/>
      <family val="2"/>
      <scheme val="minor"/>
    </font>
    <font>
      <sz val="11"/>
      <color theme="7" tint="-0.249977111117893"/>
      <name val="Calibri"/>
      <family val="2"/>
      <scheme val="minor"/>
    </font>
    <font>
      <b/>
      <sz val="11"/>
      <color theme="7" tint="-0.249977111117893"/>
      <name val="Calibri"/>
      <family val="2"/>
      <scheme val="minor"/>
    </font>
    <font>
      <i/>
      <sz val="11"/>
      <color theme="3" tint="0.39997558519241921"/>
      <name val="Calibri"/>
      <family val="2"/>
      <scheme val="minor"/>
    </font>
  </fonts>
  <fills count="17">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indexed="43"/>
      </patternFill>
    </fill>
    <fill>
      <patternFill patternType="solid">
        <fgColor indexed="22"/>
        <bgColor indexed="64"/>
      </patternFill>
    </fill>
    <fill>
      <patternFill patternType="solid">
        <fgColor indexed="27"/>
        <bgColor indexed="64"/>
      </patternFill>
    </fill>
    <fill>
      <patternFill patternType="solid">
        <fgColor indexed="26"/>
        <bgColor indexed="64"/>
      </patternFill>
    </fill>
    <fill>
      <patternFill patternType="solid">
        <fgColor indexed="44"/>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3" tint="0.39997558519241921"/>
        <bgColor indexed="64"/>
      </patternFill>
    </fill>
    <fill>
      <patternFill patternType="solid">
        <fgColor rgb="FFFFFF00"/>
        <bgColor indexed="64"/>
      </patternFill>
    </fill>
  </fills>
  <borders count="113">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bottom style="hair">
        <color auto="1"/>
      </bottom>
      <diagonal/>
    </border>
    <border>
      <left/>
      <right style="thin">
        <color auto="1"/>
      </right>
      <top/>
      <bottom style="hair">
        <color auto="1"/>
      </bottom>
      <diagonal/>
    </border>
    <border>
      <left style="thin">
        <color auto="1"/>
      </left>
      <right style="thin">
        <color auto="1"/>
      </right>
      <top style="thin">
        <color auto="1"/>
      </top>
      <bottom style="thin">
        <color auto="1"/>
      </bottom>
      <diagonal/>
    </border>
    <border>
      <left/>
      <right/>
      <top style="hair">
        <color indexed="8"/>
      </top>
      <bottom style="hair">
        <color indexed="8"/>
      </bottom>
      <diagonal/>
    </border>
    <border>
      <left/>
      <right/>
      <top/>
      <bottom style="medium">
        <color indexed="18"/>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thin">
        <color indexed="64"/>
      </top>
      <bottom style="double">
        <color indexed="64"/>
      </bottom>
      <diagonal/>
    </border>
    <border>
      <left/>
      <right/>
      <top/>
      <bottom style="double">
        <color indexed="64"/>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auto="1"/>
      </left>
      <right/>
      <top style="hair">
        <color auto="1"/>
      </top>
      <bottom/>
      <diagonal/>
    </border>
    <border>
      <left/>
      <right style="thin">
        <color auto="1"/>
      </right>
      <top style="hair">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hair">
        <color auto="1"/>
      </bottom>
      <diagonal/>
    </border>
    <border>
      <left/>
      <right/>
      <top/>
      <bottom style="hair">
        <color auto="1"/>
      </bottom>
      <diagonal/>
    </border>
    <border>
      <left/>
      <right/>
      <top style="hair">
        <color auto="1"/>
      </top>
      <bottom/>
      <diagonal/>
    </border>
    <border>
      <left style="thin">
        <color auto="1"/>
      </left>
      <right style="thin">
        <color auto="1"/>
      </right>
      <top style="hair">
        <color auto="1"/>
      </top>
      <bottom/>
      <diagonal/>
    </border>
    <border>
      <left style="thin">
        <color auto="1"/>
      </left>
      <right/>
      <top style="thin">
        <color auto="1"/>
      </top>
      <bottom style="thin">
        <color theme="0" tint="-0.24994659260841701"/>
      </bottom>
      <diagonal/>
    </border>
    <border>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auto="1"/>
      </bottom>
      <diagonal/>
    </border>
    <border>
      <left/>
      <right style="thin">
        <color theme="0" tint="-0.24994659260841701"/>
      </right>
      <top/>
      <bottom style="thin">
        <color auto="1"/>
      </bottom>
      <diagonal/>
    </border>
    <border>
      <left style="thin">
        <color auto="1"/>
      </left>
      <right style="thin">
        <color theme="0" tint="-0.24994659260841701"/>
      </right>
      <top style="thin">
        <color theme="0" tint="-0.24994659260841701"/>
      </top>
      <bottom/>
      <diagonal/>
    </border>
    <border>
      <left style="thin">
        <color auto="1"/>
      </left>
      <right style="thin">
        <color theme="0" tint="-0.24994659260841701"/>
      </right>
      <top/>
      <bottom/>
      <diagonal/>
    </border>
    <border>
      <left/>
      <right/>
      <top style="thin">
        <color theme="0" tint="-0.24994659260841701"/>
      </top>
      <bottom/>
      <diagonal/>
    </border>
    <border>
      <left/>
      <right style="thin">
        <color auto="1"/>
      </right>
      <top style="thin">
        <color theme="0" tint="-0.24994659260841701"/>
      </top>
      <bottom/>
      <diagonal/>
    </border>
    <border>
      <left style="thin">
        <color auto="1"/>
      </left>
      <right/>
      <top style="mediumDashed">
        <color auto="1"/>
      </top>
      <bottom/>
      <diagonal/>
    </border>
    <border>
      <left/>
      <right style="thin">
        <color auto="1"/>
      </right>
      <top style="mediumDashed">
        <color auto="1"/>
      </top>
      <bottom/>
      <diagonal/>
    </border>
    <border>
      <left/>
      <right/>
      <top style="mediumDashed">
        <color auto="1"/>
      </top>
      <bottom/>
      <diagonal/>
    </border>
    <border>
      <left style="thin">
        <color auto="1"/>
      </left>
      <right style="thin">
        <color auto="1"/>
      </right>
      <top/>
      <bottom style="mediumDashed">
        <color auto="1"/>
      </bottom>
      <diagonal/>
    </border>
    <border>
      <left style="thin">
        <color auto="1"/>
      </left>
      <right/>
      <top/>
      <bottom style="mediumDashed">
        <color auto="1"/>
      </bottom>
      <diagonal/>
    </border>
    <border>
      <left/>
      <right style="thin">
        <color auto="1"/>
      </right>
      <top/>
      <bottom style="mediumDashed">
        <color auto="1"/>
      </bottom>
      <diagonal/>
    </border>
    <border>
      <left/>
      <right/>
      <top/>
      <bottom style="mediumDashed">
        <color auto="1"/>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style="medium">
        <color rgb="FF606372"/>
      </left>
      <right/>
      <top style="medium">
        <color rgb="FF606372"/>
      </top>
      <bottom style="medium">
        <color rgb="FF606372"/>
      </bottom>
      <diagonal/>
    </border>
    <border>
      <left/>
      <right/>
      <top style="medium">
        <color rgb="FF606372"/>
      </top>
      <bottom style="medium">
        <color rgb="FF606372"/>
      </bottom>
      <diagonal/>
    </border>
    <border>
      <left/>
      <right style="medium">
        <color rgb="FFBFBFBF"/>
      </right>
      <top style="medium">
        <color rgb="FF606372"/>
      </top>
      <bottom style="medium">
        <color rgb="FF606372"/>
      </bottom>
      <diagonal/>
    </border>
    <border>
      <left style="medium">
        <color rgb="FF9D9FAC"/>
      </left>
      <right style="medium">
        <color rgb="FF9D9FAC"/>
      </right>
      <top/>
      <bottom style="medium">
        <color rgb="FF9D9FAC"/>
      </bottom>
      <diagonal/>
    </border>
    <border>
      <left/>
      <right style="medium">
        <color rgb="FF9D9FAC"/>
      </right>
      <top/>
      <bottom style="medium">
        <color rgb="FF9D9FAC"/>
      </bottom>
      <diagonal/>
    </border>
    <border>
      <left/>
      <right style="medium">
        <color rgb="FF9D9FAC"/>
      </right>
      <top/>
      <bottom/>
      <diagonal/>
    </border>
    <border>
      <left/>
      <right style="medium">
        <color rgb="FFBFBFBF"/>
      </right>
      <top/>
      <bottom style="medium">
        <color rgb="FF9D9FAC"/>
      </bottom>
      <diagonal/>
    </border>
    <border>
      <left/>
      <right style="medium">
        <color rgb="FFBFBFBF"/>
      </right>
      <top/>
      <bottom/>
      <diagonal/>
    </border>
    <border>
      <left style="medium">
        <color rgb="FFBFBFBF"/>
      </left>
      <right/>
      <top style="medium">
        <color rgb="FF606372"/>
      </top>
      <bottom style="medium">
        <color rgb="FF606372"/>
      </bottom>
      <diagonal/>
    </border>
    <border>
      <left style="medium">
        <color rgb="FF9D9FAC"/>
      </left>
      <right style="medium">
        <color rgb="FF9D9FAC"/>
      </right>
      <top style="medium">
        <color rgb="FF606372"/>
      </top>
      <bottom/>
      <diagonal/>
    </border>
    <border>
      <left style="medium">
        <color rgb="FFBFBFBF"/>
      </left>
      <right style="medium">
        <color rgb="FF9D9FAC"/>
      </right>
      <top style="medium">
        <color rgb="FF606372"/>
      </top>
      <bottom/>
      <diagonal/>
    </border>
    <border>
      <left style="medium">
        <color rgb="FFBFBFBF"/>
      </left>
      <right style="medium">
        <color rgb="FF9D9FAC"/>
      </right>
      <top/>
      <bottom style="medium">
        <color rgb="FF9D9FAC"/>
      </bottom>
      <diagonal/>
    </border>
    <border>
      <left style="medium">
        <color rgb="FF9D9FAC"/>
      </left>
      <right style="medium">
        <color rgb="FF9D9FAC"/>
      </right>
      <top style="medium">
        <color rgb="FF9D9FAC"/>
      </top>
      <bottom/>
      <diagonal/>
    </border>
    <border>
      <left/>
      <right/>
      <top style="medium">
        <color rgb="FF9D9FAC"/>
      </top>
      <bottom/>
      <diagonal/>
    </border>
    <border>
      <left/>
      <right style="medium">
        <color rgb="FF9D9FAC"/>
      </right>
      <top style="medium">
        <color rgb="FF9D9FAC"/>
      </top>
      <bottom/>
      <diagonal/>
    </border>
    <border>
      <left style="medium">
        <color rgb="FF9D9FAC"/>
      </left>
      <right/>
      <top style="medium">
        <color rgb="FF9D9FAC"/>
      </top>
      <bottom/>
      <diagonal/>
    </border>
    <border>
      <left style="medium">
        <color rgb="FF9D9FAC"/>
      </left>
      <right style="medium">
        <color rgb="FF9D9FAC"/>
      </right>
      <top style="medium">
        <color rgb="FF9D9FAC"/>
      </top>
      <bottom style="medium">
        <color rgb="FF9D9FAC"/>
      </bottom>
      <diagonal/>
    </border>
    <border>
      <left/>
      <right style="medium">
        <color rgb="FF9D9FAC"/>
      </right>
      <top style="medium">
        <color rgb="FF9D9FAC"/>
      </top>
      <bottom style="medium">
        <color rgb="FF9D9FAC"/>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top/>
      <bottom style="thin">
        <color theme="0" tint="-0.24994659260841701"/>
      </bottom>
      <diagonal/>
    </border>
    <border>
      <left/>
      <right style="thin">
        <color auto="1"/>
      </right>
      <top/>
      <bottom style="thin">
        <color theme="0" tint="-0.24994659260841701"/>
      </bottom>
      <diagonal/>
    </border>
    <border>
      <left/>
      <right style="thin">
        <color auto="1"/>
      </right>
      <top style="thin">
        <color theme="0" tint="-0.24994659260841701"/>
      </top>
      <bottom style="thin">
        <color theme="0" tint="-0.24994659260841701"/>
      </bottom>
      <diagonal/>
    </border>
    <border>
      <left style="thin">
        <color auto="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medium">
        <color rgb="FF9D9FAC"/>
      </left>
      <right/>
      <top style="medium">
        <color rgb="FF9D9FAC"/>
      </top>
      <bottom style="medium">
        <color rgb="FF9D9FAC"/>
      </bottom>
      <diagonal/>
    </border>
    <border>
      <left/>
      <right/>
      <top style="medium">
        <color rgb="FF9D9FAC"/>
      </top>
      <bottom style="medium">
        <color rgb="FF9D9FAC"/>
      </bottom>
      <diagonal/>
    </border>
    <border>
      <left style="medium">
        <color rgb="FFBFBFBF"/>
      </left>
      <right style="medium">
        <color rgb="FFBFBFBF"/>
      </right>
      <top style="medium">
        <color rgb="FF606372"/>
      </top>
      <bottom/>
      <diagonal/>
    </border>
    <border>
      <left style="medium">
        <color rgb="FFBFBFBF"/>
      </left>
      <right style="medium">
        <color rgb="FFBFBFBF"/>
      </right>
      <top/>
      <bottom style="medium">
        <color rgb="FF9D9FAC"/>
      </bottom>
      <diagonal/>
    </border>
    <border>
      <left style="medium">
        <color rgb="FF9D9FAC"/>
      </left>
      <right/>
      <top style="medium">
        <color rgb="FF606372"/>
      </top>
      <bottom style="medium">
        <color rgb="FF9D9FAC"/>
      </bottom>
      <diagonal/>
    </border>
    <border>
      <left/>
      <right/>
      <top style="medium">
        <color rgb="FF606372"/>
      </top>
      <bottom style="medium">
        <color rgb="FF9D9FAC"/>
      </bottom>
      <diagonal/>
    </border>
    <border>
      <left/>
      <right style="medium">
        <color rgb="FF9D9FAC"/>
      </right>
      <top style="medium">
        <color rgb="FF606372"/>
      </top>
      <bottom style="medium">
        <color rgb="FF9D9FAC"/>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diagonal/>
    </border>
    <border>
      <left/>
      <right style="thin">
        <color rgb="FFBFBFBF"/>
      </right>
      <top/>
      <bottom/>
      <diagonal/>
    </border>
    <border>
      <left style="thin">
        <color rgb="FFBFBFBF"/>
      </left>
      <right style="thin">
        <color theme="0" tint="-0.24994659260841701"/>
      </right>
      <top style="thin">
        <color rgb="FFBFBFBF"/>
      </top>
      <bottom/>
      <diagonal/>
    </border>
    <border>
      <left style="thin">
        <color rgb="FFBFBFBF"/>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rgb="FFBFBFBF"/>
      </right>
      <top/>
      <bottom style="thin">
        <color theme="0" tint="-0.24994659260841701"/>
      </bottom>
      <diagonal/>
    </border>
    <border>
      <left style="thin">
        <color rgb="FFBFBFBF"/>
      </left>
      <right style="thin">
        <color theme="0" tint="-0.24994659260841701"/>
      </right>
      <top/>
      <bottom style="thin">
        <color rgb="FFBFBFBF"/>
      </bottom>
      <diagonal/>
    </border>
    <border>
      <left/>
      <right style="thin">
        <color theme="0" tint="-0.24994659260841701"/>
      </right>
      <top/>
      <bottom style="thin">
        <color rgb="FFBFBFBF"/>
      </bottom>
      <diagonal/>
    </border>
    <border>
      <left style="thin">
        <color theme="0" tint="-0.24994659260841701"/>
      </left>
      <right/>
      <top/>
      <bottom style="thin">
        <color rgb="FFBFBFBF"/>
      </bottom>
      <diagonal/>
    </border>
    <border>
      <left/>
      <right style="thin">
        <color rgb="FFBFBFBF"/>
      </right>
      <top style="thin">
        <color theme="0" tint="-0.24994659260841701"/>
      </top>
      <bottom/>
      <diagonal/>
    </border>
    <border>
      <left style="thin">
        <color rgb="FFBFBFBF"/>
      </left>
      <right style="thin">
        <color rgb="FFBFBFBF"/>
      </right>
      <top style="thin">
        <color rgb="FFBFBFBF"/>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rgb="FFBFBFBF"/>
      </top>
      <bottom style="thin">
        <color rgb="FFBFBFBF"/>
      </bottom>
      <diagonal/>
    </border>
  </borders>
  <cellStyleXfs count="3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lignment vertical="top"/>
    </xf>
    <xf numFmtId="0" fontId="5" fillId="0" borderId="0"/>
    <xf numFmtId="43" fontId="5"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3" fontId="3"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 fillId="4" borderId="0" applyNumberFormat="0" applyFont="0" applyAlignment="0" applyProtection="0"/>
    <xf numFmtId="174" fontId="3" fillId="0" borderId="0" applyFont="0" applyFill="0" applyBorder="0" applyAlignment="0" applyProtection="0"/>
    <xf numFmtId="175" fontId="3" fillId="0" borderId="0" applyFont="0" applyFill="0" applyBorder="0" applyProtection="0">
      <alignment horizontal="right"/>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1" fillId="0" borderId="17" applyNumberFormat="0" applyFill="0" applyAlignment="0" applyProtection="0"/>
    <xf numFmtId="0" fontId="12" fillId="0" borderId="18" applyNumberFormat="0" applyFill="0" applyProtection="0">
      <alignment horizontal="center"/>
    </xf>
    <xf numFmtId="0" fontId="12" fillId="0" borderId="0" applyNumberFormat="0" applyFill="0" applyBorder="0" applyProtection="0">
      <alignment horizontal="left"/>
    </xf>
    <xf numFmtId="0" fontId="13" fillId="0" borderId="0" applyNumberFormat="0" applyFill="0" applyBorder="0" applyProtection="0">
      <alignment horizontal="centerContinuous"/>
    </xf>
    <xf numFmtId="0" fontId="14" fillId="0" borderId="0" applyNumberFormat="0" applyFill="0" applyBorder="0" applyAlignment="0" applyProtection="0"/>
    <xf numFmtId="0" fontId="15" fillId="0" borderId="0"/>
    <xf numFmtId="176" fontId="16" fillId="0" borderId="0">
      <alignment horizontal="center"/>
    </xf>
    <xf numFmtId="37" fontId="17" fillId="0" borderId="0"/>
    <xf numFmtId="37" fontId="18" fillId="0" borderId="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 fillId="0" borderId="0" applyAlignment="0" applyProtection="0"/>
    <xf numFmtId="178" fontId="20" fillId="0" borderId="0" applyFill="0" applyBorder="0" applyAlignment="0"/>
    <xf numFmtId="179" fontId="3" fillId="0" borderId="0" applyFill="0" applyBorder="0" applyAlignment="0"/>
    <xf numFmtId="180" fontId="3" fillId="0" borderId="0" applyFill="0" applyBorder="0" applyAlignment="0"/>
    <xf numFmtId="164" fontId="3" fillId="0" borderId="0" applyFill="0" applyBorder="0" applyAlignment="0"/>
    <xf numFmtId="181" fontId="3" fillId="0" borderId="0" applyFill="0" applyBorder="0" applyAlignment="0"/>
    <xf numFmtId="182" fontId="3" fillId="0" borderId="0" applyFill="0" applyBorder="0" applyAlignment="0"/>
    <xf numFmtId="183" fontId="3" fillId="0" borderId="0" applyFill="0" applyBorder="0" applyAlignment="0"/>
    <xf numFmtId="184" fontId="3" fillId="0" borderId="0" applyFill="0" applyBorder="0" applyAlignment="0"/>
    <xf numFmtId="185" fontId="3" fillId="0" borderId="0" applyFill="0" applyBorder="0" applyAlignment="0"/>
    <xf numFmtId="186" fontId="3" fillId="0" borderId="0" applyFill="0" applyBorder="0" applyAlignment="0"/>
    <xf numFmtId="178" fontId="20"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0" fontId="21" fillId="0" borderId="0" applyFill="0" applyBorder="0" applyProtection="0">
      <alignment horizontal="center"/>
      <protection locked="0"/>
    </xf>
    <xf numFmtId="0" fontId="22"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1" fontId="22" fillId="0" borderId="7"/>
    <xf numFmtId="192" fontId="1" fillId="0" borderId="0"/>
    <xf numFmtId="0" fontId="15" fillId="0" borderId="7"/>
    <xf numFmtId="192" fontId="1" fillId="0" borderId="0"/>
    <xf numFmtId="178" fontId="3" fillId="0" borderId="0" applyFont="0" applyFill="0" applyBorder="0" applyAlignment="0" applyProtection="0"/>
    <xf numFmtId="187" fontId="3" fillId="0" borderId="0" applyFont="0" applyFill="0" applyBorder="0" applyAlignment="0" applyProtection="0"/>
    <xf numFmtId="43" fontId="3" fillId="0" borderId="0" applyFont="0" applyFill="0" applyBorder="0" applyAlignment="0" applyProtection="0">
      <alignment wrapText="1"/>
    </xf>
    <xf numFmtId="43" fontId="1" fillId="0" borderId="0" applyFont="0" applyFill="0" applyBorder="0" applyAlignment="0" applyProtection="0"/>
    <xf numFmtId="43" fontId="3" fillId="0" borderId="0" applyFont="0" applyFill="0" applyBorder="0" applyAlignment="0" applyProtection="0">
      <alignment wrapText="1"/>
    </xf>
    <xf numFmtId="43" fontId="3" fillId="0" borderId="0" applyFont="0" applyFill="0" applyBorder="0" applyAlignment="0" applyProtection="0">
      <alignment wrapText="1"/>
    </xf>
    <xf numFmtId="43" fontId="3" fillId="0" borderId="0" applyFont="0" applyFill="0" applyBorder="0" applyAlignment="0" applyProtection="0"/>
    <xf numFmtId="4" fontId="22" fillId="0" borderId="0" applyFont="0" applyFill="0" applyBorder="0" applyAlignment="0" applyProtection="0"/>
    <xf numFmtId="4" fontId="22" fillId="0" borderId="0" applyFont="0" applyFill="0" applyBorder="0" applyAlignment="0" applyProtection="0"/>
    <xf numFmtId="43" fontId="1" fillId="0" borderId="0" applyFont="0" applyFill="0" applyBorder="0" applyAlignment="0" applyProtection="0"/>
    <xf numFmtId="4" fontId="1" fillId="0" borderId="0" applyFont="0" applyFill="0" applyBorder="0" applyAlignment="0" applyProtection="0"/>
    <xf numFmtId="43" fontId="23" fillId="0" borderId="0" applyFont="0" applyFill="0" applyBorder="0" applyAlignment="0" applyProtection="0"/>
    <xf numFmtId="4" fontId="1" fillId="0" borderId="0" applyFont="0" applyFill="0" applyBorder="0" applyAlignment="0" applyProtection="0"/>
    <xf numFmtId="4" fontId="15"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0" fontId="24" fillId="0" borderId="0" applyNumberFormat="0" applyFill="0" applyBorder="0" applyAlignment="0" applyProtection="0"/>
    <xf numFmtId="0" fontId="25" fillId="0" borderId="0" applyFill="0" applyBorder="0" applyAlignment="0" applyProtection="0">
      <protection locked="0"/>
    </xf>
    <xf numFmtId="193" fontId="3" fillId="0" borderId="0">
      <alignment horizontal="center"/>
    </xf>
    <xf numFmtId="194" fontId="26" fillId="0" borderId="0" applyFill="0" applyBorder="0" applyProtection="0"/>
    <xf numFmtId="195" fontId="27" fillId="0" borderId="0" applyFont="0" applyFill="0" applyBorder="0" applyAlignment="0" applyProtection="0"/>
    <xf numFmtId="196" fontId="28" fillId="0" borderId="19">
      <protection hidden="1"/>
    </xf>
    <xf numFmtId="180" fontId="3" fillId="0" borderId="0" applyFont="0" applyFill="0" applyBorder="0" applyAlignment="0" applyProtection="0"/>
    <xf numFmtId="164" fontId="3" fillId="0" borderId="0" applyFont="0" applyFill="0" applyBorder="0" applyAlignment="0" applyProtection="0"/>
    <xf numFmtId="8" fontId="1" fillId="0" borderId="0" applyFont="0" applyFill="0" applyBorder="0" applyAlignment="0" applyProtection="0"/>
    <xf numFmtId="44" fontId="3" fillId="0" borderId="0" applyFont="0" applyFill="0" applyBorder="0" applyAlignment="0" applyProtection="0"/>
    <xf numFmtId="0" fontId="24" fillId="0" borderId="0" applyNumberFormat="0" applyFill="0" applyBorder="0" applyAlignment="0" applyProtection="0"/>
    <xf numFmtId="1" fontId="16" fillId="0" borderId="0"/>
    <xf numFmtId="14" fontId="29" fillId="0" borderId="0">
      <alignment horizontal="center"/>
    </xf>
    <xf numFmtId="14" fontId="20" fillId="0" borderId="0" applyFill="0" applyBorder="0" applyAlignment="0"/>
    <xf numFmtId="15" fontId="30" fillId="5" borderId="0" applyNumberFormat="0" applyFont="0" applyFill="0" applyBorder="0" applyAlignment="0">
      <alignment horizontal="center" wrapText="1"/>
    </xf>
    <xf numFmtId="0" fontId="20" fillId="0" borderId="16" applyNumberFormat="0" applyFill="0" applyBorder="0" applyAlignment="0" applyProtection="0"/>
    <xf numFmtId="197" fontId="22" fillId="0" borderId="0" applyFont="0" applyFill="0" applyBorder="0" applyAlignment="0" applyProtection="0"/>
    <xf numFmtId="198" fontId="27" fillId="0" borderId="0" applyFont="0" applyFill="0" applyBorder="0" applyAlignment="0" applyProtection="0"/>
    <xf numFmtId="178" fontId="31"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1"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196" fontId="28" fillId="0" borderId="19">
      <protection hidden="1"/>
    </xf>
    <xf numFmtId="199" fontId="3" fillId="0" borderId="0" applyFont="0" applyFill="0" applyBorder="0" applyAlignment="0" applyProtection="0"/>
    <xf numFmtId="38" fontId="32" fillId="5" borderId="0" applyNumberFormat="0" applyBorder="0" applyAlignment="0" applyProtection="0"/>
    <xf numFmtId="0" fontId="33" fillId="0" borderId="20" applyNumberFormat="0" applyAlignment="0" applyProtection="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1" fillId="0" borderId="0">
      <alignment horizontal="left" vertical="center"/>
    </xf>
    <xf numFmtId="14" fontId="34" fillId="6" borderId="19">
      <alignment horizontal="center" vertical="center" wrapText="1"/>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1" fillId="0" borderId="0" applyFill="0" applyAlignment="0" applyProtection="0">
      <protection locked="0"/>
    </xf>
    <xf numFmtId="0" fontId="21" fillId="0" borderId="7" applyFill="0" applyAlignment="0" applyProtection="0">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10" fontId="32" fillId="7" borderId="16" applyNumberFormat="0" applyBorder="0" applyAlignment="0" applyProtection="0"/>
    <xf numFmtId="178" fontId="38"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8"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200" fontId="3" fillId="0" borderId="0" applyFont="0" applyFill="0" applyBorder="0" applyAlignment="0" applyProtection="0"/>
    <xf numFmtId="201" fontId="3" fillId="0" borderId="0" applyFont="0" applyFill="0" applyBorder="0" applyAlignment="0" applyProtection="0"/>
    <xf numFmtId="38" fontId="39" fillId="0" borderId="0" applyFont="0" applyFill="0" applyBorder="0" applyAlignment="0" applyProtection="0"/>
    <xf numFmtId="40" fontId="39" fillId="0" borderId="0" applyFont="0" applyFill="0" applyBorder="0" applyAlignment="0" applyProtection="0"/>
    <xf numFmtId="202" fontId="3" fillId="0" borderId="0" applyFont="0" applyFill="0" applyBorder="0" applyAlignment="0" applyProtection="0"/>
    <xf numFmtId="203" fontId="3" fillId="0" borderId="0" applyFont="0" applyFill="0" applyBorder="0" applyAlignment="0" applyProtection="0"/>
    <xf numFmtId="6" fontId="39" fillId="0" borderId="0" applyFont="0" applyFill="0" applyBorder="0" applyAlignment="0" applyProtection="0"/>
    <xf numFmtId="8" fontId="39" fillId="0" borderId="0" applyFont="0" applyFill="0" applyBorder="0" applyAlignment="0" applyProtection="0"/>
    <xf numFmtId="204" fontId="16" fillId="0" borderId="7"/>
    <xf numFmtId="37" fontId="40" fillId="0" borderId="0"/>
    <xf numFmtId="205" fontId="22" fillId="0" borderId="0"/>
    <xf numFmtId="205" fontId="1" fillId="0" borderId="0"/>
    <xf numFmtId="206" fontId="3" fillId="0" borderId="0"/>
    <xf numFmtId="207" fontId="3" fillId="0" borderId="0"/>
    <xf numFmtId="0" fontId="41" fillId="0" borderId="0"/>
    <xf numFmtId="0" fontId="41" fillId="0" borderId="0"/>
    <xf numFmtId="0" fontId="41" fillId="0" borderId="0"/>
    <xf numFmtId="0" fontId="41" fillId="0" borderId="0"/>
    <xf numFmtId="0" fontId="3" fillId="0" borderId="0"/>
    <xf numFmtId="0" fontId="3" fillId="0" borderId="0"/>
    <xf numFmtId="0" fontId="1" fillId="0" borderId="0"/>
    <xf numFmtId="0" fontId="3" fillId="0" borderId="0"/>
    <xf numFmtId="0" fontId="3" fillId="0" borderId="0">
      <alignment wrapText="1"/>
    </xf>
    <xf numFmtId="0" fontId="3" fillId="0" borderId="0"/>
    <xf numFmtId="0" fontId="42" fillId="0" borderId="0"/>
    <xf numFmtId="0" fontId="3" fillId="0" borderId="0"/>
    <xf numFmtId="0" fontId="3" fillId="0" borderId="0"/>
    <xf numFmtId="37" fontId="43" fillId="0" borderId="0"/>
    <xf numFmtId="0" fontId="1" fillId="0" borderId="0"/>
    <xf numFmtId="0" fontId="1" fillId="0" borderId="0"/>
    <xf numFmtId="0" fontId="3" fillId="0" borderId="0">
      <alignment wrapText="1"/>
    </xf>
    <xf numFmtId="0" fontId="3" fillId="0" borderId="0"/>
    <xf numFmtId="37" fontId="43" fillId="0" borderId="0"/>
    <xf numFmtId="0" fontId="3" fillId="0" borderId="0"/>
    <xf numFmtId="37" fontId="43" fillId="0" borderId="0"/>
    <xf numFmtId="0" fontId="1" fillId="0" borderId="0"/>
    <xf numFmtId="0" fontId="23" fillId="0" borderId="0"/>
    <xf numFmtId="37" fontId="1" fillId="0" borderId="0"/>
    <xf numFmtId="0" fontId="1" fillId="0" borderId="0"/>
    <xf numFmtId="37" fontId="1" fillId="0" borderId="0"/>
    <xf numFmtId="0" fontId="3" fillId="0" borderId="0">
      <alignment wrapText="1"/>
    </xf>
    <xf numFmtId="37" fontId="44" fillId="0" borderId="0"/>
    <xf numFmtId="0" fontId="3" fillId="0" borderId="0"/>
    <xf numFmtId="37" fontId="3" fillId="0" borderId="0"/>
    <xf numFmtId="37" fontId="3" fillId="0" borderId="0"/>
    <xf numFmtId="208" fontId="3" fillId="0" borderId="0"/>
    <xf numFmtId="209" fontId="3" fillId="0" borderId="0"/>
    <xf numFmtId="39" fontId="3" fillId="0" borderId="0"/>
    <xf numFmtId="39" fontId="3" fillId="0" borderId="0"/>
    <xf numFmtId="210" fontId="3" fillId="0" borderId="0"/>
    <xf numFmtId="211" fontId="3" fillId="0" borderId="0"/>
    <xf numFmtId="212" fontId="3" fillId="0" borderId="0"/>
    <xf numFmtId="213" fontId="3" fillId="0" borderId="0"/>
    <xf numFmtId="214" fontId="3" fillId="0" borderId="0"/>
    <xf numFmtId="215" fontId="3" fillId="0" borderId="0"/>
    <xf numFmtId="216" fontId="3" fillId="0" borderId="0"/>
    <xf numFmtId="217" fontId="39" fillId="0" borderId="0"/>
    <xf numFmtId="218" fontId="28" fillId="0" borderId="0">
      <protection hidden="1"/>
    </xf>
    <xf numFmtId="185" fontId="3" fillId="0" borderId="0" applyFont="0" applyFill="0" applyBorder="0" applyAlignment="0" applyProtection="0"/>
    <xf numFmtId="186" fontId="3" fillId="0" borderId="0" applyFont="0" applyFill="0" applyBorder="0" applyAlignment="0" applyProtection="0"/>
    <xf numFmtId="206" fontId="3" fillId="0" borderId="0" applyFont="0" applyFill="0" applyBorder="0" applyAlignment="0" applyProtection="0"/>
    <xf numFmtId="207" fontId="3" fillId="0" borderId="0" applyFont="0" applyFill="0" applyBorder="0" applyAlignment="0" applyProtection="0"/>
    <xf numFmtId="10" fontId="3" fillId="0" borderId="0" applyFont="0" applyFill="0" applyBorder="0" applyAlignment="0" applyProtection="0"/>
    <xf numFmtId="9" fontId="45"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9" fontId="39" fillId="0" borderId="21" applyNumberFormat="0" applyBorder="0"/>
    <xf numFmtId="204" fontId="16" fillId="0" borderId="0"/>
    <xf numFmtId="0" fontId="46" fillId="8" borderId="22" applyNumberFormat="0" applyFont="0" applyFill="0" applyAlignment="0">
      <alignment horizontal="center" vertical="center"/>
    </xf>
    <xf numFmtId="178" fontId="47"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47"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37" fontId="43" fillId="0" borderId="23"/>
    <xf numFmtId="0" fontId="48" fillId="0" borderId="0"/>
    <xf numFmtId="0" fontId="22" fillId="0" borderId="0"/>
    <xf numFmtId="0" fontId="39" fillId="0" borderId="0"/>
    <xf numFmtId="37" fontId="49" fillId="0" borderId="19">
      <alignment horizontal="right"/>
      <protection locked="0"/>
    </xf>
    <xf numFmtId="37" fontId="50" fillId="0" borderId="19">
      <alignment horizontal="right"/>
      <protection locked="0"/>
    </xf>
    <xf numFmtId="49" fontId="20" fillId="0" borderId="0" applyFill="0" applyBorder="0" applyAlignment="0"/>
    <xf numFmtId="219" fontId="3" fillId="0" borderId="0" applyFill="0" applyBorder="0" applyAlignment="0"/>
    <xf numFmtId="220" fontId="3" fillId="0" borderId="0" applyFill="0" applyBorder="0" applyAlignment="0"/>
    <xf numFmtId="221" fontId="3" fillId="0" borderId="0" applyFill="0" applyBorder="0" applyAlignment="0"/>
    <xf numFmtId="222" fontId="3" fillId="0" borderId="0" applyFill="0" applyBorder="0" applyAlignment="0"/>
    <xf numFmtId="49" fontId="3" fillId="0" borderId="0"/>
    <xf numFmtId="0" fontId="51" fillId="0" borderId="0" applyFill="0" applyBorder="0" applyProtection="0">
      <alignment horizontal="left" vertical="top"/>
    </xf>
    <xf numFmtId="40" fontId="5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37" fontId="43" fillId="0" borderId="7"/>
    <xf numFmtId="37" fontId="43" fillId="0" borderId="24"/>
    <xf numFmtId="223" fontId="3" fillId="0" borderId="0" applyFont="0" applyFill="0" applyBorder="0" applyAlignment="0" applyProtection="0"/>
    <xf numFmtId="224" fontId="3" fillId="0" borderId="0" applyFont="0" applyFill="0" applyBorder="0" applyAlignment="0" applyProtection="0"/>
    <xf numFmtId="0" fontId="3" fillId="0" borderId="0"/>
    <xf numFmtId="0" fontId="3" fillId="0" borderId="0"/>
    <xf numFmtId="0" fontId="53" fillId="0" borderId="0" applyNumberFormat="0" applyFill="0" applyBorder="0" applyAlignment="0" applyProtection="0"/>
  </cellStyleXfs>
  <cellXfs count="851">
    <xf numFmtId="0" fontId="0" fillId="0" borderId="0" xfId="0"/>
    <xf numFmtId="165" fontId="0" fillId="0" borderId="0" xfId="1" applyNumberFormat="1" applyFont="1"/>
    <xf numFmtId="166" fontId="0" fillId="0" borderId="0" xfId="2" applyNumberFormat="1" applyFont="1"/>
    <xf numFmtId="164" fontId="4" fillId="0" borderId="0" xfId="1" applyNumberFormat="1" applyFont="1" applyAlignment="1">
      <alignment horizontal="right"/>
    </xf>
    <xf numFmtId="0" fontId="4" fillId="0" borderId="0" xfId="0" applyFont="1"/>
    <xf numFmtId="0" fontId="0" fillId="0" borderId="0" xfId="0" applyAlignment="1">
      <alignment wrapText="1"/>
    </xf>
    <xf numFmtId="0" fontId="0" fillId="0" borderId="0" xfId="0"/>
    <xf numFmtId="0" fontId="2" fillId="0" borderId="0" xfId="0" applyFont="1" applyAlignment="1">
      <alignment horizontal="left"/>
    </xf>
    <xf numFmtId="0" fontId="0" fillId="0" borderId="0" xfId="0" applyFill="1" applyBorder="1"/>
    <xf numFmtId="0" fontId="0" fillId="0" borderId="0" xfId="0" applyFill="1" applyAlignment="1">
      <alignment horizontal="center" textRotation="90"/>
    </xf>
    <xf numFmtId="0" fontId="54" fillId="0" borderId="0" xfId="0" applyFont="1" applyFill="1" applyAlignment="1">
      <alignment horizontal="center" vertical="center" wrapText="1"/>
    </xf>
    <xf numFmtId="0" fontId="0" fillId="0" borderId="0" xfId="0" applyAlignment="1">
      <alignment horizontal="center" vertical="center"/>
    </xf>
    <xf numFmtId="165" fontId="0" fillId="0" borderId="0" xfId="1" applyNumberFormat="1" applyFont="1" applyFill="1" applyBorder="1"/>
    <xf numFmtId="164" fontId="6" fillId="0" borderId="0" xfId="1" quotePrefix="1" applyNumberFormat="1" applyFont="1" applyFill="1" applyBorder="1" applyAlignment="1">
      <alignment horizontal="left"/>
    </xf>
    <xf numFmtId="164" fontId="6" fillId="0" borderId="0" xfId="1" quotePrefix="1" applyNumberFormat="1" applyFont="1" applyFill="1" applyBorder="1" applyAlignment="1">
      <alignment horizontal="right"/>
    </xf>
    <xf numFmtId="164" fontId="0" fillId="0" borderId="0" xfId="1" applyNumberFormat="1" applyFont="1" applyFill="1" applyBorder="1"/>
    <xf numFmtId="166" fontId="0" fillId="0" borderId="0" xfId="2" applyNumberFormat="1" applyFont="1" applyFill="1" applyBorder="1"/>
    <xf numFmtId="0" fontId="0" fillId="0" borderId="3" xfId="0" applyBorder="1"/>
    <xf numFmtId="0" fontId="0" fillId="0" borderId="6" xfId="0" applyBorder="1"/>
    <xf numFmtId="1" fontId="0" fillId="0" borderId="40" xfId="0" applyNumberFormat="1" applyBorder="1" applyAlignment="1">
      <alignment horizontal="center" vertical="center"/>
    </xf>
    <xf numFmtId="1" fontId="0" fillId="0" borderId="42" xfId="0" applyNumberFormat="1" applyBorder="1" applyAlignment="1">
      <alignment horizontal="center" vertical="center"/>
    </xf>
    <xf numFmtId="164" fontId="6" fillId="2" borderId="38" xfId="1" quotePrefix="1" applyNumberFormat="1" applyFont="1" applyFill="1" applyBorder="1" applyAlignment="1">
      <alignment horizontal="center" vertical="center" wrapText="1"/>
    </xf>
    <xf numFmtId="164" fontId="6" fillId="2" borderId="39" xfId="1" quotePrefix="1" applyNumberFormat="1" applyFont="1" applyFill="1" applyBorder="1" applyAlignment="1">
      <alignment horizontal="center" vertical="center" wrapText="1"/>
    </xf>
    <xf numFmtId="164" fontId="6" fillId="2" borderId="46" xfId="1" quotePrefix="1" applyNumberFormat="1" applyFont="1" applyFill="1" applyBorder="1" applyAlignment="1">
      <alignment horizontal="center" vertical="center" wrapText="1"/>
    </xf>
    <xf numFmtId="164" fontId="6" fillId="2" borderId="47" xfId="1" quotePrefix="1" applyNumberFormat="1" applyFont="1" applyFill="1" applyBorder="1" applyAlignment="1">
      <alignment horizontal="center" vertical="center" wrapText="1"/>
    </xf>
    <xf numFmtId="164" fontId="6" fillId="2" borderId="40" xfId="1" quotePrefix="1" applyNumberFormat="1" applyFont="1" applyFill="1" applyBorder="1" applyAlignment="1">
      <alignment horizontal="center" vertical="center" wrapText="1"/>
    </xf>
    <xf numFmtId="164" fontId="6" fillId="2" borderId="41" xfId="1" quotePrefix="1" applyNumberFormat="1" applyFont="1" applyFill="1" applyBorder="1" applyAlignment="1">
      <alignment horizontal="center" vertical="center" wrapText="1"/>
    </xf>
    <xf numFmtId="43" fontId="57" fillId="0" borderId="9" xfId="1" applyNumberFormat="1" applyFont="1" applyFill="1" applyBorder="1" applyAlignment="1">
      <alignment horizontal="right"/>
    </xf>
    <xf numFmtId="0" fontId="4" fillId="0" borderId="0" xfId="0" applyFont="1" applyAlignment="1">
      <alignment horizontal="right"/>
    </xf>
    <xf numFmtId="0" fontId="58" fillId="0" borderId="0" xfId="329" applyFont="1" applyAlignment="1">
      <alignment horizontal="right"/>
    </xf>
    <xf numFmtId="43" fontId="4" fillId="0" borderId="0" xfId="1" applyFont="1" applyAlignment="1">
      <alignment horizontal="right"/>
    </xf>
    <xf numFmtId="165" fontId="4" fillId="0" borderId="0" xfId="1" applyNumberFormat="1" applyFont="1" applyAlignment="1">
      <alignment horizontal="right"/>
    </xf>
    <xf numFmtId="43" fontId="4" fillId="0" borderId="0" xfId="1" applyFont="1" applyFill="1" applyAlignment="1">
      <alignment horizontal="left"/>
    </xf>
    <xf numFmtId="165" fontId="4" fillId="0" borderId="0" xfId="1" applyNumberFormat="1" applyFont="1" applyFill="1" applyAlignment="1">
      <alignment horizontal="right"/>
    </xf>
    <xf numFmtId="43" fontId="4" fillId="0" borderId="0" xfId="1" applyFont="1" applyFill="1" applyAlignment="1">
      <alignment horizontal="right"/>
    </xf>
    <xf numFmtId="20" fontId="4" fillId="0" borderId="0" xfId="1" applyNumberFormat="1" applyFont="1" applyFill="1" applyAlignment="1">
      <alignment horizontal="right"/>
    </xf>
    <xf numFmtId="9" fontId="4" fillId="0" borderId="0" xfId="2" applyNumberFormat="1" applyFont="1" applyAlignment="1">
      <alignment horizontal="right"/>
    </xf>
    <xf numFmtId="167" fontId="4" fillId="0" borderId="0" xfId="1" applyNumberFormat="1" applyFont="1" applyAlignment="1">
      <alignment horizontal="right"/>
    </xf>
    <xf numFmtId="43" fontId="4" fillId="0" borderId="0" xfId="1" applyFont="1" applyFill="1"/>
    <xf numFmtId="165" fontId="4" fillId="0" borderId="0" xfId="0" applyNumberFormat="1" applyFont="1" applyFill="1"/>
    <xf numFmtId="167" fontId="4" fillId="0" borderId="0" xfId="1" applyNumberFormat="1" applyFont="1" applyFill="1"/>
    <xf numFmtId="165" fontId="4" fillId="0" borderId="0" xfId="1" applyNumberFormat="1" applyFont="1" applyFill="1" applyBorder="1" applyAlignment="1">
      <alignment horizontal="right"/>
    </xf>
    <xf numFmtId="165" fontId="4" fillId="0" borderId="5" xfId="1" applyNumberFormat="1" applyFont="1" applyFill="1" applyBorder="1" applyAlignment="1">
      <alignment horizontal="right"/>
    </xf>
    <xf numFmtId="165" fontId="4" fillId="0" borderId="5" xfId="1" applyNumberFormat="1" applyFont="1" applyBorder="1" applyAlignment="1">
      <alignment horizontal="right"/>
    </xf>
    <xf numFmtId="9" fontId="4" fillId="0" borderId="7" xfId="2" applyFont="1" applyFill="1" applyBorder="1" applyAlignment="1">
      <alignment horizontal="right"/>
    </xf>
    <xf numFmtId="0" fontId="57" fillId="0" borderId="0" xfId="0" applyFont="1" applyFill="1" applyBorder="1" applyAlignment="1">
      <alignment horizontal="left"/>
    </xf>
    <xf numFmtId="164" fontId="59" fillId="0" borderId="0" xfId="1" quotePrefix="1" applyNumberFormat="1" applyFont="1" applyFill="1" applyBorder="1" applyAlignment="1">
      <alignment horizontal="right"/>
    </xf>
    <xf numFmtId="164" fontId="59" fillId="0" borderId="0" xfId="1" quotePrefix="1" applyNumberFormat="1" applyFont="1" applyBorder="1" applyAlignment="1">
      <alignment horizontal="right"/>
    </xf>
    <xf numFmtId="164" fontId="59" fillId="0" borderId="5" xfId="1" quotePrefix="1" applyNumberFormat="1" applyFont="1" applyFill="1" applyBorder="1" applyAlignment="1">
      <alignment horizontal="right"/>
    </xf>
    <xf numFmtId="165" fontId="4" fillId="0" borderId="0" xfId="1" quotePrefix="1" applyNumberFormat="1" applyFont="1" applyFill="1" applyBorder="1" applyAlignment="1">
      <alignment horizontal="right"/>
    </xf>
    <xf numFmtId="165" fontId="4" fillId="0" borderId="5" xfId="1" quotePrefix="1" applyNumberFormat="1" applyFont="1" applyBorder="1" applyAlignment="1">
      <alignment horizontal="right"/>
    </xf>
    <xf numFmtId="165" fontId="4" fillId="0" borderId="31" xfId="1" quotePrefix="1" applyNumberFormat="1" applyFont="1" applyBorder="1" applyAlignment="1">
      <alignment horizontal="right"/>
    </xf>
    <xf numFmtId="0" fontId="4" fillId="0" borderId="0" xfId="0" applyFont="1" applyAlignment="1">
      <alignment horizontal="left"/>
    </xf>
    <xf numFmtId="0" fontId="4" fillId="0" borderId="0" xfId="0" applyFont="1" applyFill="1"/>
    <xf numFmtId="165" fontId="4" fillId="0" borderId="5" xfId="1" quotePrefix="1" applyNumberFormat="1" applyFont="1" applyFill="1" applyBorder="1" applyAlignment="1">
      <alignment horizontal="right"/>
    </xf>
    <xf numFmtId="0" fontId="57" fillId="0" borderId="0" xfId="0" applyFont="1"/>
    <xf numFmtId="165" fontId="4" fillId="0" borderId="31" xfId="1" quotePrefix="1" applyNumberFormat="1" applyFont="1" applyFill="1" applyBorder="1" applyAlignment="1">
      <alignment horizontal="right"/>
    </xf>
    <xf numFmtId="9" fontId="4" fillId="0" borderId="5" xfId="2" quotePrefix="1" applyFont="1" applyBorder="1" applyAlignment="1">
      <alignment horizontal="right"/>
    </xf>
    <xf numFmtId="9" fontId="4" fillId="0" borderId="0" xfId="2" quotePrefix="1" applyFont="1" applyFill="1" applyBorder="1" applyAlignment="1">
      <alignment horizontal="right"/>
    </xf>
    <xf numFmtId="0" fontId="4" fillId="0" borderId="0" xfId="0" applyFont="1" applyBorder="1"/>
    <xf numFmtId="9" fontId="4" fillId="0" borderId="0" xfId="2" applyFont="1" applyBorder="1" applyAlignment="1">
      <alignment horizontal="right"/>
    </xf>
    <xf numFmtId="9" fontId="4" fillId="0" borderId="5" xfId="2" applyFont="1" applyBorder="1" applyAlignment="1">
      <alignment horizontal="right"/>
    </xf>
    <xf numFmtId="9" fontId="4" fillId="0" borderId="0" xfId="2" applyFont="1" applyFill="1" applyBorder="1" applyAlignment="1">
      <alignment horizontal="right"/>
    </xf>
    <xf numFmtId="9" fontId="4" fillId="0" borderId="8" xfId="2" applyFont="1" applyFill="1" applyBorder="1" applyAlignment="1">
      <alignment horizontal="right"/>
    </xf>
    <xf numFmtId="164" fontId="4" fillId="0" borderId="0" xfId="1" applyNumberFormat="1" applyFont="1" applyFill="1" applyAlignment="1">
      <alignment horizontal="right"/>
    </xf>
    <xf numFmtId="164" fontId="57" fillId="0" borderId="0" xfId="1" quotePrefix="1" applyNumberFormat="1" applyFont="1" applyFill="1" applyBorder="1" applyAlignment="1">
      <alignment horizontal="right"/>
    </xf>
    <xf numFmtId="164" fontId="4" fillId="0" borderId="0" xfId="1" applyNumberFormat="1" applyFont="1" applyBorder="1" applyAlignment="1">
      <alignment horizontal="right"/>
    </xf>
    <xf numFmtId="0" fontId="4" fillId="0" borderId="0" xfId="0" applyFont="1" applyBorder="1" applyAlignment="1">
      <alignment horizontal="right"/>
    </xf>
    <xf numFmtId="43" fontId="57" fillId="0" borderId="0" xfId="1" quotePrefix="1" applyNumberFormat="1" applyFont="1" applyBorder="1" applyAlignment="1">
      <alignment horizontal="right"/>
    </xf>
    <xf numFmtId="43" fontId="57" fillId="0" borderId="0" xfId="1" quotePrefix="1" applyNumberFormat="1" applyFont="1" applyFill="1" applyBorder="1" applyAlignment="1">
      <alignment horizontal="right"/>
    </xf>
    <xf numFmtId="43" fontId="4" fillId="0" borderId="0" xfId="1" applyFont="1"/>
    <xf numFmtId="165" fontId="4" fillId="0" borderId="0" xfId="1" applyNumberFormat="1" applyFont="1" applyBorder="1" applyAlignment="1">
      <alignment horizontal="right"/>
    </xf>
    <xf numFmtId="165" fontId="4" fillId="0" borderId="33" xfId="1" applyNumberFormat="1" applyFont="1" applyBorder="1" applyAlignment="1">
      <alignment horizontal="right"/>
    </xf>
    <xf numFmtId="165" fontId="4" fillId="0" borderId="34" xfId="1" applyNumberFormat="1" applyFont="1" applyBorder="1" applyAlignment="1">
      <alignment horizontal="right"/>
    </xf>
    <xf numFmtId="164" fontId="59" fillId="0" borderId="5" xfId="1" quotePrefix="1" applyNumberFormat="1" applyFont="1" applyBorder="1" applyAlignment="1">
      <alignment horizontal="right"/>
    </xf>
    <xf numFmtId="166" fontId="4" fillId="0" borderId="5" xfId="2" quotePrefix="1" applyNumberFormat="1" applyFont="1" applyBorder="1" applyAlignment="1">
      <alignment horizontal="right"/>
    </xf>
    <xf numFmtId="0" fontId="60" fillId="0" borderId="4" xfId="0" applyFont="1" applyFill="1" applyBorder="1" applyAlignment="1">
      <alignment horizontal="left"/>
    </xf>
    <xf numFmtId="164" fontId="4" fillId="0" borderId="5" xfId="1" quotePrefix="1" applyNumberFormat="1" applyFont="1" applyFill="1" applyBorder="1" applyAlignment="1">
      <alignment horizontal="right"/>
    </xf>
    <xf numFmtId="9" fontId="4" fillId="0" borderId="0" xfId="2" applyFont="1" applyAlignment="1">
      <alignment horizontal="right"/>
    </xf>
    <xf numFmtId="164" fontId="4" fillId="0" borderId="0" xfId="1" applyNumberFormat="1" applyFont="1" applyFill="1" applyAlignment="1">
      <alignment horizontal="left"/>
    </xf>
    <xf numFmtId="165" fontId="4" fillId="0" borderId="2" xfId="1" applyNumberFormat="1" applyFont="1" applyBorder="1" applyAlignment="1">
      <alignment horizontal="right"/>
    </xf>
    <xf numFmtId="165" fontId="4" fillId="0" borderId="2" xfId="1" applyNumberFormat="1" applyFont="1" applyFill="1" applyBorder="1" applyAlignment="1">
      <alignment horizontal="right"/>
    </xf>
    <xf numFmtId="0" fontId="4" fillId="0" borderId="0" xfId="0" applyFont="1" applyBorder="1" applyAlignment="1">
      <alignment horizontal="left"/>
    </xf>
    <xf numFmtId="9" fontId="4" fillId="0" borderId="5" xfId="2" quotePrefix="1" applyFont="1" applyFill="1" applyBorder="1" applyAlignment="1">
      <alignment horizontal="right"/>
    </xf>
    <xf numFmtId="164" fontId="59" fillId="0" borderId="2" xfId="1" quotePrefix="1" applyNumberFormat="1" applyFont="1" applyFill="1" applyBorder="1" applyAlignment="1">
      <alignment horizontal="right"/>
    </xf>
    <xf numFmtId="9" fontId="57" fillId="0" borderId="2" xfId="2" quotePrefix="1" applyFont="1" applyFill="1" applyBorder="1" applyAlignment="1">
      <alignment horizontal="right"/>
    </xf>
    <xf numFmtId="164" fontId="4" fillId="0" borderId="4" xfId="1" applyNumberFormat="1" applyFont="1" applyBorder="1" applyAlignment="1">
      <alignment horizontal="right"/>
    </xf>
    <xf numFmtId="0" fontId="4" fillId="0" borderId="0" xfId="0" applyFont="1" applyBorder="1" applyAlignment="1">
      <alignment vertical="top" wrapText="1"/>
    </xf>
    <xf numFmtId="164" fontId="56" fillId="3" borderId="0" xfId="1" quotePrefix="1" applyNumberFormat="1" applyFont="1" applyFill="1" applyBorder="1" applyAlignment="1">
      <alignment horizontal="right"/>
    </xf>
    <xf numFmtId="164" fontId="61" fillId="2" borderId="2" xfId="1" quotePrefix="1" applyNumberFormat="1" applyFont="1" applyFill="1" applyBorder="1" applyAlignment="1">
      <alignment horizontal="right"/>
    </xf>
    <xf numFmtId="164" fontId="62" fillId="2" borderId="0" xfId="1" quotePrefix="1" applyNumberFormat="1" applyFont="1" applyFill="1" applyBorder="1" applyAlignment="1">
      <alignment horizontal="right"/>
    </xf>
    <xf numFmtId="164" fontId="2" fillId="3" borderId="2" xfId="1" quotePrefix="1" applyNumberFormat="1" applyFont="1" applyFill="1" applyBorder="1" applyAlignment="1">
      <alignment horizontal="right"/>
    </xf>
    <xf numFmtId="165" fontId="65" fillId="0" borderId="0" xfId="1" applyNumberFormat="1" applyFont="1" applyBorder="1" applyAlignment="1">
      <alignment horizontal="right"/>
    </xf>
    <xf numFmtId="165" fontId="65" fillId="0" borderId="5" xfId="1" applyNumberFormat="1" applyFont="1" applyBorder="1" applyAlignment="1">
      <alignment horizontal="right"/>
    </xf>
    <xf numFmtId="0" fontId="66" fillId="0" borderId="3" xfId="0" applyFont="1" applyBorder="1" applyAlignment="1">
      <alignment horizontal="left"/>
    </xf>
    <xf numFmtId="0" fontId="4" fillId="0" borderId="4" xfId="0" applyFont="1" applyBorder="1" applyAlignment="1"/>
    <xf numFmtId="0" fontId="57" fillId="0" borderId="4" xfId="0" applyFont="1" applyBorder="1" applyAlignment="1"/>
    <xf numFmtId="165" fontId="68" fillId="0" borderId="0" xfId="1" applyNumberFormat="1" applyFont="1" applyBorder="1" applyAlignment="1">
      <alignment horizontal="right"/>
    </xf>
    <xf numFmtId="165" fontId="68" fillId="0" borderId="5" xfId="1" applyNumberFormat="1" applyFont="1" applyBorder="1" applyAlignment="1">
      <alignment horizontal="right"/>
    </xf>
    <xf numFmtId="165" fontId="65" fillId="0" borderId="0" xfId="1" applyNumberFormat="1" applyFont="1" applyFill="1" applyBorder="1" applyAlignment="1">
      <alignment horizontal="right"/>
    </xf>
    <xf numFmtId="165" fontId="68" fillId="0" borderId="0" xfId="1" applyNumberFormat="1" applyFont="1" applyFill="1" applyBorder="1" applyAlignment="1">
      <alignment horizontal="right"/>
    </xf>
    <xf numFmtId="0" fontId="67" fillId="0" borderId="4" xfId="0" applyFont="1" applyBorder="1" applyAlignment="1"/>
    <xf numFmtId="165" fontId="56" fillId="0" borderId="5" xfId="1" applyNumberFormat="1" applyFont="1" applyBorder="1" applyAlignment="1">
      <alignment horizontal="right"/>
    </xf>
    <xf numFmtId="165" fontId="56" fillId="0" borderId="0" xfId="1" applyNumberFormat="1" applyFont="1" applyFill="1" applyBorder="1" applyAlignment="1">
      <alignment horizontal="right"/>
    </xf>
    <xf numFmtId="165" fontId="56" fillId="0" borderId="5" xfId="1" applyNumberFormat="1" applyFont="1" applyFill="1" applyBorder="1" applyAlignment="1">
      <alignment horizontal="right"/>
    </xf>
    <xf numFmtId="0" fontId="67" fillId="0" borderId="0" xfId="0" applyFont="1"/>
    <xf numFmtId="165" fontId="67" fillId="0" borderId="0" xfId="1" applyNumberFormat="1" applyFont="1" applyBorder="1" applyAlignment="1">
      <alignment horizontal="right"/>
    </xf>
    <xf numFmtId="165" fontId="67" fillId="0" borderId="5" xfId="1" applyNumberFormat="1" applyFont="1" applyBorder="1" applyAlignment="1">
      <alignment horizontal="right"/>
    </xf>
    <xf numFmtId="165" fontId="67" fillId="0" borderId="0" xfId="1" applyNumberFormat="1" applyFont="1" applyFill="1" applyBorder="1" applyAlignment="1">
      <alignment horizontal="right"/>
    </xf>
    <xf numFmtId="165" fontId="67" fillId="0" borderId="5" xfId="1" applyNumberFormat="1" applyFont="1" applyFill="1" applyBorder="1" applyAlignment="1">
      <alignment horizontal="right"/>
    </xf>
    <xf numFmtId="0" fontId="65" fillId="0" borderId="0" xfId="0" applyFont="1"/>
    <xf numFmtId="165" fontId="65" fillId="0" borderId="5" xfId="1" applyNumberFormat="1" applyFont="1" applyFill="1" applyBorder="1" applyAlignment="1">
      <alignment horizontal="right"/>
    </xf>
    <xf numFmtId="43" fontId="67" fillId="0" borderId="0" xfId="1" applyNumberFormat="1" applyFont="1" applyFill="1" applyBorder="1" applyAlignment="1">
      <alignment horizontal="right"/>
    </xf>
    <xf numFmtId="43" fontId="67" fillId="0" borderId="5" xfId="1" applyNumberFormat="1" applyFont="1" applyFill="1" applyBorder="1" applyAlignment="1">
      <alignment horizontal="right"/>
    </xf>
    <xf numFmtId="43" fontId="65" fillId="0" borderId="0" xfId="1" applyNumberFormat="1" applyFont="1" applyFill="1" applyBorder="1" applyAlignment="1">
      <alignment horizontal="right"/>
    </xf>
    <xf numFmtId="43" fontId="65" fillId="0" borderId="5" xfId="1" applyNumberFormat="1" applyFont="1" applyFill="1" applyBorder="1" applyAlignment="1">
      <alignment horizontal="right"/>
    </xf>
    <xf numFmtId="9" fontId="65" fillId="0" borderId="7" xfId="2" applyFont="1" applyFill="1" applyBorder="1" applyAlignment="1">
      <alignment horizontal="right"/>
    </xf>
    <xf numFmtId="0" fontId="65" fillId="0" borderId="0" xfId="0" applyFont="1" applyFill="1" applyBorder="1" applyAlignment="1">
      <alignment horizontal="left"/>
    </xf>
    <xf numFmtId="0" fontId="67" fillId="0" borderId="14" xfId="0" applyFont="1" applyBorder="1" applyAlignment="1">
      <alignment horizontal="left"/>
    </xf>
    <xf numFmtId="0" fontId="67" fillId="0" borderId="15" xfId="0" applyFont="1" applyBorder="1" applyAlignment="1">
      <alignment horizontal="left"/>
    </xf>
    <xf numFmtId="165" fontId="57" fillId="0" borderId="31" xfId="1" quotePrefix="1" applyNumberFormat="1" applyFont="1" applyBorder="1" applyAlignment="1">
      <alignment horizontal="right"/>
    </xf>
    <xf numFmtId="165" fontId="57" fillId="0" borderId="31" xfId="1" quotePrefix="1" applyNumberFormat="1" applyFont="1" applyFill="1" applyBorder="1" applyAlignment="1">
      <alignment horizontal="right"/>
    </xf>
    <xf numFmtId="0" fontId="65" fillId="0" borderId="3" xfId="0" applyFont="1" applyBorder="1" applyAlignment="1">
      <alignment horizontal="left" indent="1"/>
    </xf>
    <xf numFmtId="41" fontId="65" fillId="0" borderId="0" xfId="1" quotePrefix="1" applyNumberFormat="1" applyFont="1" applyBorder="1" applyAlignment="1">
      <alignment horizontal="right"/>
    </xf>
    <xf numFmtId="41" fontId="67" fillId="0" borderId="0" xfId="1" quotePrefix="1" applyNumberFormat="1" applyFont="1" applyFill="1" applyBorder="1" applyAlignment="1">
      <alignment horizontal="right"/>
    </xf>
    <xf numFmtId="164" fontId="59" fillId="12" borderId="0" xfId="1" quotePrefix="1" applyNumberFormat="1" applyFont="1" applyFill="1" applyBorder="1" applyAlignment="1">
      <alignment horizontal="right"/>
    </xf>
    <xf numFmtId="0" fontId="65" fillId="12" borderId="3" xfId="0" applyFont="1" applyFill="1" applyBorder="1" applyAlignment="1">
      <alignment horizontal="left" indent="1"/>
    </xf>
    <xf numFmtId="0" fontId="65" fillId="12" borderId="4" xfId="0" applyFont="1" applyFill="1" applyBorder="1" applyAlignment="1">
      <alignment horizontal="left"/>
    </xf>
    <xf numFmtId="41" fontId="65" fillId="12" borderId="0" xfId="1" quotePrefix="1" applyNumberFormat="1" applyFont="1" applyFill="1" applyBorder="1" applyAlignment="1">
      <alignment horizontal="right"/>
    </xf>
    <xf numFmtId="7" fontId="65" fillId="12" borderId="0" xfId="1" quotePrefix="1" applyNumberFormat="1" applyFont="1" applyFill="1" applyBorder="1" applyAlignment="1">
      <alignment horizontal="right"/>
    </xf>
    <xf numFmtId="0" fontId="67" fillId="12" borderId="15" xfId="0" applyFont="1" applyFill="1" applyBorder="1" applyAlignment="1">
      <alignment horizontal="left"/>
    </xf>
    <xf numFmtId="0" fontId="67" fillId="12" borderId="14" xfId="0" applyFont="1" applyFill="1" applyBorder="1" applyAlignment="1">
      <alignment horizontal="left"/>
    </xf>
    <xf numFmtId="164" fontId="59" fillId="0" borderId="50" xfId="1" quotePrefix="1" applyNumberFormat="1" applyFont="1" applyBorder="1" applyAlignment="1">
      <alignment horizontal="right"/>
    </xf>
    <xf numFmtId="0" fontId="67" fillId="12" borderId="4" xfId="0" applyFont="1" applyFill="1" applyBorder="1" applyAlignment="1">
      <alignment horizontal="left"/>
    </xf>
    <xf numFmtId="0" fontId="67" fillId="12" borderId="3" xfId="0" applyFont="1" applyFill="1" applyBorder="1" applyAlignment="1">
      <alignment horizontal="left"/>
    </xf>
    <xf numFmtId="165" fontId="4" fillId="12" borderId="5" xfId="1" quotePrefix="1" applyNumberFormat="1" applyFont="1" applyFill="1" applyBorder="1" applyAlignment="1">
      <alignment horizontal="right"/>
    </xf>
    <xf numFmtId="165" fontId="4" fillId="12" borderId="31" xfId="1" quotePrefix="1" applyNumberFormat="1" applyFont="1" applyFill="1" applyBorder="1" applyAlignment="1">
      <alignment horizontal="right"/>
    </xf>
    <xf numFmtId="165" fontId="4" fillId="12" borderId="51" xfId="1" quotePrefix="1" applyNumberFormat="1" applyFont="1" applyFill="1" applyBorder="1" applyAlignment="1">
      <alignment horizontal="right"/>
    </xf>
    <xf numFmtId="165" fontId="65" fillId="0" borderId="0" xfId="1" quotePrefix="1" applyNumberFormat="1" applyFont="1" applyFill="1" applyBorder="1" applyAlignment="1">
      <alignment horizontal="right"/>
    </xf>
    <xf numFmtId="165" fontId="65" fillId="10" borderId="0" xfId="1" quotePrefix="1" applyNumberFormat="1" applyFont="1" applyFill="1" applyBorder="1" applyAlignment="1">
      <alignment horizontal="right"/>
    </xf>
    <xf numFmtId="0" fontId="65" fillId="0" borderId="3" xfId="0" applyFont="1" applyBorder="1" applyAlignment="1">
      <alignment horizontal="left" indent="3"/>
    </xf>
    <xf numFmtId="9" fontId="65" fillId="10" borderId="0" xfId="2" quotePrefix="1" applyFont="1" applyFill="1" applyBorder="1" applyAlignment="1">
      <alignment horizontal="right"/>
    </xf>
    <xf numFmtId="7" fontId="65" fillId="0" borderId="0" xfId="1" quotePrefix="1" applyNumberFormat="1" applyFont="1" applyFill="1" applyBorder="1" applyAlignment="1">
      <alignment horizontal="right"/>
    </xf>
    <xf numFmtId="41" fontId="67" fillId="0" borderId="32" xfId="1" quotePrefix="1" applyNumberFormat="1" applyFont="1" applyFill="1" applyBorder="1" applyAlignment="1">
      <alignment horizontal="right"/>
    </xf>
    <xf numFmtId="0" fontId="65" fillId="12" borderId="3" xfId="0" applyFont="1" applyFill="1" applyBorder="1" applyAlignment="1">
      <alignment horizontal="left" indent="3"/>
    </xf>
    <xf numFmtId="166" fontId="65" fillId="12" borderId="0" xfId="2" quotePrefix="1" applyNumberFormat="1" applyFont="1" applyFill="1" applyBorder="1" applyAlignment="1">
      <alignment horizontal="right"/>
    </xf>
    <xf numFmtId="9" fontId="4" fillId="12" borderId="5" xfId="2" quotePrefix="1" applyFont="1" applyFill="1" applyBorder="1" applyAlignment="1">
      <alignment horizontal="right"/>
    </xf>
    <xf numFmtId="41" fontId="67" fillId="12" borderId="32" xfId="1" quotePrefix="1" applyNumberFormat="1" applyFont="1" applyFill="1" applyBorder="1" applyAlignment="1">
      <alignment horizontal="right"/>
    </xf>
    <xf numFmtId="41" fontId="67" fillId="12" borderId="0" xfId="1" quotePrefix="1" applyNumberFormat="1" applyFont="1" applyFill="1" applyBorder="1" applyAlignment="1">
      <alignment horizontal="right"/>
    </xf>
    <xf numFmtId="0" fontId="70" fillId="0" borderId="4" xfId="0" applyFont="1" applyBorder="1" applyAlignment="1">
      <alignment horizontal="left"/>
    </xf>
    <xf numFmtId="0" fontId="65" fillId="0" borderId="3" xfId="3" applyFont="1" applyBorder="1" applyAlignment="1">
      <alignment horizontal="left" vertical="top"/>
    </xf>
    <xf numFmtId="0" fontId="65" fillId="0" borderId="4" xfId="3" applyFont="1" applyBorder="1" applyAlignment="1">
      <alignment horizontal="left" vertical="top"/>
    </xf>
    <xf numFmtId="165" fontId="68" fillId="0" borderId="5" xfId="1" applyNumberFormat="1" applyFont="1" applyFill="1" applyBorder="1" applyAlignment="1">
      <alignment horizontal="right"/>
    </xf>
    <xf numFmtId="165" fontId="67" fillId="0" borderId="7" xfId="1" applyNumberFormat="1" applyFont="1" applyBorder="1" applyAlignment="1">
      <alignment horizontal="right"/>
    </xf>
    <xf numFmtId="165" fontId="67" fillId="0" borderId="8" xfId="1" applyNumberFormat="1" applyFont="1" applyBorder="1" applyAlignment="1">
      <alignment horizontal="right"/>
    </xf>
    <xf numFmtId="165" fontId="67" fillId="0" borderId="7" xfId="1" applyNumberFormat="1" applyFont="1" applyFill="1" applyBorder="1" applyAlignment="1">
      <alignment horizontal="right"/>
    </xf>
    <xf numFmtId="165" fontId="72" fillId="0" borderId="0" xfId="1" quotePrefix="1" applyNumberFormat="1" applyFont="1" applyFill="1" applyBorder="1" applyAlignment="1">
      <alignment horizontal="right"/>
    </xf>
    <xf numFmtId="165" fontId="4" fillId="12" borderId="0" xfId="1" quotePrefix="1" applyNumberFormat="1" applyFont="1" applyFill="1" applyBorder="1" applyAlignment="1">
      <alignment horizontal="right"/>
    </xf>
    <xf numFmtId="0" fontId="65" fillId="12" borderId="3" xfId="0" applyFont="1" applyFill="1" applyBorder="1" applyAlignment="1">
      <alignment horizontal="left" indent="2"/>
    </xf>
    <xf numFmtId="0" fontId="67" fillId="12" borderId="14" xfId="0" applyFont="1" applyFill="1" applyBorder="1" applyAlignment="1">
      <alignment horizontal="left" indent="2"/>
    </xf>
    <xf numFmtId="0" fontId="65" fillId="12" borderId="27" xfId="0" applyFont="1" applyFill="1" applyBorder="1" applyAlignment="1">
      <alignment horizontal="left" indent="2"/>
    </xf>
    <xf numFmtId="0" fontId="65" fillId="12" borderId="28" xfId="0" applyFont="1" applyFill="1" applyBorder="1" applyAlignment="1">
      <alignment horizontal="left"/>
    </xf>
    <xf numFmtId="41" fontId="65" fillId="12" borderId="33" xfId="1" quotePrefix="1" applyNumberFormat="1" applyFont="1" applyFill="1" applyBorder="1" applyAlignment="1">
      <alignment horizontal="right"/>
    </xf>
    <xf numFmtId="0" fontId="67" fillId="12" borderId="3" xfId="0" applyFont="1" applyFill="1" applyBorder="1" applyAlignment="1">
      <alignment horizontal="left" indent="2"/>
    </xf>
    <xf numFmtId="165" fontId="4" fillId="12" borderId="34" xfId="1" quotePrefix="1" applyNumberFormat="1" applyFont="1" applyFill="1" applyBorder="1" applyAlignment="1">
      <alignment horizontal="right"/>
    </xf>
    <xf numFmtId="166" fontId="65" fillId="0" borderId="0" xfId="2" quotePrefix="1" applyNumberFormat="1" applyFont="1" applyFill="1" applyBorder="1" applyAlignment="1">
      <alignment horizontal="right"/>
    </xf>
    <xf numFmtId="0" fontId="67" fillId="0" borderId="15" xfId="0" applyFont="1" applyFill="1" applyBorder="1" applyAlignment="1">
      <alignment horizontal="left"/>
    </xf>
    <xf numFmtId="165" fontId="65" fillId="12" borderId="0" xfId="1" quotePrefix="1" applyNumberFormat="1" applyFont="1" applyFill="1" applyBorder="1" applyAlignment="1">
      <alignment horizontal="right"/>
    </xf>
    <xf numFmtId="165" fontId="67" fillId="12" borderId="0" xfId="1" quotePrefix="1" applyNumberFormat="1" applyFont="1" applyFill="1" applyBorder="1" applyAlignment="1">
      <alignment horizontal="right"/>
    </xf>
    <xf numFmtId="165" fontId="65" fillId="0" borderId="5" xfId="1" quotePrefix="1" applyNumberFormat="1" applyFont="1" applyFill="1" applyBorder="1" applyAlignment="1">
      <alignment horizontal="right"/>
    </xf>
    <xf numFmtId="0" fontId="70" fillId="12" borderId="4" xfId="0" applyFont="1" applyFill="1" applyBorder="1" applyAlignment="1">
      <alignment horizontal="left"/>
    </xf>
    <xf numFmtId="0" fontId="67" fillId="12" borderId="3" xfId="0" applyFont="1" applyFill="1" applyBorder="1" applyAlignment="1">
      <alignment horizontal="left" indent="1"/>
    </xf>
    <xf numFmtId="165" fontId="57" fillId="12" borderId="5" xfId="1" quotePrefix="1" applyNumberFormat="1" applyFont="1" applyFill="1" applyBorder="1" applyAlignment="1">
      <alignment horizontal="right"/>
    </xf>
    <xf numFmtId="165" fontId="67" fillId="12" borderId="31" xfId="1" quotePrefix="1" applyNumberFormat="1" applyFont="1" applyFill="1" applyBorder="1" applyAlignment="1">
      <alignment horizontal="right"/>
    </xf>
    <xf numFmtId="0" fontId="70" fillId="0" borderId="4" xfId="0" applyFont="1" applyFill="1" applyBorder="1" applyAlignment="1">
      <alignment horizontal="left"/>
    </xf>
    <xf numFmtId="165" fontId="65" fillId="0" borderId="31" xfId="1" quotePrefix="1" applyNumberFormat="1" applyFont="1" applyFill="1" applyBorder="1" applyAlignment="1">
      <alignment horizontal="right"/>
    </xf>
    <xf numFmtId="166" fontId="65" fillId="10" borderId="0" xfId="2" quotePrefix="1" applyNumberFormat="1" applyFont="1" applyFill="1" applyBorder="1" applyAlignment="1">
      <alignment horizontal="right"/>
    </xf>
    <xf numFmtId="0" fontId="65" fillId="12" borderId="3" xfId="0" applyFont="1" applyFill="1" applyBorder="1" applyAlignment="1">
      <alignment horizontal="left"/>
    </xf>
    <xf numFmtId="166" fontId="4" fillId="12" borderId="5" xfId="2" quotePrefix="1" applyNumberFormat="1" applyFont="1" applyFill="1" applyBorder="1" applyAlignment="1">
      <alignment horizontal="right"/>
    </xf>
    <xf numFmtId="0" fontId="69" fillId="12" borderId="27" xfId="0" applyFont="1" applyFill="1" applyBorder="1" applyAlignment="1">
      <alignment horizontal="left"/>
    </xf>
    <xf numFmtId="0" fontId="67" fillId="12" borderId="53" xfId="0" applyFont="1" applyFill="1" applyBorder="1" applyAlignment="1">
      <alignment horizontal="left"/>
    </xf>
    <xf numFmtId="166" fontId="67" fillId="12" borderId="54" xfId="2" quotePrefix="1" applyNumberFormat="1" applyFont="1" applyFill="1" applyBorder="1" applyAlignment="1">
      <alignment horizontal="right"/>
    </xf>
    <xf numFmtId="227" fontId="71" fillId="10" borderId="0" xfId="1" quotePrefix="1" applyNumberFormat="1" applyFont="1" applyFill="1" applyBorder="1" applyAlignment="1">
      <alignment horizontal="right"/>
    </xf>
    <xf numFmtId="165" fontId="67" fillId="10" borderId="0" xfId="1" quotePrefix="1" applyNumberFormat="1" applyFont="1" applyFill="1" applyBorder="1" applyAlignment="1">
      <alignment horizontal="right"/>
    </xf>
    <xf numFmtId="9" fontId="65" fillId="12" borderId="33" xfId="2" quotePrefix="1" applyFont="1" applyFill="1" applyBorder="1" applyAlignment="1">
      <alignment horizontal="right"/>
    </xf>
    <xf numFmtId="9" fontId="65" fillId="0" borderId="0" xfId="2" quotePrefix="1" applyFont="1" applyFill="1" applyBorder="1" applyAlignment="1">
      <alignment horizontal="right"/>
    </xf>
    <xf numFmtId="165" fontId="72" fillId="0" borderId="5" xfId="1" quotePrefix="1" applyNumberFormat="1" applyFont="1" applyFill="1" applyBorder="1" applyAlignment="1">
      <alignment horizontal="right"/>
    </xf>
    <xf numFmtId="165" fontId="72" fillId="0" borderId="0" xfId="2" applyNumberFormat="1" applyFont="1" applyFill="1" applyBorder="1" applyAlignment="1">
      <alignment horizontal="right"/>
    </xf>
    <xf numFmtId="165" fontId="67" fillId="0" borderId="0" xfId="1" quotePrefix="1" applyNumberFormat="1" applyFont="1" applyFill="1" applyBorder="1" applyAlignment="1">
      <alignment horizontal="right"/>
    </xf>
    <xf numFmtId="165" fontId="67" fillId="12" borderId="5" xfId="1" quotePrefix="1" applyNumberFormat="1" applyFont="1" applyFill="1" applyBorder="1" applyAlignment="1">
      <alignment horizontal="right"/>
    </xf>
    <xf numFmtId="165" fontId="65" fillId="0" borderId="0" xfId="2" quotePrefix="1" applyNumberFormat="1" applyFont="1" applyFill="1" applyBorder="1" applyAlignment="1">
      <alignment horizontal="right"/>
    </xf>
    <xf numFmtId="166" fontId="67" fillId="12" borderId="32" xfId="2" quotePrefix="1" applyNumberFormat="1" applyFont="1" applyFill="1" applyBorder="1" applyAlignment="1">
      <alignment horizontal="right"/>
    </xf>
    <xf numFmtId="166" fontId="65" fillId="0" borderId="0" xfId="2" applyNumberFormat="1" applyFont="1" applyFill="1" applyBorder="1" applyAlignment="1">
      <alignment horizontal="right"/>
    </xf>
    <xf numFmtId="0" fontId="4" fillId="0" borderId="0" xfId="0" applyFont="1" applyFill="1" applyBorder="1"/>
    <xf numFmtId="0" fontId="76" fillId="0" borderId="0" xfId="0" applyFont="1" applyFill="1"/>
    <xf numFmtId="0" fontId="57" fillId="0" borderId="0" xfId="0" applyFont="1" applyFill="1"/>
    <xf numFmtId="165" fontId="67" fillId="0" borderId="5" xfId="1" quotePrefix="1" applyNumberFormat="1" applyFont="1" applyFill="1" applyBorder="1" applyAlignment="1">
      <alignment horizontal="right"/>
    </xf>
    <xf numFmtId="165" fontId="68" fillId="0" borderId="0" xfId="1" quotePrefix="1" applyNumberFormat="1" applyFont="1" applyFill="1" applyBorder="1" applyAlignment="1">
      <alignment horizontal="right"/>
    </xf>
    <xf numFmtId="165" fontId="68" fillId="0" borderId="5" xfId="1" quotePrefix="1" applyNumberFormat="1" applyFont="1" applyFill="1" applyBorder="1" applyAlignment="1">
      <alignment horizontal="right"/>
    </xf>
    <xf numFmtId="0" fontId="75" fillId="0" borderId="3" xfId="0" applyFont="1" applyBorder="1" applyAlignment="1">
      <alignment horizontal="left"/>
    </xf>
    <xf numFmtId="165" fontId="4" fillId="0" borderId="34" xfId="1" quotePrefix="1" applyNumberFormat="1" applyFont="1" applyFill="1" applyBorder="1" applyAlignment="1">
      <alignment horizontal="right"/>
    </xf>
    <xf numFmtId="165" fontId="65" fillId="0" borderId="33" xfId="1" quotePrefix="1" applyNumberFormat="1" applyFont="1" applyFill="1" applyBorder="1" applyAlignment="1">
      <alignment horizontal="right"/>
    </xf>
    <xf numFmtId="165" fontId="65" fillId="0" borderId="34" xfId="1" quotePrefix="1" applyNumberFormat="1" applyFont="1" applyFill="1" applyBorder="1" applyAlignment="1">
      <alignment horizontal="right"/>
    </xf>
    <xf numFmtId="9" fontId="67" fillId="0" borderId="5" xfId="2" quotePrefix="1" applyFont="1" applyFill="1" applyBorder="1" applyAlignment="1">
      <alignment horizontal="right"/>
    </xf>
    <xf numFmtId="10" fontId="67" fillId="0" borderId="0" xfId="2" applyNumberFormat="1" applyFont="1" applyFill="1" applyBorder="1" applyAlignment="1">
      <alignment horizontal="right"/>
    </xf>
    <xf numFmtId="10" fontId="65" fillId="0" borderId="5" xfId="2" applyNumberFormat="1" applyFont="1" applyBorder="1" applyAlignment="1">
      <alignment horizontal="right"/>
    </xf>
    <xf numFmtId="10" fontId="65" fillId="0" borderId="0" xfId="2" applyNumberFormat="1" applyFont="1" applyFill="1" applyBorder="1" applyAlignment="1">
      <alignment horizontal="right"/>
    </xf>
    <xf numFmtId="9" fontId="65" fillId="0" borderId="5" xfId="2" applyFont="1" applyBorder="1" applyAlignment="1">
      <alignment horizontal="right"/>
    </xf>
    <xf numFmtId="166" fontId="65" fillId="0" borderId="5" xfId="2" applyNumberFormat="1" applyFont="1" applyBorder="1" applyAlignment="1">
      <alignment horizontal="right"/>
    </xf>
    <xf numFmtId="166" fontId="65" fillId="0" borderId="5" xfId="2" quotePrefix="1" applyNumberFormat="1" applyFont="1" applyFill="1" applyBorder="1" applyAlignment="1">
      <alignment horizontal="right"/>
    </xf>
    <xf numFmtId="10" fontId="65" fillId="0" borderId="5" xfId="2" quotePrefix="1" applyNumberFormat="1" applyFont="1" applyFill="1" applyBorder="1" applyAlignment="1">
      <alignment horizontal="right"/>
    </xf>
    <xf numFmtId="10" fontId="65" fillId="0" borderId="0" xfId="2" quotePrefix="1" applyNumberFormat="1" applyFont="1" applyFill="1" applyBorder="1" applyAlignment="1">
      <alignment horizontal="right"/>
    </xf>
    <xf numFmtId="225" fontId="65" fillId="0" borderId="5" xfId="2" applyNumberFormat="1" applyFont="1" applyBorder="1" applyAlignment="1">
      <alignment horizontal="right"/>
    </xf>
    <xf numFmtId="6" fontId="65" fillId="0" borderId="5" xfId="2" applyNumberFormat="1" applyFont="1" applyBorder="1" applyAlignment="1">
      <alignment horizontal="right"/>
    </xf>
    <xf numFmtId="165" fontId="65" fillId="0" borderId="32" xfId="1" quotePrefix="1" applyNumberFormat="1" applyFont="1" applyFill="1" applyBorder="1" applyAlignment="1">
      <alignment horizontal="right"/>
    </xf>
    <xf numFmtId="165" fontId="78" fillId="0" borderId="31" xfId="1" quotePrefix="1" applyNumberFormat="1" applyFont="1" applyFill="1" applyBorder="1" applyAlignment="1">
      <alignment horizontal="right"/>
    </xf>
    <xf numFmtId="165" fontId="65" fillId="10" borderId="5" xfId="1" quotePrefix="1" applyNumberFormat="1" applyFont="1" applyFill="1" applyBorder="1" applyAlignment="1">
      <alignment horizontal="right"/>
    </xf>
    <xf numFmtId="165" fontId="68" fillId="10" borderId="0" xfId="1" quotePrefix="1" applyNumberFormat="1" applyFont="1" applyFill="1" applyBorder="1" applyAlignment="1">
      <alignment horizontal="right"/>
    </xf>
    <xf numFmtId="165" fontId="68" fillId="10" borderId="5" xfId="1" quotePrefix="1" applyNumberFormat="1" applyFont="1" applyFill="1" applyBorder="1" applyAlignment="1">
      <alignment horizontal="right"/>
    </xf>
    <xf numFmtId="10" fontId="65" fillId="10" borderId="5" xfId="2" applyNumberFormat="1" applyFont="1" applyFill="1" applyBorder="1" applyAlignment="1">
      <alignment horizontal="right"/>
    </xf>
    <xf numFmtId="10" fontId="65" fillId="10" borderId="5" xfId="2" quotePrefix="1" applyNumberFormat="1" applyFont="1" applyFill="1" applyBorder="1" applyAlignment="1">
      <alignment horizontal="right"/>
    </xf>
    <xf numFmtId="6" fontId="65" fillId="10" borderId="5" xfId="2" applyNumberFormat="1" applyFont="1" applyFill="1" applyBorder="1" applyAlignment="1">
      <alignment horizontal="right"/>
    </xf>
    <xf numFmtId="225" fontId="67" fillId="0" borderId="0" xfId="1" applyNumberFormat="1" applyFont="1" applyFill="1" applyBorder="1" applyAlignment="1">
      <alignment horizontal="right"/>
    </xf>
    <xf numFmtId="225" fontId="67" fillId="0" borderId="0" xfId="2" applyNumberFormat="1" applyFont="1" applyFill="1" applyBorder="1" applyAlignment="1">
      <alignment horizontal="right"/>
    </xf>
    <xf numFmtId="225" fontId="65" fillId="0" borderId="0" xfId="2" applyNumberFormat="1" applyFont="1" applyFill="1" applyBorder="1" applyAlignment="1">
      <alignment horizontal="right"/>
    </xf>
    <xf numFmtId="225" fontId="67" fillId="0" borderId="0" xfId="1" quotePrefix="1" applyNumberFormat="1" applyFont="1" applyFill="1" applyBorder="1" applyAlignment="1">
      <alignment horizontal="right"/>
    </xf>
    <xf numFmtId="225" fontId="65" fillId="10" borderId="5" xfId="2" applyNumberFormat="1" applyFont="1" applyFill="1" applyBorder="1" applyAlignment="1">
      <alignment horizontal="right"/>
    </xf>
    <xf numFmtId="165" fontId="78" fillId="10" borderId="31" xfId="1" quotePrefix="1" applyNumberFormat="1" applyFont="1" applyFill="1" applyBorder="1" applyAlignment="1">
      <alignment horizontal="right"/>
    </xf>
    <xf numFmtId="0" fontId="65" fillId="0" borderId="0" xfId="0" applyFont="1" applyFill="1"/>
    <xf numFmtId="165" fontId="65" fillId="0" borderId="5" xfId="2" quotePrefix="1" applyNumberFormat="1" applyFont="1" applyFill="1" applyBorder="1" applyAlignment="1">
      <alignment horizontal="right"/>
    </xf>
    <xf numFmtId="6" fontId="65" fillId="0" borderId="5" xfId="2" applyNumberFormat="1" applyFont="1" applyFill="1" applyBorder="1" applyAlignment="1">
      <alignment horizontal="right"/>
    </xf>
    <xf numFmtId="9" fontId="65" fillId="0" borderId="0" xfId="2" applyFont="1" applyBorder="1" applyAlignment="1">
      <alignment horizontal="right"/>
    </xf>
    <xf numFmtId="166" fontId="65" fillId="0" borderId="0" xfId="2" applyNumberFormat="1" applyFont="1" applyBorder="1" applyAlignment="1">
      <alignment horizontal="right"/>
    </xf>
    <xf numFmtId="166" fontId="65" fillId="0" borderId="5" xfId="2" applyNumberFormat="1" applyFont="1" applyFill="1" applyBorder="1" applyAlignment="1">
      <alignment horizontal="right"/>
    </xf>
    <xf numFmtId="0" fontId="65" fillId="0" borderId="3" xfId="0" applyFont="1" applyBorder="1" applyAlignment="1"/>
    <xf numFmtId="164" fontId="65" fillId="0" borderId="0" xfId="1" quotePrefix="1" applyNumberFormat="1" applyFont="1" applyFill="1" applyBorder="1" applyAlignment="1">
      <alignment horizontal="right"/>
    </xf>
    <xf numFmtId="164" fontId="65" fillId="0" borderId="5" xfId="1" quotePrefix="1" applyNumberFormat="1" applyFont="1" applyFill="1" applyBorder="1" applyAlignment="1">
      <alignment horizontal="right"/>
    </xf>
    <xf numFmtId="164" fontId="65" fillId="10" borderId="0" xfId="1" quotePrefix="1" applyNumberFormat="1" applyFont="1" applyFill="1" applyBorder="1" applyAlignment="1">
      <alignment horizontal="right"/>
    </xf>
    <xf numFmtId="167" fontId="65" fillId="0" borderId="5" xfId="1" quotePrefix="1" applyNumberFormat="1" applyFont="1" applyFill="1" applyBorder="1" applyAlignment="1">
      <alignment horizontal="right"/>
    </xf>
    <xf numFmtId="165" fontId="68" fillId="10" borderId="0" xfId="1" applyNumberFormat="1" applyFont="1" applyFill="1" applyBorder="1" applyAlignment="1">
      <alignment horizontal="right"/>
    </xf>
    <xf numFmtId="9" fontId="65" fillId="0" borderId="5" xfId="2" quotePrefix="1" applyFont="1" applyFill="1" applyBorder="1" applyAlignment="1">
      <alignment horizontal="right"/>
    </xf>
    <xf numFmtId="165" fontId="65" fillId="10" borderId="0" xfId="1" applyNumberFormat="1" applyFont="1" applyFill="1" applyBorder="1" applyAlignment="1">
      <alignment horizontal="right"/>
    </xf>
    <xf numFmtId="9" fontId="65" fillId="10" borderId="0" xfId="2" applyFont="1" applyFill="1" applyBorder="1" applyAlignment="1">
      <alignment horizontal="right"/>
    </xf>
    <xf numFmtId="166" fontId="65" fillId="10" borderId="0" xfId="2" applyNumberFormat="1" applyFont="1" applyFill="1" applyBorder="1" applyAlignment="1">
      <alignment horizontal="right"/>
    </xf>
    <xf numFmtId="166" fontId="65" fillId="0" borderId="33" xfId="2" quotePrefix="1" applyNumberFormat="1" applyFont="1" applyFill="1" applyBorder="1" applyAlignment="1">
      <alignment horizontal="right"/>
    </xf>
    <xf numFmtId="43" fontId="65" fillId="10" borderId="0" xfId="1" quotePrefix="1" applyNumberFormat="1" applyFont="1" applyFill="1" applyBorder="1" applyAlignment="1">
      <alignment horizontal="right"/>
    </xf>
    <xf numFmtId="0" fontId="75" fillId="0" borderId="3" xfId="3" applyFont="1" applyFill="1" applyBorder="1" applyAlignment="1">
      <alignment horizontal="left" vertical="top"/>
    </xf>
    <xf numFmtId="0" fontId="65" fillId="0" borderId="3" xfId="3" applyFont="1" applyFill="1" applyBorder="1" applyAlignment="1">
      <alignment horizontal="left" vertical="top" indent="1"/>
    </xf>
    <xf numFmtId="0" fontId="65" fillId="0" borderId="3" xfId="0" applyFont="1" applyFill="1" applyBorder="1" applyAlignment="1">
      <alignment horizontal="left" indent="2"/>
    </xf>
    <xf numFmtId="165" fontId="65" fillId="10" borderId="5" xfId="2" quotePrefix="1" applyNumberFormat="1" applyFont="1" applyFill="1" applyBorder="1" applyAlignment="1">
      <alignment horizontal="right"/>
    </xf>
    <xf numFmtId="0" fontId="65" fillId="0" borderId="27" xfId="0" applyFont="1" applyBorder="1" applyAlignment="1">
      <alignment horizontal="left" indent="1"/>
    </xf>
    <xf numFmtId="0" fontId="65" fillId="0" borderId="3" xfId="0" applyFont="1" applyFill="1" applyBorder="1" applyAlignment="1">
      <alignment horizontal="left" indent="3"/>
    </xf>
    <xf numFmtId="165" fontId="65" fillId="10" borderId="33" xfId="1" quotePrefix="1" applyNumberFormat="1" applyFont="1" applyFill="1" applyBorder="1" applyAlignment="1">
      <alignment horizontal="right"/>
    </xf>
    <xf numFmtId="165" fontId="57" fillId="0" borderId="9" xfId="1" applyNumberFormat="1" applyFont="1" applyFill="1" applyBorder="1" applyAlignment="1">
      <alignment horizontal="right"/>
    </xf>
    <xf numFmtId="0" fontId="69" fillId="0" borderId="27" xfId="0" applyFont="1" applyFill="1" applyBorder="1" applyAlignment="1">
      <alignment horizontal="left"/>
    </xf>
    <xf numFmtId="7" fontId="65" fillId="0" borderId="0" xfId="1" applyNumberFormat="1" applyFont="1" applyFill="1" applyBorder="1" applyAlignment="1">
      <alignment horizontal="right"/>
    </xf>
    <xf numFmtId="7" fontId="4" fillId="0" borderId="5" xfId="1" applyNumberFormat="1" applyFont="1" applyFill="1" applyBorder="1" applyAlignment="1">
      <alignment horizontal="right"/>
    </xf>
    <xf numFmtId="7" fontId="65" fillId="10" borderId="0" xfId="1" applyNumberFormat="1" applyFont="1" applyFill="1" applyBorder="1" applyAlignment="1">
      <alignment horizontal="right"/>
    </xf>
    <xf numFmtId="10" fontId="65" fillId="0" borderId="5" xfId="2" applyNumberFormat="1" applyFont="1" applyFill="1" applyBorder="1" applyAlignment="1">
      <alignment horizontal="right"/>
    </xf>
    <xf numFmtId="225" fontId="65" fillId="0" borderId="5" xfId="2" applyNumberFormat="1" applyFont="1" applyFill="1" applyBorder="1" applyAlignment="1">
      <alignment horizontal="right"/>
    </xf>
    <xf numFmtId="164" fontId="65" fillId="0" borderId="5" xfId="1" applyNumberFormat="1" applyFont="1" applyFill="1" applyBorder="1" applyAlignment="1">
      <alignment horizontal="right"/>
    </xf>
    <xf numFmtId="41" fontId="65" fillId="0" borderId="0" xfId="1" quotePrefix="1" applyNumberFormat="1" applyFont="1" applyFill="1" applyBorder="1" applyAlignment="1">
      <alignment horizontal="right"/>
    </xf>
    <xf numFmtId="41" fontId="65" fillId="0" borderId="33" xfId="1" quotePrefix="1" applyNumberFormat="1" applyFont="1" applyFill="1" applyBorder="1" applyAlignment="1">
      <alignment horizontal="right"/>
    </xf>
    <xf numFmtId="165" fontId="73" fillId="0" borderId="0" xfId="1" quotePrefix="1" applyNumberFormat="1" applyFont="1" applyFill="1" applyBorder="1" applyAlignment="1">
      <alignment horizontal="right"/>
    </xf>
    <xf numFmtId="164" fontId="74" fillId="0" borderId="5" xfId="1" quotePrefix="1" applyNumberFormat="1" applyFont="1" applyFill="1" applyBorder="1" applyAlignment="1">
      <alignment horizontal="right"/>
    </xf>
    <xf numFmtId="164" fontId="59" fillId="0" borderId="50" xfId="1" quotePrefix="1" applyNumberFormat="1" applyFont="1" applyFill="1" applyBorder="1" applyAlignment="1">
      <alignment horizontal="right"/>
    </xf>
    <xf numFmtId="165" fontId="67" fillId="0" borderId="32" xfId="1" quotePrefix="1" applyNumberFormat="1" applyFont="1" applyFill="1" applyBorder="1" applyAlignment="1">
      <alignment horizontal="right"/>
    </xf>
    <xf numFmtId="0" fontId="67" fillId="0" borderId="3" xfId="0" applyFont="1" applyBorder="1" applyAlignment="1">
      <alignment horizontal="left" indent="4"/>
    </xf>
    <xf numFmtId="7" fontId="65" fillId="0" borderId="5" xfId="1" applyNumberFormat="1" applyFont="1" applyFill="1" applyBorder="1" applyAlignment="1">
      <alignment horizontal="right"/>
    </xf>
    <xf numFmtId="164" fontId="65" fillId="0" borderId="7" xfId="1" applyNumberFormat="1" applyFont="1" applyFill="1" applyBorder="1" applyAlignment="1">
      <alignment horizontal="right"/>
    </xf>
    <xf numFmtId="164" fontId="65" fillId="0" borderId="8" xfId="1" applyNumberFormat="1" applyFont="1" applyFill="1" applyBorder="1" applyAlignment="1">
      <alignment horizontal="right"/>
    </xf>
    <xf numFmtId="9" fontId="65" fillId="0" borderId="7" xfId="2" applyFont="1" applyFill="1" applyBorder="1" applyAlignment="1">
      <alignment horizontal="left"/>
    </xf>
    <xf numFmtId="166" fontId="65" fillId="0" borderId="7" xfId="2" applyNumberFormat="1" applyFont="1" applyFill="1" applyBorder="1" applyAlignment="1">
      <alignment horizontal="right"/>
    </xf>
    <xf numFmtId="0" fontId="65" fillId="0" borderId="3" xfId="0" applyFont="1" applyFill="1" applyBorder="1"/>
    <xf numFmtId="9" fontId="65" fillId="10" borderId="4" xfId="2" applyNumberFormat="1" applyFont="1" applyFill="1" applyBorder="1" applyAlignment="1">
      <alignment horizontal="right"/>
    </xf>
    <xf numFmtId="165" fontId="65" fillId="0" borderId="33" xfId="1" applyNumberFormat="1" applyFont="1" applyBorder="1" applyAlignment="1">
      <alignment horizontal="right"/>
    </xf>
    <xf numFmtId="43" fontId="65" fillId="0" borderId="7" xfId="1" applyFont="1" applyBorder="1" applyAlignment="1">
      <alignment horizontal="right"/>
    </xf>
    <xf numFmtId="43" fontId="65" fillId="0" borderId="8" xfId="1" applyFont="1" applyBorder="1" applyAlignment="1">
      <alignment horizontal="right"/>
    </xf>
    <xf numFmtId="0" fontId="65" fillId="0" borderId="3" xfId="0" applyFont="1" applyBorder="1"/>
    <xf numFmtId="165" fontId="65" fillId="0" borderId="7" xfId="1" applyNumberFormat="1" applyFont="1" applyFill="1" applyBorder="1" applyAlignment="1">
      <alignment horizontal="right"/>
    </xf>
    <xf numFmtId="165" fontId="65" fillId="0" borderId="8" xfId="1" applyNumberFormat="1" applyFont="1" applyFill="1" applyBorder="1" applyAlignment="1">
      <alignment horizontal="right"/>
    </xf>
    <xf numFmtId="0" fontId="4" fillId="0" borderId="4" xfId="0" applyFont="1" applyBorder="1" applyAlignment="1">
      <alignment horizontal="left"/>
    </xf>
    <xf numFmtId="0" fontId="65" fillId="0" borderId="3" xfId="0" applyFont="1" applyBorder="1" applyAlignment="1">
      <alignment horizontal="left"/>
    </xf>
    <xf numFmtId="0" fontId="65" fillId="0" borderId="4" xfId="0" applyFont="1" applyBorder="1" applyAlignment="1">
      <alignment horizontal="left"/>
    </xf>
    <xf numFmtId="0" fontId="69" fillId="0" borderId="4" xfId="0" applyFont="1" applyBorder="1" applyAlignment="1">
      <alignment horizontal="left"/>
    </xf>
    <xf numFmtId="0" fontId="67" fillId="0" borderId="3" xfId="0" applyFont="1" applyBorder="1" applyAlignment="1">
      <alignment horizontal="left" indent="1"/>
    </xf>
    <xf numFmtId="0" fontId="67" fillId="0" borderId="4" xfId="0" applyFont="1" applyBorder="1" applyAlignment="1">
      <alignment horizontal="left" indent="1"/>
    </xf>
    <xf numFmtId="0" fontId="65" fillId="0" borderId="3" xfId="0" applyFont="1" applyFill="1" applyBorder="1" applyAlignment="1">
      <alignment horizontal="left"/>
    </xf>
    <xf numFmtId="0" fontId="65" fillId="0" borderId="4" xfId="0" applyFont="1" applyFill="1" applyBorder="1" applyAlignment="1">
      <alignment horizontal="left"/>
    </xf>
    <xf numFmtId="0" fontId="64" fillId="2" borderId="3" xfId="0" applyFont="1" applyFill="1" applyBorder="1" applyAlignment="1">
      <alignment horizontal="left"/>
    </xf>
    <xf numFmtId="0" fontId="69" fillId="12" borderId="4" xfId="0" applyFont="1" applyFill="1" applyBorder="1" applyAlignment="1">
      <alignment horizontal="left"/>
    </xf>
    <xf numFmtId="0" fontId="67" fillId="0" borderId="3" xfId="0" applyFont="1" applyBorder="1" applyAlignment="1">
      <alignment horizontal="left"/>
    </xf>
    <xf numFmtId="0" fontId="67" fillId="0" borderId="4" xfId="0" applyFont="1" applyBorder="1" applyAlignment="1">
      <alignment horizontal="left" indent="2"/>
    </xf>
    <xf numFmtId="0" fontId="65" fillId="0" borderId="3" xfId="0" applyFont="1" applyFill="1" applyBorder="1" applyAlignment="1">
      <alignment horizontal="left" indent="1"/>
    </xf>
    <xf numFmtId="0" fontId="65" fillId="0" borderId="4" xfId="3" applyFont="1" applyFill="1" applyBorder="1" applyAlignment="1">
      <alignment horizontal="left" vertical="top"/>
    </xf>
    <xf numFmtId="0" fontId="65" fillId="0" borderId="27" xfId="0" applyFont="1" applyBorder="1" applyAlignment="1">
      <alignment horizontal="left"/>
    </xf>
    <xf numFmtId="0" fontId="65" fillId="0" borderId="28" xfId="0" applyFont="1" applyBorder="1" applyAlignment="1">
      <alignment horizontal="left"/>
    </xf>
    <xf numFmtId="0" fontId="67" fillId="0" borderId="3" xfId="0" applyFont="1" applyFill="1" applyBorder="1" applyAlignment="1">
      <alignment horizontal="left"/>
    </xf>
    <xf numFmtId="0" fontId="67" fillId="0" borderId="4" xfId="0" applyFont="1" applyFill="1" applyBorder="1" applyAlignment="1">
      <alignment horizontal="left"/>
    </xf>
    <xf numFmtId="0" fontId="65" fillId="0" borderId="3" xfId="0" applyFont="1" applyBorder="1" applyAlignment="1">
      <alignment horizontal="left" indent="2"/>
    </xf>
    <xf numFmtId="0" fontId="65" fillId="0" borderId="4" xfId="0" applyFont="1" applyBorder="1" applyAlignment="1">
      <alignment horizontal="left" indent="2"/>
    </xf>
    <xf numFmtId="0" fontId="65" fillId="0" borderId="6" xfId="0" applyFont="1" applyFill="1" applyBorder="1" applyAlignment="1">
      <alignment horizontal="left"/>
    </xf>
    <xf numFmtId="0" fontId="65" fillId="0" borderId="10" xfId="0" applyFont="1" applyFill="1" applyBorder="1" applyAlignment="1">
      <alignment horizontal="left"/>
    </xf>
    <xf numFmtId="166" fontId="65" fillId="0" borderId="5" xfId="2" quotePrefix="1" applyNumberFormat="1" applyFont="1" applyBorder="1" applyAlignment="1">
      <alignment horizontal="right"/>
    </xf>
    <xf numFmtId="166" fontId="65" fillId="0" borderId="8" xfId="1" applyNumberFormat="1" applyFont="1" applyFill="1" applyBorder="1" applyAlignment="1">
      <alignment horizontal="right"/>
    </xf>
    <xf numFmtId="43" fontId="4" fillId="0" borderId="0" xfId="1" applyNumberFormat="1" applyFont="1" applyBorder="1" applyAlignment="1">
      <alignment horizontal="right"/>
    </xf>
    <xf numFmtId="166" fontId="65" fillId="10" borderId="33" xfId="2" applyNumberFormat="1" applyFont="1" applyFill="1" applyBorder="1" applyAlignment="1">
      <alignment horizontal="right"/>
    </xf>
    <xf numFmtId="9" fontId="65" fillId="10" borderId="7" xfId="2" applyFont="1" applyFill="1" applyBorder="1" applyAlignment="1">
      <alignment horizontal="right"/>
    </xf>
    <xf numFmtId="165" fontId="65" fillId="10" borderId="7" xfId="1" applyNumberFormat="1" applyFont="1" applyFill="1" applyBorder="1" applyAlignment="1">
      <alignment horizontal="right"/>
    </xf>
    <xf numFmtId="0" fontId="65" fillId="0" borderId="27" xfId="0" applyFont="1" applyFill="1" applyBorder="1" applyAlignment="1">
      <alignment horizontal="left" indent="2"/>
    </xf>
    <xf numFmtId="0" fontId="65" fillId="0" borderId="28" xfId="0" applyFont="1" applyFill="1" applyBorder="1" applyAlignment="1">
      <alignment horizontal="left"/>
    </xf>
    <xf numFmtId="0" fontId="67" fillId="0" borderId="3" xfId="0" applyFont="1" applyFill="1" applyBorder="1" applyAlignment="1">
      <alignment horizontal="left" indent="2"/>
    </xf>
    <xf numFmtId="0" fontId="65" fillId="0" borderId="3" xfId="0" applyFont="1" applyFill="1" applyBorder="1" applyAlignment="1">
      <alignment horizontal="left" indent="4"/>
    </xf>
    <xf numFmtId="166" fontId="65" fillId="12" borderId="33" xfId="2" quotePrefix="1" applyNumberFormat="1" applyFont="1" applyFill="1" applyBorder="1" applyAlignment="1">
      <alignment horizontal="right"/>
    </xf>
    <xf numFmtId="227" fontId="71" fillId="12" borderId="0" xfId="1" quotePrefix="1" applyNumberFormat="1" applyFont="1" applyFill="1" applyBorder="1" applyAlignment="1">
      <alignment horizontal="right"/>
    </xf>
    <xf numFmtId="227" fontId="71" fillId="12" borderId="5" xfId="1" quotePrefix="1" applyNumberFormat="1" applyFont="1" applyFill="1" applyBorder="1" applyAlignment="1">
      <alignment horizontal="right"/>
    </xf>
    <xf numFmtId="165" fontId="72" fillId="12" borderId="0" xfId="1" quotePrefix="1" applyNumberFormat="1" applyFont="1" applyFill="1" applyBorder="1" applyAlignment="1">
      <alignment horizontal="right"/>
    </xf>
    <xf numFmtId="9" fontId="65" fillId="12" borderId="0" xfId="2" quotePrefix="1" applyFont="1" applyFill="1" applyBorder="1" applyAlignment="1">
      <alignment horizontal="right"/>
    </xf>
    <xf numFmtId="166" fontId="67" fillId="12" borderId="0" xfId="2" quotePrefix="1" applyNumberFormat="1" applyFont="1" applyFill="1" applyBorder="1" applyAlignment="1">
      <alignment horizontal="right"/>
    </xf>
    <xf numFmtId="0" fontId="67" fillId="0" borderId="14" xfId="0" applyFont="1" applyFill="1" applyBorder="1" applyAlignment="1">
      <alignment horizontal="left"/>
    </xf>
    <xf numFmtId="165" fontId="67" fillId="0" borderId="31" xfId="1" quotePrefix="1" applyNumberFormat="1" applyFont="1" applyFill="1" applyBorder="1" applyAlignment="1">
      <alignment horizontal="right"/>
    </xf>
    <xf numFmtId="0" fontId="75" fillId="0" borderId="27" xfId="0" applyFont="1" applyFill="1" applyBorder="1" applyAlignment="1">
      <alignment horizontal="left"/>
    </xf>
    <xf numFmtId="0" fontId="70" fillId="0" borderId="28" xfId="0" applyFont="1" applyFill="1" applyBorder="1" applyAlignment="1">
      <alignment horizontal="left"/>
    </xf>
    <xf numFmtId="165" fontId="55" fillId="0" borderId="33" xfId="1" quotePrefix="1" applyNumberFormat="1" applyFont="1" applyFill="1" applyBorder="1" applyAlignment="1">
      <alignment horizontal="right"/>
    </xf>
    <xf numFmtId="166" fontId="4" fillId="0" borderId="34" xfId="2" quotePrefix="1" applyNumberFormat="1" applyFont="1" applyFill="1" applyBorder="1" applyAlignment="1">
      <alignment horizontal="right"/>
    </xf>
    <xf numFmtId="165" fontId="65" fillId="10" borderId="32" xfId="1" quotePrefix="1" applyNumberFormat="1" applyFont="1" applyFill="1" applyBorder="1" applyAlignment="1">
      <alignment horizontal="right"/>
    </xf>
    <xf numFmtId="0" fontId="75" fillId="12" borderId="27" xfId="0" applyFont="1" applyFill="1" applyBorder="1" applyAlignment="1">
      <alignment horizontal="left"/>
    </xf>
    <xf numFmtId="0" fontId="70" fillId="12" borderId="28" xfId="0" applyFont="1" applyFill="1" applyBorder="1" applyAlignment="1">
      <alignment horizontal="left"/>
    </xf>
    <xf numFmtId="43" fontId="65" fillId="12" borderId="33" xfId="1" quotePrefix="1" applyFont="1" applyFill="1" applyBorder="1" applyAlignment="1">
      <alignment horizontal="right"/>
    </xf>
    <xf numFmtId="165" fontId="65" fillId="12" borderId="34" xfId="1" quotePrefix="1" applyNumberFormat="1" applyFont="1" applyFill="1" applyBorder="1" applyAlignment="1">
      <alignment horizontal="right"/>
    </xf>
    <xf numFmtId="166" fontId="4" fillId="12" borderId="34" xfId="2" quotePrefix="1" applyNumberFormat="1" applyFont="1" applyFill="1" applyBorder="1" applyAlignment="1">
      <alignment horizontal="right"/>
    </xf>
    <xf numFmtId="165" fontId="65" fillId="12" borderId="5" xfId="1" quotePrefix="1" applyNumberFormat="1" applyFont="1" applyFill="1" applyBorder="1" applyAlignment="1">
      <alignment horizontal="right"/>
    </xf>
    <xf numFmtId="0" fontId="77" fillId="12" borderId="3" xfId="0" applyFont="1" applyFill="1" applyBorder="1" applyAlignment="1">
      <alignment horizontal="left"/>
    </xf>
    <xf numFmtId="0" fontId="65" fillId="12" borderId="4" xfId="0" applyFont="1" applyFill="1" applyBorder="1" applyAlignment="1">
      <alignment horizontal="left" indent="1"/>
    </xf>
    <xf numFmtId="0" fontId="76" fillId="12" borderId="3" xfId="0" applyFont="1" applyFill="1" applyBorder="1" applyAlignment="1">
      <alignment horizontal="left" indent="1"/>
    </xf>
    <xf numFmtId="0" fontId="76" fillId="12" borderId="4" xfId="0" applyFont="1" applyFill="1" applyBorder="1" applyAlignment="1">
      <alignment horizontal="left" indent="1"/>
    </xf>
    <xf numFmtId="165" fontId="76" fillId="12" borderId="0" xfId="1" quotePrefix="1" applyNumberFormat="1" applyFont="1" applyFill="1" applyBorder="1" applyAlignment="1">
      <alignment horizontal="right"/>
    </xf>
    <xf numFmtId="165" fontId="76" fillId="12" borderId="5" xfId="1" quotePrefix="1" applyNumberFormat="1" applyFont="1" applyFill="1" applyBorder="1" applyAlignment="1">
      <alignment horizontal="right"/>
    </xf>
    <xf numFmtId="165" fontId="67" fillId="0" borderId="33" xfId="1" quotePrefix="1" applyNumberFormat="1" applyFont="1" applyFill="1" applyBorder="1" applyAlignment="1">
      <alignment horizontal="right"/>
    </xf>
    <xf numFmtId="0" fontId="75" fillId="0" borderId="27" xfId="0" applyFont="1" applyBorder="1" applyAlignment="1">
      <alignment horizontal="left"/>
    </xf>
    <xf numFmtId="165" fontId="67" fillId="0" borderId="33" xfId="1" applyNumberFormat="1" applyFont="1" applyFill="1" applyBorder="1" applyAlignment="1">
      <alignment horizontal="right"/>
    </xf>
    <xf numFmtId="165" fontId="67" fillId="0" borderId="34" xfId="1" applyNumberFormat="1" applyFont="1" applyBorder="1" applyAlignment="1">
      <alignment horizontal="right"/>
    </xf>
    <xf numFmtId="165" fontId="57" fillId="0" borderId="34" xfId="1" quotePrefix="1" applyNumberFormat="1" applyFont="1" applyFill="1" applyBorder="1" applyAlignment="1">
      <alignment horizontal="right"/>
    </xf>
    <xf numFmtId="0" fontId="75" fillId="12" borderId="27" xfId="0" applyFont="1" applyFill="1" applyBorder="1" applyAlignment="1">
      <alignment horizontal="left" indent="1"/>
    </xf>
    <xf numFmtId="165" fontId="67" fillId="12" borderId="33" xfId="1" quotePrefix="1" applyNumberFormat="1" applyFont="1" applyFill="1" applyBorder="1" applyAlignment="1">
      <alignment horizontal="right"/>
    </xf>
    <xf numFmtId="9" fontId="67" fillId="12" borderId="34" xfId="2" quotePrefix="1" applyFont="1" applyFill="1" applyBorder="1" applyAlignment="1">
      <alignment horizontal="right"/>
    </xf>
    <xf numFmtId="165" fontId="65" fillId="12" borderId="33" xfId="1" quotePrefix="1" applyNumberFormat="1" applyFont="1" applyFill="1" applyBorder="1" applyAlignment="1">
      <alignment horizontal="right"/>
    </xf>
    <xf numFmtId="165" fontId="68" fillId="12" borderId="0" xfId="1" quotePrefix="1" applyNumberFormat="1" applyFont="1" applyFill="1" applyBorder="1" applyAlignment="1">
      <alignment horizontal="right"/>
    </xf>
    <xf numFmtId="165" fontId="65" fillId="12" borderId="5" xfId="2" quotePrefix="1" applyNumberFormat="1" applyFont="1" applyFill="1" applyBorder="1" applyAlignment="1">
      <alignment horizontal="right"/>
    </xf>
    <xf numFmtId="165" fontId="68" fillId="12" borderId="5" xfId="1" quotePrefix="1" applyNumberFormat="1" applyFont="1" applyFill="1" applyBorder="1" applyAlignment="1">
      <alignment horizontal="right"/>
    </xf>
    <xf numFmtId="165" fontId="56" fillId="12" borderId="0" xfId="1" quotePrefix="1" applyNumberFormat="1" applyFont="1" applyFill="1" applyBorder="1" applyAlignment="1">
      <alignment horizontal="right"/>
    </xf>
    <xf numFmtId="0" fontId="76" fillId="12" borderId="3" xfId="0" applyFont="1" applyFill="1" applyBorder="1" applyAlignment="1">
      <alignment horizontal="left" indent="3"/>
    </xf>
    <xf numFmtId="43" fontId="76" fillId="12" borderId="31" xfId="1" applyFont="1" applyFill="1" applyBorder="1" applyAlignment="1">
      <alignment horizontal="left" indent="3"/>
    </xf>
    <xf numFmtId="165" fontId="76" fillId="12" borderId="31" xfId="1" applyNumberFormat="1" applyFont="1" applyFill="1" applyBorder="1" applyAlignment="1">
      <alignment horizontal="left" indent="3"/>
    </xf>
    <xf numFmtId="0" fontId="65" fillId="0" borderId="14" xfId="0" applyFont="1" applyBorder="1" applyAlignment="1">
      <alignment horizontal="left" indent="2"/>
    </xf>
    <xf numFmtId="0" fontId="75" fillId="12" borderId="3" xfId="0" applyFont="1" applyFill="1" applyBorder="1" applyAlignment="1">
      <alignment horizontal="left"/>
    </xf>
    <xf numFmtId="0" fontId="66" fillId="12" borderId="3" xfId="0" applyFont="1" applyFill="1" applyBorder="1" applyAlignment="1">
      <alignment horizontal="left" indent="1"/>
    </xf>
    <xf numFmtId="165" fontId="67" fillId="12" borderId="0" xfId="1" applyNumberFormat="1" applyFont="1" applyFill="1" applyBorder="1" applyAlignment="1">
      <alignment horizontal="right"/>
    </xf>
    <xf numFmtId="165" fontId="67" fillId="12" borderId="5" xfId="1" applyNumberFormat="1" applyFont="1" applyFill="1" applyBorder="1" applyAlignment="1">
      <alignment horizontal="right"/>
    </xf>
    <xf numFmtId="166" fontId="65" fillId="12" borderId="33" xfId="2" applyNumberFormat="1" applyFont="1" applyFill="1" applyBorder="1" applyAlignment="1">
      <alignment horizontal="right"/>
    </xf>
    <xf numFmtId="166" fontId="65" fillId="12" borderId="34" xfId="2" applyNumberFormat="1" applyFont="1" applyFill="1" applyBorder="1" applyAlignment="1">
      <alignment horizontal="right"/>
    </xf>
    <xf numFmtId="166" fontId="65" fillId="12" borderId="0" xfId="2" applyNumberFormat="1" applyFont="1" applyFill="1" applyBorder="1" applyAlignment="1">
      <alignment horizontal="right"/>
    </xf>
    <xf numFmtId="166" fontId="4" fillId="12" borderId="0" xfId="2" applyNumberFormat="1" applyFont="1" applyFill="1" applyBorder="1" applyAlignment="1">
      <alignment horizontal="right"/>
    </xf>
    <xf numFmtId="166" fontId="65" fillId="12" borderId="5" xfId="2" applyNumberFormat="1" applyFont="1" applyFill="1" applyBorder="1" applyAlignment="1">
      <alignment horizontal="right"/>
    </xf>
    <xf numFmtId="9" fontId="4" fillId="12" borderId="5" xfId="2" applyFont="1" applyFill="1" applyBorder="1" applyAlignment="1">
      <alignment horizontal="right"/>
    </xf>
    <xf numFmtId="165" fontId="65" fillId="0" borderId="33" xfId="1" applyNumberFormat="1" applyFont="1" applyFill="1" applyBorder="1" applyAlignment="1">
      <alignment horizontal="right"/>
    </xf>
    <xf numFmtId="165" fontId="65" fillId="0" borderId="34" xfId="1" applyNumberFormat="1" applyFont="1" applyBorder="1" applyAlignment="1">
      <alignment horizontal="right"/>
    </xf>
    <xf numFmtId="165" fontId="65" fillId="12" borderId="33" xfId="1" applyNumberFormat="1" applyFont="1" applyFill="1" applyBorder="1" applyAlignment="1">
      <alignment horizontal="right"/>
    </xf>
    <xf numFmtId="165" fontId="65" fillId="12" borderId="34" xfId="1" applyNumberFormat="1" applyFont="1" applyFill="1" applyBorder="1" applyAlignment="1">
      <alignment horizontal="right"/>
    </xf>
    <xf numFmtId="165" fontId="4" fillId="12" borderId="33" xfId="1" applyNumberFormat="1" applyFont="1" applyFill="1" applyBorder="1" applyAlignment="1">
      <alignment horizontal="right"/>
    </xf>
    <xf numFmtId="165" fontId="65" fillId="12" borderId="0" xfId="1" applyNumberFormat="1" applyFont="1" applyFill="1" applyBorder="1" applyAlignment="1">
      <alignment horizontal="right"/>
    </xf>
    <xf numFmtId="165" fontId="65" fillId="12" borderId="5" xfId="1" applyNumberFormat="1" applyFont="1" applyFill="1" applyBorder="1" applyAlignment="1">
      <alignment horizontal="right"/>
    </xf>
    <xf numFmtId="165" fontId="68" fillId="12" borderId="0" xfId="1" applyNumberFormat="1" applyFont="1" applyFill="1" applyBorder="1" applyAlignment="1">
      <alignment horizontal="right"/>
    </xf>
    <xf numFmtId="165" fontId="68" fillId="12" borderId="5" xfId="1" applyNumberFormat="1" applyFont="1" applyFill="1" applyBorder="1" applyAlignment="1">
      <alignment horizontal="right"/>
    </xf>
    <xf numFmtId="0" fontId="65" fillId="12" borderId="3" xfId="3" applyFont="1" applyFill="1" applyBorder="1" applyAlignment="1">
      <alignment horizontal="left" vertical="top"/>
    </xf>
    <xf numFmtId="0" fontId="65" fillId="12" borderId="4" xfId="3" applyFont="1" applyFill="1" applyBorder="1" applyAlignment="1">
      <alignment horizontal="left" vertical="top"/>
    </xf>
    <xf numFmtId="165" fontId="4" fillId="12" borderId="0" xfId="1" applyNumberFormat="1" applyFont="1" applyFill="1" applyBorder="1" applyAlignment="1">
      <alignment horizontal="right"/>
    </xf>
    <xf numFmtId="165" fontId="4" fillId="12" borderId="5" xfId="1" applyNumberFormat="1" applyFont="1" applyFill="1" applyBorder="1" applyAlignment="1">
      <alignment horizontal="right"/>
    </xf>
    <xf numFmtId="165" fontId="65" fillId="12" borderId="32" xfId="1" applyNumberFormat="1" applyFont="1" applyFill="1" applyBorder="1" applyAlignment="1">
      <alignment horizontal="right"/>
    </xf>
    <xf numFmtId="165" fontId="65" fillId="12" borderId="31" xfId="1" applyNumberFormat="1" applyFont="1" applyFill="1" applyBorder="1" applyAlignment="1">
      <alignment horizontal="right"/>
    </xf>
    <xf numFmtId="9" fontId="65" fillId="0" borderId="33" xfId="2" applyFont="1" applyFill="1" applyBorder="1" applyAlignment="1">
      <alignment horizontal="right"/>
    </xf>
    <xf numFmtId="9" fontId="65" fillId="0" borderId="33" xfId="2" applyFont="1" applyBorder="1" applyAlignment="1">
      <alignment horizontal="right"/>
    </xf>
    <xf numFmtId="9" fontId="65" fillId="0" borderId="34" xfId="2" applyFont="1" applyBorder="1" applyAlignment="1">
      <alignment horizontal="right"/>
    </xf>
    <xf numFmtId="9" fontId="65" fillId="10" borderId="33" xfId="2" applyFont="1" applyFill="1" applyBorder="1" applyAlignment="1">
      <alignment horizontal="right"/>
    </xf>
    <xf numFmtId="0" fontId="65" fillId="12" borderId="27" xfId="0" applyFont="1" applyFill="1" applyBorder="1" applyAlignment="1">
      <alignment horizontal="left"/>
    </xf>
    <xf numFmtId="164" fontId="65" fillId="12" borderId="34" xfId="1" quotePrefix="1" applyNumberFormat="1" applyFont="1" applyFill="1" applyBorder="1" applyAlignment="1">
      <alignment horizontal="right"/>
    </xf>
    <xf numFmtId="166" fontId="65" fillId="12" borderId="34" xfId="2" quotePrefix="1" applyNumberFormat="1" applyFont="1" applyFill="1" applyBorder="1" applyAlignment="1">
      <alignment horizontal="right"/>
    </xf>
    <xf numFmtId="164" fontId="65" fillId="12" borderId="0" xfId="1" quotePrefix="1" applyNumberFormat="1" applyFont="1" applyFill="1" applyBorder="1" applyAlignment="1">
      <alignment horizontal="right"/>
    </xf>
    <xf numFmtId="43" fontId="65" fillId="12" borderId="0" xfId="1" quotePrefix="1" applyNumberFormat="1" applyFont="1" applyFill="1" applyBorder="1" applyAlignment="1">
      <alignment horizontal="right"/>
    </xf>
    <xf numFmtId="164" fontId="65" fillId="12" borderId="5" xfId="1" quotePrefix="1" applyNumberFormat="1" applyFont="1" applyFill="1" applyBorder="1" applyAlignment="1">
      <alignment horizontal="right"/>
    </xf>
    <xf numFmtId="43" fontId="65" fillId="12" borderId="5" xfId="1" quotePrefix="1" applyNumberFormat="1" applyFont="1" applyFill="1" applyBorder="1" applyAlignment="1">
      <alignment horizontal="right"/>
    </xf>
    <xf numFmtId="9" fontId="65" fillId="12" borderId="5" xfId="2" applyFont="1" applyFill="1" applyBorder="1" applyAlignment="1">
      <alignment horizontal="right"/>
    </xf>
    <xf numFmtId="166" fontId="65" fillId="12" borderId="5" xfId="2" quotePrefix="1" applyNumberFormat="1" applyFont="1" applyFill="1" applyBorder="1" applyAlignment="1">
      <alignment horizontal="right"/>
    </xf>
    <xf numFmtId="165" fontId="65" fillId="0" borderId="34" xfId="1" applyNumberFormat="1" applyFont="1" applyFill="1" applyBorder="1" applyAlignment="1">
      <alignment horizontal="right"/>
    </xf>
    <xf numFmtId="165" fontId="4" fillId="0" borderId="33" xfId="1" applyNumberFormat="1" applyFont="1" applyFill="1" applyBorder="1" applyAlignment="1">
      <alignment horizontal="right"/>
    </xf>
    <xf numFmtId="165" fontId="65" fillId="10" borderId="33" xfId="1" applyNumberFormat="1" applyFont="1" applyFill="1" applyBorder="1" applyAlignment="1">
      <alignment horizontal="right"/>
    </xf>
    <xf numFmtId="164" fontId="61" fillId="2" borderId="55" xfId="1" quotePrefix="1" applyNumberFormat="1" applyFont="1" applyFill="1" applyBorder="1" applyAlignment="1">
      <alignment horizontal="right"/>
    </xf>
    <xf numFmtId="164" fontId="62" fillId="2" borderId="5" xfId="1" quotePrefix="1" applyNumberFormat="1" applyFont="1" applyFill="1" applyBorder="1" applyAlignment="1">
      <alignment horizontal="right"/>
    </xf>
    <xf numFmtId="9" fontId="65" fillId="0" borderId="8" xfId="2" quotePrefix="1" applyFont="1" applyFill="1" applyBorder="1" applyAlignment="1">
      <alignment horizontal="right"/>
    </xf>
    <xf numFmtId="0" fontId="4" fillId="0" borderId="10" xfId="0" applyFont="1" applyFill="1" applyBorder="1" applyAlignment="1">
      <alignment horizontal="left"/>
    </xf>
    <xf numFmtId="164" fontId="2" fillId="3" borderId="55" xfId="1" quotePrefix="1" applyNumberFormat="1" applyFont="1" applyFill="1" applyBorder="1" applyAlignment="1">
      <alignment horizontal="right"/>
    </xf>
    <xf numFmtId="164" fontId="56" fillId="3" borderId="5" xfId="1" quotePrefix="1" applyNumberFormat="1" applyFont="1" applyFill="1" applyBorder="1" applyAlignment="1">
      <alignment horizontal="right"/>
    </xf>
    <xf numFmtId="0" fontId="64" fillId="2" borderId="4" xfId="0" applyFont="1" applyFill="1" applyBorder="1" applyAlignment="1">
      <alignment horizontal="left"/>
    </xf>
    <xf numFmtId="0" fontId="4" fillId="0" borderId="4" xfId="0" applyFont="1" applyFill="1" applyBorder="1" applyAlignment="1">
      <alignment horizontal="left"/>
    </xf>
    <xf numFmtId="0" fontId="69" fillId="12" borderId="28" xfId="0" applyFont="1" applyFill="1" applyBorder="1" applyAlignment="1">
      <alignment horizontal="left"/>
    </xf>
    <xf numFmtId="0" fontId="71" fillId="0" borderId="28" xfId="0" applyFont="1" applyBorder="1" applyAlignment="1">
      <alignment horizontal="left"/>
    </xf>
    <xf numFmtId="0" fontId="71" fillId="0" borderId="4" xfId="0" applyFont="1" applyBorder="1" applyAlignment="1">
      <alignment horizontal="left"/>
    </xf>
    <xf numFmtId="0" fontId="71" fillId="0" borderId="15" xfId="0" applyFont="1" applyBorder="1" applyAlignment="1">
      <alignment horizontal="left"/>
    </xf>
    <xf numFmtId="0" fontId="69" fillId="0" borderId="28" xfId="0" applyFont="1" applyBorder="1" applyAlignment="1">
      <alignment horizontal="left"/>
    </xf>
    <xf numFmtId="9" fontId="65" fillId="0" borderId="8" xfId="2" applyNumberFormat="1" applyFont="1" applyFill="1" applyBorder="1" applyAlignment="1">
      <alignment horizontal="right"/>
    </xf>
    <xf numFmtId="9" fontId="65" fillId="0" borderId="8" xfId="2" applyFont="1" applyFill="1" applyBorder="1" applyAlignment="1">
      <alignment horizontal="right"/>
    </xf>
    <xf numFmtId="43" fontId="4" fillId="0" borderId="5" xfId="1" quotePrefix="1" applyNumberFormat="1" applyFont="1" applyBorder="1" applyAlignment="1">
      <alignment horizontal="right"/>
    </xf>
    <xf numFmtId="43" fontId="4" fillId="12" borderId="5" xfId="1" quotePrefix="1" applyNumberFormat="1" applyFont="1" applyFill="1" applyBorder="1" applyAlignment="1">
      <alignment horizontal="right"/>
    </xf>
    <xf numFmtId="10" fontId="4" fillId="0" borderId="5" xfId="2" applyNumberFormat="1" applyFont="1" applyBorder="1" applyAlignment="1">
      <alignment horizontal="right"/>
    </xf>
    <xf numFmtId="164" fontId="6" fillId="2" borderId="44" xfId="1" quotePrefix="1" applyNumberFormat="1" applyFont="1" applyFill="1" applyBorder="1" applyAlignment="1">
      <alignment horizontal="left" vertical="center" wrapText="1"/>
    </xf>
    <xf numFmtId="164" fontId="6" fillId="2" borderId="45" xfId="1" quotePrefix="1" applyNumberFormat="1" applyFont="1" applyFill="1" applyBorder="1" applyAlignment="1">
      <alignment horizontal="left" vertical="center" wrapText="1"/>
    </xf>
    <xf numFmtId="165" fontId="65" fillId="11" borderId="5" xfId="1" applyNumberFormat="1" applyFont="1" applyFill="1" applyBorder="1" applyAlignment="1">
      <alignment horizontal="right"/>
    </xf>
    <xf numFmtId="166" fontId="72" fillId="0" borderId="0" xfId="2" applyNumberFormat="1" applyFont="1" applyFill="1" applyBorder="1" applyAlignment="1">
      <alignment horizontal="right"/>
    </xf>
    <xf numFmtId="164" fontId="65" fillId="0" borderId="32" xfId="1" quotePrefix="1" applyNumberFormat="1" applyFont="1" applyFill="1" applyBorder="1" applyAlignment="1">
      <alignment horizontal="right"/>
    </xf>
    <xf numFmtId="167" fontId="65" fillId="0" borderId="0" xfId="1" quotePrefix="1" applyNumberFormat="1" applyFont="1" applyFill="1" applyBorder="1" applyAlignment="1">
      <alignment horizontal="left"/>
    </xf>
    <xf numFmtId="0" fontId="81" fillId="2" borderId="63" xfId="0" applyFont="1" applyFill="1" applyBorder="1" applyAlignment="1">
      <alignment horizontal="center" vertical="center" wrapText="1"/>
    </xf>
    <xf numFmtId="0" fontId="81" fillId="2" borderId="65" xfId="0" applyFont="1" applyFill="1" applyBorder="1" applyAlignment="1">
      <alignment horizontal="center" vertical="center" wrapText="1"/>
    </xf>
    <xf numFmtId="0" fontId="82" fillId="2" borderId="62" xfId="0" applyFont="1" applyFill="1" applyBorder="1" applyAlignment="1">
      <alignment horizontal="center" vertical="center" wrapText="1"/>
    </xf>
    <xf numFmtId="0" fontId="82" fillId="2" borderId="64" xfId="0" applyFont="1" applyFill="1" applyBorder="1" applyAlignment="1">
      <alignment horizontal="center" vertical="center" wrapText="1"/>
    </xf>
    <xf numFmtId="0" fontId="83" fillId="0" borderId="70" xfId="0" applyFont="1" applyFill="1" applyBorder="1" applyAlignment="1">
      <alignment vertical="center" wrapText="1"/>
    </xf>
    <xf numFmtId="14" fontId="84" fillId="0" borderId="74" xfId="0" applyNumberFormat="1" applyFont="1" applyFill="1" applyBorder="1" applyAlignment="1">
      <alignment horizontal="center" vertical="center" wrapText="1"/>
    </xf>
    <xf numFmtId="14" fontId="84" fillId="0" borderId="75" xfId="0" applyNumberFormat="1" applyFont="1" applyFill="1" applyBorder="1" applyAlignment="1">
      <alignment horizontal="center" vertical="center" wrapText="1"/>
    </xf>
    <xf numFmtId="14" fontId="84" fillId="0" borderId="61" xfId="0" applyNumberFormat="1" applyFont="1" applyFill="1" applyBorder="1" applyAlignment="1">
      <alignment horizontal="center" vertical="center" wrapText="1"/>
    </xf>
    <xf numFmtId="14" fontId="84" fillId="0" borderId="63" xfId="0" applyNumberFormat="1" applyFont="1" applyFill="1" applyBorder="1" applyAlignment="1">
      <alignment horizontal="center" vertical="center" wrapText="1"/>
    </xf>
    <xf numFmtId="14" fontId="84" fillId="0" borderId="70" xfId="0" applyNumberFormat="1" applyFont="1" applyFill="1" applyBorder="1" applyAlignment="1">
      <alignment horizontal="center" vertical="center" wrapText="1"/>
    </xf>
    <xf numFmtId="14" fontId="84" fillId="0" borderId="72" xfId="0" applyNumberFormat="1" applyFont="1" applyFill="1" applyBorder="1" applyAlignment="1">
      <alignment horizontal="center" vertical="center" wrapText="1"/>
    </xf>
    <xf numFmtId="0" fontId="83" fillId="0" borderId="74" xfId="0" applyFont="1" applyFill="1" applyBorder="1" applyAlignment="1">
      <alignment vertical="center" wrapText="1"/>
    </xf>
    <xf numFmtId="8" fontId="84" fillId="0" borderId="75" xfId="0" applyNumberFormat="1" applyFont="1" applyFill="1" applyBorder="1" applyAlignment="1">
      <alignment horizontal="center" vertical="center" wrapText="1"/>
    </xf>
    <xf numFmtId="228" fontId="0" fillId="0" borderId="41" xfId="0" applyNumberFormat="1" applyBorder="1" applyAlignment="1">
      <alignment horizontal="right" vertical="center"/>
    </xf>
    <xf numFmtId="166" fontId="0" fillId="0" borderId="41" xfId="2" applyNumberFormat="1" applyFont="1" applyFill="1" applyBorder="1" applyAlignment="1">
      <alignment horizontal="right" vertical="center"/>
    </xf>
    <xf numFmtId="226" fontId="0" fillId="0" borderId="41" xfId="0" applyNumberFormat="1" applyBorder="1" applyAlignment="1">
      <alignment horizontal="right" vertical="center"/>
    </xf>
    <xf numFmtId="228" fontId="0" fillId="0" borderId="4" xfId="0" applyNumberFormat="1" applyBorder="1" applyAlignment="1">
      <alignment horizontal="right" vertical="center"/>
    </xf>
    <xf numFmtId="166" fontId="0" fillId="0" borderId="4" xfId="2" applyNumberFormat="1" applyFont="1" applyFill="1" applyBorder="1" applyAlignment="1">
      <alignment horizontal="right" vertical="center"/>
    </xf>
    <xf numFmtId="226" fontId="0" fillId="0" borderId="4" xfId="0" applyNumberFormat="1" applyBorder="1" applyAlignment="1">
      <alignment horizontal="right" vertical="center"/>
    </xf>
    <xf numFmtId="228" fontId="0" fillId="0" borderId="10" xfId="0" applyNumberFormat="1" applyBorder="1" applyAlignment="1">
      <alignment horizontal="right" vertical="center"/>
    </xf>
    <xf numFmtId="164" fontId="6" fillId="2" borderId="0" xfId="1" quotePrefix="1" applyNumberFormat="1" applyFont="1" applyFill="1" applyBorder="1" applyAlignment="1">
      <alignment horizontal="center" vertical="center" wrapText="1"/>
    </xf>
    <xf numFmtId="228" fontId="0" fillId="0" borderId="0" xfId="0" applyNumberFormat="1" applyBorder="1" applyAlignment="1">
      <alignment horizontal="right" vertical="center"/>
    </xf>
    <xf numFmtId="166" fontId="0" fillId="0" borderId="0" xfId="2" applyNumberFormat="1" applyFont="1" applyFill="1" applyBorder="1" applyAlignment="1">
      <alignment horizontal="right" vertical="center"/>
    </xf>
    <xf numFmtId="226" fontId="0" fillId="0" borderId="0" xfId="0" applyNumberFormat="1" applyBorder="1" applyAlignment="1">
      <alignment horizontal="right" vertical="center"/>
    </xf>
    <xf numFmtId="228" fontId="0" fillId="0" borderId="7" xfId="0" applyNumberFormat="1" applyBorder="1" applyAlignment="1">
      <alignment horizontal="right" vertical="center"/>
    </xf>
    <xf numFmtId="164" fontId="6" fillId="2" borderId="3" xfId="1" quotePrefix="1" applyNumberFormat="1" applyFont="1" applyFill="1" applyBorder="1" applyAlignment="1">
      <alignment horizontal="center" vertical="center" wrapText="1"/>
    </xf>
    <xf numFmtId="164" fontId="6" fillId="2" borderId="77" xfId="1" quotePrefix="1" applyNumberFormat="1" applyFont="1" applyFill="1" applyBorder="1" applyAlignment="1">
      <alignment horizontal="center" vertical="center" wrapText="1"/>
    </xf>
    <xf numFmtId="228" fontId="0" fillId="12" borderId="41" xfId="0" applyNumberFormat="1" applyFill="1" applyBorder="1" applyAlignment="1">
      <alignment horizontal="right" vertical="center"/>
    </xf>
    <xf numFmtId="166" fontId="0" fillId="12" borderId="41" xfId="2" applyNumberFormat="1" applyFont="1" applyFill="1" applyBorder="1" applyAlignment="1">
      <alignment horizontal="right" vertical="center"/>
    </xf>
    <xf numFmtId="226" fontId="0" fillId="12" borderId="41" xfId="0" applyNumberFormat="1" applyFill="1" applyBorder="1" applyAlignment="1">
      <alignment horizontal="right" vertical="center"/>
    </xf>
    <xf numFmtId="228" fontId="0" fillId="12" borderId="43" xfId="0" applyNumberFormat="1" applyFill="1" applyBorder="1" applyAlignment="1">
      <alignment horizontal="right" vertical="center"/>
    </xf>
    <xf numFmtId="228" fontId="55" fillId="0" borderId="0" xfId="0" applyNumberFormat="1" applyFont="1" applyBorder="1" applyAlignment="1">
      <alignment horizontal="right" vertical="center"/>
    </xf>
    <xf numFmtId="228" fontId="0" fillId="0" borderId="41" xfId="0" applyNumberFormat="1" applyFill="1" applyBorder="1" applyAlignment="1">
      <alignment horizontal="right" vertical="center"/>
    </xf>
    <xf numFmtId="226" fontId="0" fillId="0" borderId="41" xfId="0" applyNumberFormat="1" applyFill="1" applyBorder="1" applyAlignment="1">
      <alignment horizontal="right" vertical="center"/>
    </xf>
    <xf numFmtId="228" fontId="0" fillId="0" borderId="43" xfId="0" applyNumberFormat="1" applyFill="1" applyBorder="1" applyAlignment="1">
      <alignment horizontal="right" vertical="center"/>
    </xf>
    <xf numFmtId="164" fontId="6" fillId="2" borderId="76" xfId="1" quotePrefix="1" applyNumberFormat="1" applyFont="1" applyFill="1" applyBorder="1" applyAlignment="1">
      <alignment vertical="center" wrapText="1"/>
    </xf>
    <xf numFmtId="164" fontId="6" fillId="2" borderId="77" xfId="1" quotePrefix="1" applyNumberFormat="1" applyFont="1" applyFill="1" applyBorder="1" applyAlignment="1">
      <alignment vertical="center" wrapText="1"/>
    </xf>
    <xf numFmtId="164" fontId="6" fillId="2" borderId="82" xfId="1" quotePrefix="1" applyNumberFormat="1" applyFont="1" applyFill="1" applyBorder="1" applyAlignment="1">
      <alignment vertical="center" wrapText="1"/>
    </xf>
    <xf numFmtId="164" fontId="6" fillId="2" borderId="80" xfId="1" quotePrefix="1" applyNumberFormat="1" applyFont="1" applyFill="1" applyBorder="1" applyAlignment="1">
      <alignment vertical="center" wrapText="1"/>
    </xf>
    <xf numFmtId="0" fontId="89" fillId="0" borderId="3" xfId="0" applyFont="1" applyBorder="1"/>
    <xf numFmtId="0" fontId="87" fillId="0" borderId="3" xfId="0" applyFont="1" applyBorder="1"/>
    <xf numFmtId="5" fontId="87" fillId="0" borderId="4" xfId="1" applyNumberFormat="1" applyFont="1" applyFill="1" applyBorder="1" applyAlignment="1">
      <alignment horizontal="right"/>
    </xf>
    <xf numFmtId="165" fontId="88" fillId="0" borderId="15" xfId="1" applyNumberFormat="1" applyFont="1" applyBorder="1" applyAlignment="1">
      <alignment horizontal="right"/>
    </xf>
    <xf numFmtId="0" fontId="87" fillId="0" borderId="3" xfId="0" applyFont="1" applyFill="1" applyBorder="1"/>
    <xf numFmtId="43" fontId="87" fillId="0" borderId="4" xfId="1" applyNumberFormat="1" applyFont="1" applyBorder="1" applyAlignment="1">
      <alignment horizontal="right"/>
    </xf>
    <xf numFmtId="166" fontId="87" fillId="10" borderId="4" xfId="1" applyNumberFormat="1" applyFont="1" applyFill="1" applyBorder="1" applyAlignment="1">
      <alignment horizontal="right"/>
    </xf>
    <xf numFmtId="166" fontId="88" fillId="0" borderId="4" xfId="2" applyNumberFormat="1" applyFont="1" applyBorder="1" applyAlignment="1">
      <alignment horizontal="right"/>
    </xf>
    <xf numFmtId="10" fontId="87" fillId="10" borderId="4" xfId="2" applyNumberFormat="1" applyFont="1" applyFill="1" applyBorder="1" applyAlignment="1">
      <alignment horizontal="right"/>
    </xf>
    <xf numFmtId="166" fontId="65" fillId="0" borderId="4" xfId="2" applyNumberFormat="1" applyFont="1" applyBorder="1" applyAlignment="1">
      <alignment horizontal="right"/>
    </xf>
    <xf numFmtId="166" fontId="67" fillId="0" borderId="15" xfId="2" applyNumberFormat="1" applyFont="1" applyBorder="1" applyAlignment="1">
      <alignment horizontal="right"/>
    </xf>
    <xf numFmtId="0" fontId="88" fillId="0" borderId="14" xfId="0" applyFont="1" applyFill="1" applyBorder="1" applyAlignment="1">
      <alignment horizontal="left" indent="1"/>
    </xf>
    <xf numFmtId="0" fontId="88" fillId="0" borderId="3" xfId="0" applyFont="1" applyFill="1" applyBorder="1" applyAlignment="1">
      <alignment horizontal="left" indent="1"/>
    </xf>
    <xf numFmtId="0" fontId="67" fillId="0" borderId="14" xfId="0" applyFont="1" applyFill="1" applyBorder="1" applyAlignment="1">
      <alignment horizontal="left" indent="1"/>
    </xf>
    <xf numFmtId="166" fontId="88" fillId="0" borderId="15" xfId="2" applyNumberFormat="1" applyFont="1" applyBorder="1" applyAlignment="1">
      <alignment horizontal="right"/>
    </xf>
    <xf numFmtId="166" fontId="65" fillId="10" borderId="4" xfId="2" applyNumberFormat="1" applyFont="1" applyFill="1" applyBorder="1" applyAlignment="1">
      <alignment horizontal="right"/>
    </xf>
    <xf numFmtId="0" fontId="69" fillId="0" borderId="3" xfId="0" applyFont="1" applyBorder="1"/>
    <xf numFmtId="164" fontId="65" fillId="0" borderId="4" xfId="1" applyNumberFormat="1" applyFont="1" applyBorder="1" applyAlignment="1">
      <alignment horizontal="right"/>
    </xf>
    <xf numFmtId="165" fontId="90" fillId="0" borderId="4" xfId="1" applyNumberFormat="1" applyFont="1" applyFill="1" applyBorder="1" applyAlignment="1">
      <alignment horizontal="right"/>
    </xf>
    <xf numFmtId="166" fontId="65" fillId="0" borderId="8" xfId="2" quotePrefix="1" applyNumberFormat="1" applyFont="1" applyFill="1" applyBorder="1" applyAlignment="1">
      <alignment horizontal="right"/>
    </xf>
    <xf numFmtId="166" fontId="4" fillId="0" borderId="0" xfId="2" applyNumberFormat="1" applyFont="1" applyAlignment="1">
      <alignment horizontal="right"/>
    </xf>
    <xf numFmtId="165" fontId="67" fillId="0" borderId="8" xfId="1" applyNumberFormat="1" applyFont="1" applyFill="1" applyBorder="1" applyAlignment="1">
      <alignment horizontal="right"/>
    </xf>
    <xf numFmtId="5" fontId="69" fillId="0" borderId="4" xfId="1" applyNumberFormat="1" applyFont="1" applyBorder="1" applyAlignment="1">
      <alignment horizontal="right"/>
    </xf>
    <xf numFmtId="43" fontId="65" fillId="0" borderId="0" xfId="1" quotePrefix="1" applyNumberFormat="1" applyFont="1" applyFill="1" applyBorder="1" applyAlignment="1">
      <alignment horizontal="right"/>
    </xf>
    <xf numFmtId="43" fontId="4" fillId="0" borderId="5" xfId="1" quotePrefix="1" applyNumberFormat="1" applyFont="1" applyFill="1" applyBorder="1" applyAlignment="1">
      <alignment horizontal="right"/>
    </xf>
    <xf numFmtId="166" fontId="65" fillId="10" borderId="33" xfId="2" quotePrefix="1" applyNumberFormat="1" applyFont="1" applyFill="1" applyBorder="1" applyAlignment="1">
      <alignment horizontal="right"/>
    </xf>
    <xf numFmtId="10" fontId="4" fillId="0" borderId="5" xfId="2" quotePrefix="1" applyNumberFormat="1" applyFont="1" applyFill="1" applyBorder="1" applyAlignment="1">
      <alignment horizontal="right"/>
    </xf>
    <xf numFmtId="165" fontId="65" fillId="0" borderId="4" xfId="1" applyNumberFormat="1" applyFont="1" applyFill="1" applyBorder="1" applyAlignment="1">
      <alignment horizontal="right"/>
    </xf>
    <xf numFmtId="165" fontId="65" fillId="0" borderId="4" xfId="1" applyNumberFormat="1" applyFont="1" applyBorder="1" applyAlignment="1">
      <alignment horizontal="right"/>
    </xf>
    <xf numFmtId="43" fontId="68" fillId="0" borderId="4" xfId="1" applyNumberFormat="1" applyFont="1" applyFill="1" applyBorder="1" applyAlignment="1">
      <alignment horizontal="right"/>
    </xf>
    <xf numFmtId="43" fontId="65" fillId="0" borderId="0" xfId="1" applyFont="1" applyFill="1" applyAlignment="1">
      <alignment horizontal="right"/>
    </xf>
    <xf numFmtId="165" fontId="65" fillId="0" borderId="0" xfId="1" applyNumberFormat="1" applyFont="1" applyFill="1" applyAlignment="1">
      <alignment horizontal="right"/>
    </xf>
    <xf numFmtId="166" fontId="65" fillId="0" borderId="0" xfId="2" applyNumberFormat="1" applyFont="1" applyFill="1" applyAlignment="1">
      <alignment horizontal="right"/>
    </xf>
    <xf numFmtId="43" fontId="65" fillId="0" borderId="0" xfId="1" applyNumberFormat="1" applyFont="1" applyFill="1" applyAlignment="1">
      <alignment horizontal="right"/>
    </xf>
    <xf numFmtId="167" fontId="65" fillId="0" borderId="0" xfId="1" applyNumberFormat="1" applyFont="1" applyFill="1" applyAlignment="1">
      <alignment horizontal="right"/>
    </xf>
    <xf numFmtId="166" fontId="65" fillId="0" borderId="0" xfId="1" applyNumberFormat="1" applyFont="1" applyFill="1" applyAlignment="1">
      <alignment horizontal="right"/>
    </xf>
    <xf numFmtId="229" fontId="65" fillId="10" borderId="4" xfId="1" applyNumberFormat="1" applyFont="1" applyFill="1" applyBorder="1" applyAlignment="1">
      <alignment horizontal="right"/>
    </xf>
    <xf numFmtId="43" fontId="65" fillId="0" borderId="4" xfId="1" quotePrefix="1" applyNumberFormat="1" applyFont="1" applyBorder="1" applyAlignment="1">
      <alignment horizontal="right"/>
    </xf>
    <xf numFmtId="5" fontId="67" fillId="0" borderId="4" xfId="1" applyNumberFormat="1" applyFont="1" applyBorder="1" applyAlignment="1">
      <alignment horizontal="right"/>
    </xf>
    <xf numFmtId="0" fontId="67" fillId="0" borderId="25" xfId="0" applyFont="1" applyFill="1" applyBorder="1" applyAlignment="1">
      <alignment horizontal="left"/>
    </xf>
    <xf numFmtId="5" fontId="67" fillId="0" borderId="26" xfId="1" applyNumberFormat="1" applyFont="1" applyBorder="1" applyAlignment="1">
      <alignment horizontal="right"/>
    </xf>
    <xf numFmtId="0" fontId="67" fillId="0" borderId="1" xfId="0" applyFont="1" applyFill="1" applyBorder="1" applyAlignment="1">
      <alignment horizontal="left"/>
    </xf>
    <xf numFmtId="5" fontId="67" fillId="0" borderId="11" xfId="1" applyNumberFormat="1" applyFont="1" applyBorder="1" applyAlignment="1">
      <alignment horizontal="right"/>
    </xf>
    <xf numFmtId="0" fontId="65" fillId="0" borderId="1" xfId="0" applyFont="1" applyBorder="1"/>
    <xf numFmtId="5" fontId="65" fillId="0" borderId="4" xfId="1" applyNumberFormat="1" applyFont="1" applyFill="1" applyBorder="1" applyAlignment="1">
      <alignment horizontal="right"/>
    </xf>
    <xf numFmtId="10" fontId="65" fillId="10" borderId="11" xfId="1" applyNumberFormat="1" applyFont="1" applyFill="1" applyBorder="1" applyAlignment="1">
      <alignment horizontal="right"/>
    </xf>
    <xf numFmtId="10" fontId="65" fillId="10" borderId="4" xfId="2" applyNumberFormat="1" applyFont="1" applyFill="1" applyBorder="1" applyAlignment="1">
      <alignment horizontal="right"/>
    </xf>
    <xf numFmtId="0" fontId="0" fillId="0" borderId="0" xfId="0" applyBorder="1"/>
    <xf numFmtId="228" fontId="79" fillId="16" borderId="0" xfId="0" applyNumberFormat="1" applyFont="1" applyFill="1" applyBorder="1" applyAlignment="1">
      <alignment horizontal="right" vertical="center"/>
    </xf>
    <xf numFmtId="166" fontId="79" fillId="16" borderId="0" xfId="2" applyNumberFormat="1" applyFont="1" applyFill="1" applyBorder="1" applyAlignment="1">
      <alignment horizontal="right" vertical="center"/>
    </xf>
    <xf numFmtId="226" fontId="79" fillId="16" borderId="0" xfId="0" applyNumberFormat="1" applyFont="1" applyFill="1" applyBorder="1" applyAlignment="1">
      <alignment horizontal="right" vertical="center"/>
    </xf>
    <xf numFmtId="228" fontId="79" fillId="16" borderId="7" xfId="0" applyNumberFormat="1" applyFont="1" applyFill="1" applyBorder="1" applyAlignment="1">
      <alignment horizontal="right" vertical="center"/>
    </xf>
    <xf numFmtId="0" fontId="65" fillId="0" borderId="3" xfId="0" applyFont="1" applyFill="1" applyBorder="1" applyAlignment="1">
      <alignment horizontal="left"/>
    </xf>
    <xf numFmtId="0" fontId="65" fillId="0" borderId="4" xfId="0" applyFont="1" applyFill="1" applyBorder="1" applyAlignment="1">
      <alignment horizontal="left"/>
    </xf>
    <xf numFmtId="10" fontId="84" fillId="0" borderId="72" xfId="0" applyNumberFormat="1" applyFont="1" applyFill="1" applyBorder="1" applyAlignment="1">
      <alignment horizontal="center" vertical="center" wrapText="1"/>
    </xf>
    <xf numFmtId="9" fontId="84" fillId="0" borderId="72" xfId="0" applyNumberFormat="1" applyFont="1" applyFill="1" applyBorder="1" applyAlignment="1">
      <alignment horizontal="center" vertical="center" wrapText="1"/>
    </xf>
    <xf numFmtId="37" fontId="84" fillId="0" borderId="72" xfId="1" applyNumberFormat="1" applyFont="1" applyFill="1" applyBorder="1" applyAlignment="1">
      <alignment horizontal="center" vertical="center" wrapText="1"/>
    </xf>
    <xf numFmtId="10" fontId="84" fillId="0" borderId="74" xfId="0" applyNumberFormat="1" applyFont="1" applyFill="1" applyBorder="1" applyAlignment="1">
      <alignment horizontal="center" vertical="center" wrapText="1"/>
    </xf>
    <xf numFmtId="37" fontId="84" fillId="0" borderId="74" xfId="1" applyNumberFormat="1" applyFont="1" applyFill="1" applyBorder="1" applyAlignment="1">
      <alignment horizontal="center" vertical="center" wrapText="1"/>
    </xf>
    <xf numFmtId="9" fontId="84" fillId="0" borderId="74" xfId="0" applyNumberFormat="1" applyFont="1" applyFill="1" applyBorder="1" applyAlignment="1">
      <alignment horizontal="center" vertical="center" wrapText="1"/>
    </xf>
    <xf numFmtId="14" fontId="84" fillId="0" borderId="75" xfId="0" applyNumberFormat="1" applyFont="1" applyFill="1" applyBorder="1" applyAlignment="1">
      <alignment horizontal="left" vertical="center" wrapText="1"/>
    </xf>
    <xf numFmtId="10" fontId="4" fillId="12" borderId="5" xfId="2" quotePrefix="1" applyNumberFormat="1" applyFont="1" applyFill="1" applyBorder="1" applyAlignment="1">
      <alignment horizontal="right"/>
    </xf>
    <xf numFmtId="1" fontId="0" fillId="0" borderId="40" xfId="0" applyNumberFormat="1" applyFill="1" applyBorder="1" applyAlignment="1">
      <alignment horizontal="center" vertical="center"/>
    </xf>
    <xf numFmtId="228" fontId="0" fillId="0" borderId="0" xfId="0" applyNumberFormat="1" applyFill="1" applyBorder="1" applyAlignment="1">
      <alignment horizontal="right" vertical="center"/>
    </xf>
    <xf numFmtId="226" fontId="0" fillId="0" borderId="0" xfId="0" applyNumberFormat="1" applyFill="1" applyBorder="1" applyAlignment="1">
      <alignment horizontal="right" vertical="center"/>
    </xf>
    <xf numFmtId="1" fontId="0" fillId="0" borderId="42" xfId="0" applyNumberFormat="1" applyFill="1" applyBorder="1" applyAlignment="1">
      <alignment horizontal="center" vertical="center"/>
    </xf>
    <xf numFmtId="228" fontId="0" fillId="0" borderId="7" xfId="0" applyNumberFormat="1" applyFill="1" applyBorder="1" applyAlignment="1">
      <alignment horizontal="right" vertical="center"/>
    </xf>
    <xf numFmtId="43" fontId="65" fillId="0" borderId="0" xfId="1" applyNumberFormat="1" applyFont="1" applyFill="1" applyAlignment="1">
      <alignment horizontal="right" wrapText="1"/>
    </xf>
    <xf numFmtId="0" fontId="91" fillId="0" borderId="0" xfId="0" applyFont="1" applyFill="1"/>
    <xf numFmtId="0" fontId="92" fillId="0" borderId="12" xfId="0" applyFont="1" applyFill="1" applyBorder="1" applyAlignment="1">
      <alignment horizontal="left"/>
    </xf>
    <xf numFmtId="0" fontId="92" fillId="0" borderId="13" xfId="0" applyFont="1" applyFill="1" applyBorder="1" applyAlignment="1">
      <alignment horizontal="left"/>
    </xf>
    <xf numFmtId="165" fontId="92" fillId="0" borderId="57" xfId="1" applyNumberFormat="1" applyFont="1" applyFill="1" applyBorder="1" applyAlignment="1">
      <alignment horizontal="right"/>
    </xf>
    <xf numFmtId="165" fontId="92" fillId="0" borderId="56" xfId="1" applyNumberFormat="1" applyFont="1" applyFill="1" applyBorder="1" applyAlignment="1">
      <alignment horizontal="right"/>
    </xf>
    <xf numFmtId="0" fontId="91" fillId="0" borderId="3" xfId="0" applyFont="1" applyBorder="1" applyAlignment="1">
      <alignment horizontal="left"/>
    </xf>
    <xf numFmtId="0" fontId="91" fillId="0" borderId="4" xfId="0" applyFont="1" applyBorder="1" applyAlignment="1"/>
    <xf numFmtId="165" fontId="93" fillId="0" borderId="0" xfId="1" applyNumberFormat="1" applyFont="1" applyFill="1" applyBorder="1" applyAlignment="1">
      <alignment horizontal="right"/>
    </xf>
    <xf numFmtId="165" fontId="93" fillId="0" borderId="5" xfId="1" applyNumberFormat="1" applyFont="1" applyFill="1" applyBorder="1" applyAlignment="1">
      <alignment horizontal="right"/>
    </xf>
    <xf numFmtId="165" fontId="93" fillId="0" borderId="5" xfId="1" applyNumberFormat="1" applyFont="1" applyBorder="1" applyAlignment="1">
      <alignment horizontal="right"/>
    </xf>
    <xf numFmtId="0" fontId="91" fillId="0" borderId="0" xfId="0" applyFont="1"/>
    <xf numFmtId="0" fontId="92" fillId="0" borderId="3" xfId="0" applyFont="1" applyBorder="1" applyAlignment="1">
      <alignment horizontal="left"/>
    </xf>
    <xf numFmtId="0" fontId="92" fillId="0" borderId="4" xfId="0" applyFont="1" applyBorder="1" applyAlignment="1"/>
    <xf numFmtId="165" fontId="92" fillId="0" borderId="0" xfId="1" applyNumberFormat="1" applyFont="1" applyFill="1" applyBorder="1" applyAlignment="1">
      <alignment horizontal="right"/>
    </xf>
    <xf numFmtId="165" fontId="92" fillId="0" borderId="5" xfId="1" applyNumberFormat="1" applyFont="1" applyFill="1" applyBorder="1" applyAlignment="1">
      <alignment horizontal="right"/>
    </xf>
    <xf numFmtId="165" fontId="92" fillId="0" borderId="5" xfId="1" applyNumberFormat="1" applyFont="1" applyBorder="1" applyAlignment="1">
      <alignment horizontal="right"/>
    </xf>
    <xf numFmtId="0" fontId="92" fillId="0" borderId="4" xfId="0" applyFont="1" applyBorder="1" applyAlignment="1">
      <alignment horizontal="left"/>
    </xf>
    <xf numFmtId="165" fontId="94" fillId="0" borderId="0" xfId="1" applyNumberFormat="1" applyFont="1" applyFill="1" applyBorder="1" applyAlignment="1">
      <alignment horizontal="right"/>
    </xf>
    <xf numFmtId="165" fontId="94" fillId="0" borderId="5" xfId="1" applyNumberFormat="1" applyFont="1" applyFill="1" applyBorder="1" applyAlignment="1">
      <alignment horizontal="right"/>
    </xf>
    <xf numFmtId="165" fontId="94" fillId="0" borderId="0" xfId="1" applyNumberFormat="1" applyFont="1" applyBorder="1" applyAlignment="1">
      <alignment horizontal="right"/>
    </xf>
    <xf numFmtId="165" fontId="94" fillId="0" borderId="5" xfId="1" applyNumberFormat="1" applyFont="1" applyBorder="1" applyAlignment="1">
      <alignment horizontal="right"/>
    </xf>
    <xf numFmtId="165" fontId="92" fillId="0" borderId="0" xfId="1" applyNumberFormat="1" applyFont="1" applyBorder="1" applyAlignment="1">
      <alignment horizontal="right"/>
    </xf>
    <xf numFmtId="0" fontId="92" fillId="0" borderId="4" xfId="0" applyFont="1" applyFill="1" applyBorder="1" applyAlignment="1">
      <alignment horizontal="left"/>
    </xf>
    <xf numFmtId="43" fontId="92" fillId="0" borderId="0" xfId="1" applyNumberFormat="1" applyFont="1" applyFill="1" applyBorder="1" applyAlignment="1">
      <alignment horizontal="right"/>
    </xf>
    <xf numFmtId="43" fontId="92" fillId="0" borderId="5" xfId="1" applyNumberFormat="1" applyFont="1" applyFill="1" applyBorder="1" applyAlignment="1">
      <alignment horizontal="right"/>
    </xf>
    <xf numFmtId="43" fontId="92" fillId="11" borderId="5" xfId="1" applyNumberFormat="1" applyFont="1" applyFill="1" applyBorder="1" applyAlignment="1">
      <alignment horizontal="right"/>
    </xf>
    <xf numFmtId="0" fontId="65" fillId="12" borderId="3" xfId="0" applyFont="1" applyFill="1" applyBorder="1" applyAlignment="1">
      <alignment horizontal="left"/>
    </xf>
    <xf numFmtId="0" fontId="65" fillId="12" borderId="4" xfId="0" applyFont="1" applyFill="1" applyBorder="1" applyAlignment="1">
      <alignment horizontal="left"/>
    </xf>
    <xf numFmtId="164" fontId="6" fillId="2" borderId="44" xfId="1" quotePrefix="1" applyNumberFormat="1" applyFont="1" applyFill="1" applyBorder="1" applyAlignment="1">
      <alignment horizontal="left" vertical="center" wrapText="1"/>
    </xf>
    <xf numFmtId="164" fontId="6" fillId="2" borderId="45" xfId="1" quotePrefix="1" applyNumberFormat="1" applyFont="1" applyFill="1" applyBorder="1" applyAlignment="1">
      <alignment horizontal="left" vertical="center" wrapText="1"/>
    </xf>
    <xf numFmtId="164" fontId="6" fillId="2" borderId="77" xfId="1" quotePrefix="1" applyNumberFormat="1" applyFont="1" applyFill="1" applyBorder="1" applyAlignment="1">
      <alignment horizontal="center" vertical="center" wrapText="1"/>
    </xf>
    <xf numFmtId="165" fontId="65" fillId="0" borderId="0" xfId="1" applyNumberFormat="1" applyFont="1" applyFill="1" applyAlignment="1">
      <alignment horizontal="left"/>
    </xf>
    <xf numFmtId="43" fontId="65" fillId="0" borderId="0" xfId="1" applyFont="1" applyFill="1" applyAlignment="1">
      <alignment horizontal="left"/>
    </xf>
    <xf numFmtId="9" fontId="65" fillId="0" borderId="0" xfId="1" applyNumberFormat="1" applyFont="1" applyFill="1" applyAlignment="1">
      <alignment horizontal="right"/>
    </xf>
    <xf numFmtId="0" fontId="0" fillId="0" borderId="0" xfId="0" applyFill="1"/>
    <xf numFmtId="0" fontId="2" fillId="0" borderId="0" xfId="0" applyFont="1" applyFill="1" applyAlignment="1">
      <alignment horizontal="left"/>
    </xf>
    <xf numFmtId="0" fontId="0" fillId="0" borderId="0" xfId="0" applyFill="1" applyAlignment="1">
      <alignment wrapText="1"/>
    </xf>
    <xf numFmtId="0" fontId="2" fillId="0" borderId="0" xfId="0" applyFont="1"/>
    <xf numFmtId="164" fontId="6" fillId="2" borderId="91" xfId="1" quotePrefix="1" applyNumberFormat="1" applyFont="1" applyFill="1" applyBorder="1" applyAlignment="1">
      <alignment horizontal="center" vertical="center" wrapText="1"/>
    </xf>
    <xf numFmtId="164" fontId="6" fillId="2" borderId="90" xfId="1" quotePrefix="1" applyNumberFormat="1" applyFont="1" applyFill="1" applyBorder="1" applyAlignment="1">
      <alignment horizontal="center" vertical="center" wrapText="1"/>
    </xf>
    <xf numFmtId="0" fontId="0" fillId="0" borderId="99" xfId="0" applyBorder="1"/>
    <xf numFmtId="0" fontId="0" fillId="0" borderId="100" xfId="0" applyBorder="1"/>
    <xf numFmtId="0" fontId="0" fillId="0" borderId="96" xfId="0" applyBorder="1"/>
    <xf numFmtId="0" fontId="0" fillId="0" borderId="97" xfId="0" applyBorder="1"/>
    <xf numFmtId="228" fontId="0" fillId="0" borderId="101" xfId="0" applyNumberFormat="1" applyBorder="1" applyAlignment="1">
      <alignment horizontal="right" vertical="center"/>
    </xf>
    <xf numFmtId="228" fontId="0" fillId="0" borderId="102" xfId="0" applyNumberFormat="1" applyBorder="1" applyAlignment="1">
      <alignment horizontal="right" vertical="center"/>
    </xf>
    <xf numFmtId="166" fontId="0" fillId="0" borderId="102" xfId="2" applyNumberFormat="1" applyFont="1" applyFill="1" applyBorder="1" applyAlignment="1">
      <alignment horizontal="right" vertical="center"/>
    </xf>
    <xf numFmtId="226" fontId="0" fillId="0" borderId="102" xfId="0" applyNumberFormat="1" applyBorder="1" applyAlignment="1">
      <alignment horizontal="right" vertical="center"/>
    </xf>
    <xf numFmtId="164" fontId="2" fillId="3" borderId="103" xfId="1" quotePrefix="1" applyNumberFormat="1" applyFont="1" applyFill="1" applyBorder="1" applyAlignment="1">
      <alignment horizontal="center" vertical="center"/>
    </xf>
    <xf numFmtId="164" fontId="2" fillId="3" borderId="104" xfId="1" quotePrefix="1" applyNumberFormat="1" applyFont="1" applyFill="1" applyBorder="1" applyAlignment="1">
      <alignment horizontal="center" vertical="center"/>
    </xf>
    <xf numFmtId="228" fontId="0" fillId="0" borderId="105" xfId="0" applyNumberFormat="1" applyBorder="1" applyAlignment="1">
      <alignment horizontal="right" vertical="center"/>
    </xf>
    <xf numFmtId="228" fontId="0" fillId="0" borderId="106" xfId="0" applyNumberFormat="1" applyBorder="1" applyAlignment="1">
      <alignment horizontal="right" vertical="center"/>
    </xf>
    <xf numFmtId="164" fontId="2" fillId="3" borderId="38" xfId="1" quotePrefix="1" applyNumberFormat="1" applyFont="1" applyFill="1" applyBorder="1" applyAlignment="1">
      <alignment horizontal="right" vertical="center"/>
    </xf>
    <xf numFmtId="164" fontId="2" fillId="3" borderId="39" xfId="1" quotePrefix="1" applyNumberFormat="1" applyFont="1" applyFill="1" applyBorder="1" applyAlignment="1">
      <alignment horizontal="right" vertical="center"/>
    </xf>
    <xf numFmtId="164" fontId="2" fillId="3" borderId="108" xfId="1" quotePrefix="1" applyNumberFormat="1" applyFont="1" applyFill="1" applyBorder="1" applyAlignment="1">
      <alignment vertical="center"/>
    </xf>
    <xf numFmtId="1" fontId="65" fillId="0" borderId="0" xfId="0" applyNumberFormat="1" applyFont="1" applyBorder="1" applyAlignment="1">
      <alignment horizontal="center" vertical="center"/>
    </xf>
    <xf numFmtId="228" fontId="65" fillId="0" borderId="41" xfId="0" applyNumberFormat="1" applyFont="1" applyBorder="1" applyAlignment="1">
      <alignment horizontal="right" vertical="center"/>
    </xf>
    <xf numFmtId="1" fontId="65" fillId="0" borderId="40" xfId="0" applyNumberFormat="1" applyFont="1" applyBorder="1" applyAlignment="1">
      <alignment horizontal="center" vertical="center"/>
    </xf>
    <xf numFmtId="228" fontId="65" fillId="0" borderId="100" xfId="0" applyNumberFormat="1" applyFont="1" applyBorder="1" applyAlignment="1">
      <alignment horizontal="right" vertical="center"/>
    </xf>
    <xf numFmtId="166" fontId="65" fillId="0" borderId="41" xfId="2" applyNumberFormat="1" applyFont="1" applyFill="1" applyBorder="1" applyAlignment="1">
      <alignment horizontal="right" vertical="center"/>
    </xf>
    <xf numFmtId="166" fontId="65" fillId="0" borderId="100" xfId="2" applyNumberFormat="1" applyFont="1" applyFill="1" applyBorder="1" applyAlignment="1">
      <alignment horizontal="right" vertical="center"/>
    </xf>
    <xf numFmtId="226" fontId="65" fillId="0" borderId="41" xfId="0" applyNumberFormat="1" applyFont="1" applyBorder="1" applyAlignment="1">
      <alignment horizontal="right" vertical="center"/>
    </xf>
    <xf numFmtId="226" fontId="65" fillId="0" borderId="100" xfId="0" applyNumberFormat="1" applyFont="1" applyBorder="1" applyAlignment="1">
      <alignment horizontal="right" vertical="center"/>
    </xf>
    <xf numFmtId="1" fontId="65" fillId="0" borderId="97" xfId="0" applyNumberFormat="1" applyFont="1" applyBorder="1" applyAlignment="1">
      <alignment horizontal="center" vertical="center"/>
    </xf>
    <xf numFmtId="228" fontId="65" fillId="0" borderId="106" xfId="0" applyNumberFormat="1" applyFont="1" applyBorder="1" applyAlignment="1">
      <alignment horizontal="right" vertical="center"/>
    </xf>
    <xf numFmtId="1" fontId="65" fillId="0" borderId="107" xfId="0" applyNumberFormat="1" applyFont="1" applyBorder="1" applyAlignment="1">
      <alignment horizontal="center" vertical="center"/>
    </xf>
    <xf numFmtId="228" fontId="65" fillId="0" borderId="98" xfId="0" applyNumberFormat="1" applyFont="1" applyBorder="1" applyAlignment="1">
      <alignment horizontal="right" vertical="center"/>
    </xf>
    <xf numFmtId="164" fontId="95" fillId="3" borderId="103" xfId="1" quotePrefix="1" applyNumberFormat="1" applyFont="1" applyFill="1" applyBorder="1" applyAlignment="1">
      <alignment horizontal="center" vertical="center"/>
    </xf>
    <xf numFmtId="1" fontId="65" fillId="0" borderId="38" xfId="0" applyNumberFormat="1" applyFont="1" applyBorder="1" applyAlignment="1">
      <alignment horizontal="center" vertical="center"/>
    </xf>
    <xf numFmtId="228" fontId="65" fillId="0" borderId="0" xfId="0" applyNumberFormat="1" applyFont="1" applyFill="1" applyBorder="1" applyAlignment="1">
      <alignment horizontal="right" vertical="center"/>
    </xf>
    <xf numFmtId="0" fontId="0" fillId="0" borderId="0" xfId="0" applyAlignment="1">
      <alignment horizontal="center"/>
    </xf>
    <xf numFmtId="10" fontId="0" fillId="0" borderId="0" xfId="2" applyNumberFormat="1" applyFont="1"/>
    <xf numFmtId="14" fontId="0" fillId="0" borderId="99" xfId="0" applyNumberFormat="1" applyBorder="1"/>
    <xf numFmtId="10" fontId="0" fillId="0" borderId="0" xfId="2" applyNumberFormat="1" applyFont="1" applyBorder="1"/>
    <xf numFmtId="10" fontId="0" fillId="0" borderId="0" xfId="0" applyNumberFormat="1" applyBorder="1"/>
    <xf numFmtId="14" fontId="0" fillId="0" borderId="96" xfId="0" applyNumberFormat="1" applyBorder="1"/>
    <xf numFmtId="10" fontId="0" fillId="0" borderId="97" xfId="0" applyNumberFormat="1" applyBorder="1"/>
    <xf numFmtId="43" fontId="0" fillId="0" borderId="0" xfId="1" applyFont="1" applyBorder="1"/>
    <xf numFmtId="43" fontId="0" fillId="0" borderId="97" xfId="1" applyFont="1" applyBorder="1"/>
    <xf numFmtId="0" fontId="0" fillId="0" borderId="93" xfId="0" applyBorder="1"/>
    <xf numFmtId="0" fontId="0" fillId="0" borderId="94" xfId="0" applyBorder="1"/>
    <xf numFmtId="0" fontId="0" fillId="0" borderId="95" xfId="0" applyBorder="1"/>
    <xf numFmtId="0" fontId="2" fillId="0" borderId="0" xfId="0" applyFont="1" applyBorder="1" applyAlignment="1">
      <alignment horizontal="right"/>
    </xf>
    <xf numFmtId="0" fontId="2" fillId="0" borderId="100" xfId="0" applyFont="1" applyBorder="1"/>
    <xf numFmtId="0" fontId="0" fillId="16" borderId="0" xfId="0" applyFill="1" applyBorder="1"/>
    <xf numFmtId="0" fontId="2" fillId="16" borderId="0" xfId="0" applyFont="1" applyFill="1" applyBorder="1" applyAlignment="1">
      <alignment horizontal="right"/>
    </xf>
    <xf numFmtId="10" fontId="2" fillId="16" borderId="100" xfId="2" applyNumberFormat="1" applyFont="1" applyFill="1" applyBorder="1"/>
    <xf numFmtId="10" fontId="96" fillId="0" borderId="100" xfId="1" applyNumberFormat="1" applyFont="1" applyBorder="1"/>
    <xf numFmtId="0" fontId="96" fillId="0" borderId="0" xfId="0" applyFont="1" applyBorder="1" applyAlignment="1">
      <alignment horizontal="right"/>
    </xf>
    <xf numFmtId="0" fontId="0" fillId="0" borderId="0" xfId="0" applyBorder="1" applyAlignment="1">
      <alignment horizontal="center" vertical="center"/>
    </xf>
    <xf numFmtId="0" fontId="0" fillId="0" borderId="97" xfId="0" applyBorder="1" applyAlignment="1">
      <alignment horizontal="center" vertical="center"/>
    </xf>
    <xf numFmtId="43" fontId="0" fillId="0" borderId="0" xfId="1" applyFont="1" applyBorder="1" applyAlignment="1">
      <alignment horizontal="center"/>
    </xf>
    <xf numFmtId="0" fontId="0" fillId="0" borderId="0" xfId="0" applyBorder="1" applyAlignment="1">
      <alignment horizontal="center"/>
    </xf>
    <xf numFmtId="0" fontId="0" fillId="0" borderId="97" xfId="0" applyBorder="1" applyAlignment="1">
      <alignment horizontal="center"/>
    </xf>
    <xf numFmtId="164" fontId="6" fillId="2" borderId="109" xfId="1" quotePrefix="1" applyNumberFormat="1" applyFont="1" applyFill="1" applyBorder="1" applyAlignment="1">
      <alignment horizontal="center" vertical="center" wrapText="1"/>
    </xf>
    <xf numFmtId="2" fontId="0" fillId="0" borderId="0" xfId="0" applyNumberFormat="1" applyBorder="1" applyAlignment="1">
      <alignment horizontal="center"/>
    </xf>
    <xf numFmtId="2" fontId="0" fillId="0" borderId="97" xfId="0" applyNumberFormat="1" applyBorder="1" applyAlignment="1">
      <alignment horizontal="center"/>
    </xf>
    <xf numFmtId="166" fontId="0" fillId="0" borderId="0" xfId="0" applyNumberFormat="1" applyBorder="1"/>
    <xf numFmtId="7" fontId="0" fillId="0" borderId="100" xfId="0" applyNumberFormat="1" applyBorder="1"/>
    <xf numFmtId="10" fontId="0" fillId="0" borderId="98" xfId="0" applyNumberFormat="1" applyBorder="1"/>
    <xf numFmtId="43" fontId="87" fillId="10" borderId="4" xfId="1" applyNumberFormat="1" applyFont="1" applyFill="1" applyBorder="1" applyAlignment="1">
      <alignment horizontal="right"/>
    </xf>
    <xf numFmtId="231" fontId="0" fillId="0" borderId="100" xfId="0" applyNumberFormat="1" applyBorder="1"/>
    <xf numFmtId="231" fontId="0" fillId="0" borderId="98" xfId="0" applyNumberFormat="1" applyBorder="1"/>
    <xf numFmtId="9" fontId="0" fillId="0" borderId="100" xfId="2" applyFont="1" applyBorder="1" applyAlignment="1">
      <alignment horizontal="right" vertical="center"/>
    </xf>
    <xf numFmtId="9" fontId="0" fillId="0" borderId="98" xfId="2" applyFont="1" applyBorder="1" applyAlignment="1">
      <alignment horizontal="right" vertical="center"/>
    </xf>
    <xf numFmtId="0" fontId="97" fillId="0" borderId="0" xfId="0" applyFont="1" applyAlignment="1">
      <alignment horizontal="right"/>
    </xf>
    <xf numFmtId="229" fontId="65" fillId="10" borderId="4" xfId="2" applyNumberFormat="1" applyFont="1" applyFill="1" applyBorder="1" applyAlignment="1">
      <alignment horizontal="right"/>
    </xf>
    <xf numFmtId="165" fontId="98" fillId="0" borderId="0" xfId="1" applyNumberFormat="1" applyFont="1" applyAlignment="1">
      <alignment horizontal="right"/>
    </xf>
    <xf numFmtId="0" fontId="65" fillId="0" borderId="3" xfId="0" applyFont="1" applyFill="1" applyBorder="1" applyAlignment="1">
      <alignment horizontal="left"/>
    </xf>
    <xf numFmtId="0" fontId="65" fillId="0" borderId="4" xfId="0" applyFont="1" applyFill="1" applyBorder="1" applyAlignment="1">
      <alignment horizontal="left"/>
    </xf>
    <xf numFmtId="164" fontId="6" fillId="2" borderId="91" xfId="1" quotePrefix="1" applyNumberFormat="1" applyFont="1" applyFill="1" applyBorder="1" applyAlignment="1">
      <alignment horizontal="center" vertical="center" wrapText="1"/>
    </xf>
    <xf numFmtId="164" fontId="61" fillId="2" borderId="0" xfId="1" quotePrefix="1" applyNumberFormat="1" applyFont="1" applyFill="1" applyBorder="1" applyAlignment="1">
      <alignment horizontal="right"/>
    </xf>
    <xf numFmtId="164" fontId="61" fillId="2" borderId="5" xfId="1" quotePrefix="1" applyNumberFormat="1" applyFont="1" applyFill="1" applyBorder="1" applyAlignment="1">
      <alignment horizontal="right"/>
    </xf>
    <xf numFmtId="164" fontId="2" fillId="3" borderId="0" xfId="1" quotePrefix="1" applyNumberFormat="1" applyFont="1" applyFill="1" applyBorder="1" applyAlignment="1">
      <alignment horizontal="right"/>
    </xf>
    <xf numFmtId="164" fontId="2" fillId="3" borderId="5" xfId="1" quotePrefix="1" applyNumberFormat="1" applyFont="1" applyFill="1" applyBorder="1" applyAlignment="1">
      <alignment horizontal="right"/>
    </xf>
    <xf numFmtId="0" fontId="91" fillId="12" borderId="3" xfId="0" applyFont="1" applyFill="1" applyBorder="1" applyAlignment="1">
      <alignment horizontal="left"/>
    </xf>
    <xf numFmtId="0" fontId="99" fillId="0" borderId="0" xfId="0" applyFont="1"/>
    <xf numFmtId="0" fontId="99" fillId="0" borderId="3" xfId="0" applyFont="1" applyFill="1" applyBorder="1" applyAlignment="1">
      <alignment horizontal="left"/>
    </xf>
    <xf numFmtId="0" fontId="99" fillId="0" borderId="4" xfId="0" applyFont="1" applyFill="1" applyBorder="1" applyAlignment="1">
      <alignment horizontal="left"/>
    </xf>
    <xf numFmtId="165" fontId="99" fillId="0" borderId="0" xfId="1" applyNumberFormat="1" applyFont="1" applyFill="1" applyBorder="1" applyAlignment="1">
      <alignment horizontal="right"/>
    </xf>
    <xf numFmtId="165" fontId="99" fillId="0" borderId="5" xfId="1" applyNumberFormat="1" applyFont="1" applyFill="1" applyBorder="1" applyAlignment="1">
      <alignment horizontal="right"/>
    </xf>
    <xf numFmtId="165" fontId="99" fillId="10" borderId="0" xfId="1" applyNumberFormat="1" applyFont="1" applyFill="1" applyBorder="1" applyAlignment="1">
      <alignment horizontal="right"/>
    </xf>
    <xf numFmtId="165" fontId="99" fillId="12" borderId="0" xfId="1" quotePrefix="1" applyNumberFormat="1" applyFont="1" applyFill="1" applyBorder="1" applyAlignment="1">
      <alignment horizontal="right"/>
    </xf>
    <xf numFmtId="0" fontId="100" fillId="12" borderId="3" xfId="0" applyFont="1" applyFill="1" applyBorder="1" applyAlignment="1">
      <alignment horizontal="left"/>
    </xf>
    <xf numFmtId="0" fontId="100" fillId="12" borderId="52" xfId="0" applyFont="1" applyFill="1" applyBorder="1" applyAlignment="1">
      <alignment horizontal="left"/>
    </xf>
    <xf numFmtId="165" fontId="100" fillId="12" borderId="0" xfId="1" quotePrefix="1" applyNumberFormat="1" applyFont="1" applyFill="1" applyBorder="1" applyAlignment="1">
      <alignment horizontal="right"/>
    </xf>
    <xf numFmtId="166" fontId="100" fillId="12" borderId="54" xfId="2" quotePrefix="1" applyNumberFormat="1" applyFont="1" applyFill="1" applyBorder="1" applyAlignment="1">
      <alignment horizontal="right"/>
    </xf>
    <xf numFmtId="165" fontId="100" fillId="12" borderId="5" xfId="1" quotePrefix="1" applyNumberFormat="1" applyFont="1" applyFill="1" applyBorder="1" applyAlignment="1">
      <alignment horizontal="right"/>
    </xf>
    <xf numFmtId="166" fontId="65" fillId="0" borderId="0" xfId="2" applyNumberFormat="1" applyFont="1" applyFill="1" applyAlignment="1">
      <alignment horizontal="left"/>
    </xf>
    <xf numFmtId="166" fontId="65" fillId="12" borderId="3" xfId="2" applyNumberFormat="1" applyFont="1" applyFill="1" applyBorder="1" applyAlignment="1">
      <alignment horizontal="right"/>
    </xf>
    <xf numFmtId="9" fontId="65" fillId="0" borderId="0" xfId="1" applyNumberFormat="1" applyFont="1" applyFill="1" applyAlignment="1">
      <alignment horizontal="left"/>
    </xf>
    <xf numFmtId="10" fontId="65" fillId="0" borderId="0" xfId="1" applyNumberFormat="1" applyFont="1" applyFill="1" applyAlignment="1">
      <alignment horizontal="right"/>
    </xf>
    <xf numFmtId="166" fontId="65" fillId="12" borderId="7" xfId="2" applyNumberFormat="1" applyFont="1" applyFill="1" applyBorder="1" applyAlignment="1">
      <alignment horizontal="right"/>
    </xf>
    <xf numFmtId="228" fontId="0" fillId="0" borderId="97" xfId="0" applyNumberFormat="1" applyBorder="1" applyAlignment="1">
      <alignment horizontal="right" vertical="center"/>
    </xf>
    <xf numFmtId="1" fontId="65" fillId="0" borderId="110" xfId="0" applyNumberFormat="1" applyFont="1" applyBorder="1" applyAlignment="1">
      <alignment horizontal="center" vertical="center"/>
    </xf>
    <xf numFmtId="5" fontId="65" fillId="0" borderId="41" xfId="0" applyNumberFormat="1" applyFont="1" applyFill="1" applyBorder="1" applyAlignment="1">
      <alignment horizontal="right" vertical="center"/>
    </xf>
    <xf numFmtId="5" fontId="65" fillId="0" borderId="111" xfId="0" applyNumberFormat="1" applyFont="1" applyFill="1" applyBorder="1" applyAlignment="1">
      <alignment horizontal="right" vertical="center"/>
    </xf>
    <xf numFmtId="5" fontId="65" fillId="0" borderId="39" xfId="0" applyNumberFormat="1" applyFont="1" applyFill="1" applyBorder="1" applyAlignment="1">
      <alignment horizontal="right" vertical="center"/>
    </xf>
    <xf numFmtId="231" fontId="2" fillId="0" borderId="100" xfId="0" applyNumberFormat="1" applyFont="1" applyBorder="1"/>
    <xf numFmtId="0" fontId="4" fillId="0" borderId="0" xfId="0" applyFont="1" applyFill="1" applyAlignment="1">
      <alignment horizontal="right"/>
    </xf>
    <xf numFmtId="0" fontId="2" fillId="16" borderId="94" xfId="0" applyFont="1" applyFill="1" applyBorder="1" applyAlignment="1">
      <alignment horizontal="right"/>
    </xf>
    <xf numFmtId="10" fontId="2" fillId="16" borderId="94" xfId="0" applyNumberFormat="1" applyFont="1" applyFill="1" applyBorder="1"/>
    <xf numFmtId="0" fontId="0" fillId="0" borderId="96" xfId="0" applyFill="1" applyBorder="1"/>
    <xf numFmtId="0" fontId="0" fillId="0" borderId="97" xfId="0" applyFill="1" applyBorder="1"/>
    <xf numFmtId="0" fontId="2" fillId="0" borderId="97" xfId="0" applyFont="1" applyFill="1" applyBorder="1" applyAlignment="1">
      <alignment horizontal="right"/>
    </xf>
    <xf numFmtId="10" fontId="2" fillId="0" borderId="98" xfId="2" applyNumberFormat="1" applyFont="1" applyFill="1" applyBorder="1"/>
    <xf numFmtId="164" fontId="6" fillId="2" borderId="77" xfId="1" quotePrefix="1" applyNumberFormat="1" applyFont="1" applyFill="1" applyBorder="1" applyAlignment="1">
      <alignment horizontal="center" vertical="center" wrapText="1"/>
    </xf>
    <xf numFmtId="0" fontId="67" fillId="0" borderId="0" xfId="0" applyFont="1" applyFill="1"/>
    <xf numFmtId="0" fontId="99" fillId="0" borderId="0" xfId="0" applyFont="1" applyFill="1"/>
    <xf numFmtId="9" fontId="4" fillId="0" borderId="0" xfId="2" applyFont="1" applyBorder="1" applyAlignment="1">
      <alignment horizontal="left"/>
    </xf>
    <xf numFmtId="228" fontId="0" fillId="0" borderId="0" xfId="0" applyNumberFormat="1" applyAlignment="1">
      <alignment horizontal="right" vertical="center"/>
    </xf>
    <xf numFmtId="228" fontId="79" fillId="16" borderId="0" xfId="0" applyNumberFormat="1" applyFont="1" applyFill="1" applyAlignment="1">
      <alignment horizontal="right" vertical="center"/>
    </xf>
    <xf numFmtId="166" fontId="0" fillId="0" borderId="0" xfId="2" applyNumberFormat="1" applyFont="1" applyAlignment="1">
      <alignment horizontal="right" vertical="center"/>
    </xf>
    <xf numFmtId="166" fontId="79" fillId="16" borderId="0" xfId="2" applyNumberFormat="1" applyFont="1" applyFill="1" applyAlignment="1">
      <alignment horizontal="right" vertical="center"/>
    </xf>
    <xf numFmtId="166" fontId="0" fillId="0" borderId="4" xfId="2" applyNumberFormat="1" applyFont="1" applyBorder="1" applyAlignment="1">
      <alignment horizontal="right" vertical="center"/>
    </xf>
    <xf numFmtId="226" fontId="0" fillId="0" borderId="0" xfId="0" applyNumberFormat="1" applyAlignment="1">
      <alignment horizontal="right" vertical="center"/>
    </xf>
    <xf numFmtId="226" fontId="79" fillId="16" borderId="0" xfId="0" applyNumberFormat="1" applyFont="1" applyFill="1" applyAlignment="1">
      <alignment horizontal="right" vertical="center"/>
    </xf>
    <xf numFmtId="166" fontId="65" fillId="11" borderId="34" xfId="2" applyNumberFormat="1" applyFont="1" applyFill="1" applyBorder="1" applyAlignment="1">
      <alignment horizontal="right"/>
    </xf>
    <xf numFmtId="9" fontId="102" fillId="0" borderId="0" xfId="2" applyFont="1" applyFill="1" applyBorder="1" applyAlignment="1">
      <alignment horizontal="left"/>
    </xf>
    <xf numFmtId="164" fontId="103" fillId="0" borderId="0" xfId="1" quotePrefix="1" applyNumberFormat="1" applyFont="1" applyFill="1" applyBorder="1" applyAlignment="1">
      <alignment horizontal="right"/>
    </xf>
    <xf numFmtId="0" fontId="65" fillId="0" borderId="3" xfId="0" applyFont="1" applyFill="1" applyBorder="1" applyAlignment="1">
      <alignment horizontal="left"/>
    </xf>
    <xf numFmtId="0" fontId="65" fillId="0" borderId="4" xfId="0" applyFont="1" applyFill="1" applyBorder="1" applyAlignment="1">
      <alignment horizontal="left"/>
    </xf>
    <xf numFmtId="0" fontId="65" fillId="0" borderId="6" xfId="0" applyFont="1" applyFill="1" applyBorder="1" applyAlignment="1">
      <alignment horizontal="left"/>
    </xf>
    <xf numFmtId="0" fontId="65" fillId="0" borderId="10" xfId="0" applyFont="1" applyFill="1" applyBorder="1" applyAlignment="1">
      <alignment horizontal="left"/>
    </xf>
    <xf numFmtId="0" fontId="63" fillId="2" borderId="1" xfId="0" applyFont="1" applyFill="1" applyBorder="1" applyAlignment="1">
      <alignment horizontal="left"/>
    </xf>
    <xf numFmtId="0" fontId="63" fillId="2" borderId="11" xfId="0" applyFont="1" applyFill="1" applyBorder="1" applyAlignment="1">
      <alignment horizontal="left"/>
    </xf>
    <xf numFmtId="0" fontId="67" fillId="12" borderId="3" xfId="0" applyFont="1" applyFill="1" applyBorder="1" applyAlignment="1">
      <alignment horizontal="left" indent="1"/>
    </xf>
    <xf numFmtId="0" fontId="67" fillId="12" borderId="4" xfId="0" applyFont="1" applyFill="1" applyBorder="1" applyAlignment="1">
      <alignment horizontal="left" indent="1"/>
    </xf>
    <xf numFmtId="0" fontId="65" fillId="12" borderId="3" xfId="0" applyFont="1" applyFill="1" applyBorder="1" applyAlignment="1">
      <alignment horizontal="left"/>
    </xf>
    <xf numFmtId="0" fontId="65" fillId="12" borderId="4" xfId="0" applyFont="1" applyFill="1" applyBorder="1" applyAlignment="1">
      <alignment horizontal="left"/>
    </xf>
    <xf numFmtId="0" fontId="69" fillId="12" borderId="27" xfId="0" applyFont="1" applyFill="1" applyBorder="1" applyAlignment="1">
      <alignment horizontal="left"/>
    </xf>
    <xf numFmtId="0" fontId="69" fillId="12" borderId="28" xfId="0" applyFont="1" applyFill="1" applyBorder="1" applyAlignment="1">
      <alignment horizontal="left"/>
    </xf>
    <xf numFmtId="0" fontId="65" fillId="0" borderId="27" xfId="0" applyFont="1" applyFill="1" applyBorder="1" applyAlignment="1">
      <alignment horizontal="left"/>
    </xf>
    <xf numFmtId="0" fontId="65" fillId="0" borderId="28" xfId="0" applyFont="1" applyFill="1" applyBorder="1" applyAlignment="1">
      <alignment horizontal="left"/>
    </xf>
    <xf numFmtId="0" fontId="65" fillId="0" borderId="3" xfId="0" applyFont="1" applyBorder="1" applyAlignment="1">
      <alignment horizontal="left"/>
    </xf>
    <xf numFmtId="0" fontId="65" fillId="0" borderId="4" xfId="0" applyFont="1" applyBorder="1" applyAlignment="1">
      <alignment horizontal="left"/>
    </xf>
    <xf numFmtId="0" fontId="65" fillId="12" borderId="3" xfId="3" applyFont="1" applyFill="1" applyBorder="1" applyAlignment="1">
      <alignment horizontal="left" vertical="top"/>
    </xf>
    <xf numFmtId="0" fontId="65" fillId="12" borderId="4" xfId="3" applyFont="1" applyFill="1" applyBorder="1" applyAlignment="1">
      <alignment horizontal="left" vertical="top"/>
    </xf>
    <xf numFmtId="0" fontId="67" fillId="0" borderId="3" xfId="0" applyFont="1" applyBorder="1" applyAlignment="1">
      <alignment horizontal="left" indent="2"/>
    </xf>
    <xf numFmtId="0" fontId="67" fillId="0" borderId="4" xfId="0" applyFont="1" applyBorder="1" applyAlignment="1">
      <alignment horizontal="left" indent="2"/>
    </xf>
    <xf numFmtId="0" fontId="67" fillId="0" borderId="3" xfId="3" applyFont="1" applyBorder="1" applyAlignment="1">
      <alignment horizontal="left" vertical="top" indent="2"/>
    </xf>
    <xf numFmtId="0" fontId="67" fillId="0" borderId="4" xfId="3" applyFont="1" applyBorder="1" applyAlignment="1">
      <alignment horizontal="left" vertical="top" indent="2"/>
    </xf>
    <xf numFmtId="0" fontId="65" fillId="0" borderId="3" xfId="3" applyFont="1" applyFill="1" applyBorder="1" applyAlignment="1">
      <alignment horizontal="left" vertical="top"/>
    </xf>
    <xf numFmtId="0" fontId="65" fillId="0" borderId="4" xfId="3" applyFont="1" applyFill="1" applyBorder="1" applyAlignment="1">
      <alignment horizontal="left" vertical="top"/>
    </xf>
    <xf numFmtId="0" fontId="65" fillId="0" borderId="6" xfId="0" applyFont="1" applyBorder="1" applyAlignment="1">
      <alignment horizontal="left"/>
    </xf>
    <xf numFmtId="0" fontId="65" fillId="0" borderId="10" xfId="0" applyFont="1" applyBorder="1" applyAlignment="1">
      <alignment horizontal="left"/>
    </xf>
    <xf numFmtId="0" fontId="69" fillId="0" borderId="3" xfId="0" applyFont="1" applyBorder="1" applyAlignment="1">
      <alignment horizontal="left"/>
    </xf>
    <xf numFmtId="0" fontId="69" fillId="0" borderId="4" xfId="0" applyFont="1" applyBorder="1" applyAlignment="1">
      <alignment horizontal="left"/>
    </xf>
    <xf numFmtId="0" fontId="64" fillId="2" borderId="3" xfId="0" applyFont="1" applyFill="1" applyBorder="1" applyAlignment="1">
      <alignment horizontal="left"/>
    </xf>
    <xf numFmtId="0" fontId="64" fillId="2" borderId="4" xfId="0" applyFont="1" applyFill="1" applyBorder="1" applyAlignment="1">
      <alignment horizontal="left"/>
    </xf>
    <xf numFmtId="0" fontId="63" fillId="2" borderId="3" xfId="0" applyFont="1" applyFill="1" applyBorder="1" applyAlignment="1">
      <alignment horizontal="left"/>
    </xf>
    <xf numFmtId="0" fontId="63" fillId="2" borderId="4" xfId="0" applyFont="1" applyFill="1" applyBorder="1" applyAlignment="1">
      <alignment horizontal="left"/>
    </xf>
    <xf numFmtId="0" fontId="69" fillId="12" borderId="3" xfId="0" applyFont="1" applyFill="1" applyBorder="1" applyAlignment="1">
      <alignment horizontal="left"/>
    </xf>
    <xf numFmtId="0" fontId="69" fillId="12" borderId="4" xfId="0" applyFont="1" applyFill="1" applyBorder="1" applyAlignment="1">
      <alignment horizontal="left"/>
    </xf>
    <xf numFmtId="0" fontId="69" fillId="0" borderId="48" xfId="0" applyFont="1" applyBorder="1" applyAlignment="1">
      <alignment horizontal="left"/>
    </xf>
    <xf numFmtId="0" fontId="69" fillId="0" borderId="49" xfId="0" applyFont="1" applyBorder="1" applyAlignment="1">
      <alignment horizontal="left"/>
    </xf>
    <xf numFmtId="0" fontId="65" fillId="0" borderId="14" xfId="0" applyFont="1" applyFill="1" applyBorder="1" applyAlignment="1">
      <alignment horizontal="left" indent="1"/>
    </xf>
    <xf numFmtId="0" fontId="65" fillId="0" borderId="15" xfId="0" applyFont="1" applyFill="1" applyBorder="1" applyAlignment="1">
      <alignment horizontal="left" indent="1"/>
    </xf>
    <xf numFmtId="0" fontId="65" fillId="12" borderId="3" xfId="0" applyFont="1" applyFill="1" applyBorder="1" applyAlignment="1">
      <alignment horizontal="left" indent="5"/>
    </xf>
    <xf numFmtId="0" fontId="65" fillId="12" borderId="4" xfId="0" applyFont="1" applyFill="1" applyBorder="1" applyAlignment="1">
      <alignment horizontal="left" indent="5"/>
    </xf>
    <xf numFmtId="0" fontId="65" fillId="12" borderId="3" xfId="0" applyFont="1" applyFill="1" applyBorder="1" applyAlignment="1">
      <alignment horizontal="left" indent="2"/>
    </xf>
    <xf numFmtId="0" fontId="65" fillId="12" borderId="4" xfId="0" applyFont="1" applyFill="1" applyBorder="1" applyAlignment="1">
      <alignment horizontal="left" indent="2"/>
    </xf>
    <xf numFmtId="0" fontId="65" fillId="12" borderId="14" xfId="0" applyFont="1" applyFill="1" applyBorder="1" applyAlignment="1">
      <alignment horizontal="left"/>
    </xf>
    <xf numFmtId="0" fontId="65" fillId="12" borderId="15" xfId="0" applyFont="1" applyFill="1" applyBorder="1" applyAlignment="1">
      <alignment horizontal="left"/>
    </xf>
    <xf numFmtId="0" fontId="67" fillId="0" borderId="14" xfId="0" applyFont="1" applyBorder="1" applyAlignment="1">
      <alignment horizontal="left" indent="1"/>
    </xf>
    <xf numFmtId="0" fontId="67" fillId="0" borderId="15" xfId="0" applyFont="1" applyBorder="1" applyAlignment="1">
      <alignment horizontal="left" indent="1"/>
    </xf>
    <xf numFmtId="0" fontId="65" fillId="10" borderId="1" xfId="0" applyFont="1" applyFill="1" applyBorder="1" applyAlignment="1">
      <alignment horizontal="left"/>
    </xf>
    <xf numFmtId="0" fontId="65" fillId="10" borderId="11" xfId="0" applyFont="1" applyFill="1" applyBorder="1" applyAlignment="1">
      <alignment horizontal="left"/>
    </xf>
    <xf numFmtId="0" fontId="65" fillId="11" borderId="3" xfId="0" applyFont="1" applyFill="1" applyBorder="1" applyAlignment="1">
      <alignment horizontal="left"/>
    </xf>
    <xf numFmtId="0" fontId="65" fillId="11" borderId="4" xfId="0" applyFont="1" applyFill="1" applyBorder="1" applyAlignment="1">
      <alignment horizontal="left"/>
    </xf>
    <xf numFmtId="0" fontId="65" fillId="9" borderId="6" xfId="0" applyFont="1" applyFill="1" applyBorder="1" applyAlignment="1">
      <alignment horizontal="left"/>
    </xf>
    <xf numFmtId="0" fontId="65" fillId="9" borderId="10" xfId="0" applyFont="1" applyFill="1" applyBorder="1" applyAlignment="1">
      <alignment horizontal="left"/>
    </xf>
    <xf numFmtId="0" fontId="67" fillId="0" borderId="3" xfId="0" applyFont="1" applyFill="1" applyBorder="1" applyAlignment="1">
      <alignment horizontal="left" indent="1"/>
    </xf>
    <xf numFmtId="0" fontId="67" fillId="0" borderId="4" xfId="0" applyFont="1" applyFill="1" applyBorder="1" applyAlignment="1">
      <alignment horizontal="left" indent="1"/>
    </xf>
    <xf numFmtId="0" fontId="67" fillId="0" borderId="3" xfId="0" applyFont="1" applyBorder="1" applyAlignment="1">
      <alignment horizontal="left"/>
    </xf>
    <xf numFmtId="0" fontId="67" fillId="0" borderId="4" xfId="0" applyFont="1" applyBorder="1" applyAlignment="1">
      <alignment horizontal="left"/>
    </xf>
    <xf numFmtId="0" fontId="65" fillId="0" borderId="3" xfId="0" applyFont="1" applyBorder="1" applyAlignment="1">
      <alignment horizontal="left" indent="2"/>
    </xf>
    <xf numFmtId="0" fontId="65" fillId="0" borderId="4" xfId="0" applyFont="1" applyBorder="1" applyAlignment="1">
      <alignment horizontal="left" indent="2"/>
    </xf>
    <xf numFmtId="0" fontId="4" fillId="12" borderId="3" xfId="0" applyFont="1" applyFill="1" applyBorder="1" applyAlignment="1">
      <alignment horizontal="left"/>
    </xf>
    <xf numFmtId="0" fontId="4" fillId="12" borderId="4" xfId="0" applyFont="1" applyFill="1" applyBorder="1" applyAlignment="1">
      <alignment horizontal="left"/>
    </xf>
    <xf numFmtId="0" fontId="65" fillId="0" borderId="29" xfId="0" applyFont="1" applyBorder="1" applyAlignment="1">
      <alignment horizontal="left" vertical="top" wrapText="1"/>
    </xf>
    <xf numFmtId="0" fontId="65" fillId="0" borderId="30" xfId="0" applyFont="1" applyBorder="1" applyAlignment="1">
      <alignment horizontal="left" vertical="top" wrapText="1"/>
    </xf>
    <xf numFmtId="0" fontId="4" fillId="0" borderId="2" xfId="0" applyFont="1" applyFill="1" applyBorder="1" applyAlignment="1">
      <alignment horizontal="left"/>
    </xf>
    <xf numFmtId="0" fontId="65" fillId="12" borderId="27" xfId="0" applyFont="1" applyFill="1" applyBorder="1" applyAlignment="1">
      <alignment horizontal="left"/>
    </xf>
    <xf numFmtId="0" fontId="65" fillId="12" borderId="28" xfId="0" applyFont="1" applyFill="1" applyBorder="1" applyAlignment="1">
      <alignment horizontal="left"/>
    </xf>
    <xf numFmtId="0" fontId="63" fillId="2" borderId="2" xfId="0" applyFont="1" applyFill="1" applyBorder="1" applyAlignment="1">
      <alignment horizontal="left"/>
    </xf>
    <xf numFmtId="0" fontId="69" fillId="0" borderId="27" xfId="0" applyFont="1" applyBorder="1" applyAlignment="1">
      <alignment horizontal="left"/>
    </xf>
    <xf numFmtId="0" fontId="69" fillId="0" borderId="28" xfId="0" applyFont="1" applyBorder="1" applyAlignment="1">
      <alignment horizontal="left"/>
    </xf>
    <xf numFmtId="0" fontId="64" fillId="0" borderId="55" xfId="0" applyFont="1" applyFill="1" applyBorder="1" applyAlignment="1">
      <alignment horizontal="center" wrapText="1"/>
    </xf>
    <xf numFmtId="0" fontId="64" fillId="0" borderId="5" xfId="0" applyFont="1" applyFill="1" applyBorder="1" applyAlignment="1">
      <alignment horizontal="center" wrapText="1"/>
    </xf>
    <xf numFmtId="0" fontId="67" fillId="0" borderId="3" xfId="0" applyFont="1" applyBorder="1" applyAlignment="1">
      <alignment horizontal="left" indent="1"/>
    </xf>
    <xf numFmtId="0" fontId="67" fillId="0" borderId="4" xfId="0" applyFont="1" applyBorder="1" applyAlignment="1">
      <alignment horizontal="left" indent="1"/>
    </xf>
    <xf numFmtId="0" fontId="67" fillId="0" borderId="6" xfId="0" applyFont="1" applyBorder="1" applyAlignment="1">
      <alignment horizontal="left" indent="2"/>
    </xf>
    <xf numFmtId="0" fontId="67" fillId="0" borderId="10" xfId="0" applyFont="1" applyBorder="1" applyAlignment="1">
      <alignment horizontal="left" indent="2"/>
    </xf>
    <xf numFmtId="0" fontId="2" fillId="0" borderId="0" xfId="0" applyFont="1" applyFill="1" applyAlignment="1">
      <alignment horizontal="center" vertical="top" wrapText="1"/>
    </xf>
    <xf numFmtId="0" fontId="80" fillId="14" borderId="58" xfId="0" applyFont="1" applyFill="1" applyBorder="1" applyAlignment="1">
      <alignment horizontal="center" vertical="center" wrapText="1"/>
    </xf>
    <xf numFmtId="0" fontId="80" fillId="14" borderId="59" xfId="0" applyFont="1" applyFill="1" applyBorder="1" applyAlignment="1">
      <alignment horizontal="center" vertical="center" wrapText="1"/>
    </xf>
    <xf numFmtId="0" fontId="80" fillId="14" borderId="60" xfId="0" applyFont="1" applyFill="1" applyBorder="1" applyAlignment="1">
      <alignment horizontal="center" vertical="center" wrapText="1"/>
    </xf>
    <xf numFmtId="0" fontId="83" fillId="0" borderId="87" xfId="0" applyFont="1" applyFill="1" applyBorder="1" applyAlignment="1">
      <alignment horizontal="left" vertical="top" wrapText="1"/>
    </xf>
    <xf numFmtId="0" fontId="83" fillId="0" borderId="88" xfId="0" applyFont="1" applyFill="1" applyBorder="1" applyAlignment="1">
      <alignment horizontal="left" vertical="top" wrapText="1"/>
    </xf>
    <xf numFmtId="0" fontId="83" fillId="0" borderId="89" xfId="0" applyFont="1" applyFill="1" applyBorder="1" applyAlignment="1">
      <alignment horizontal="left" vertical="top" wrapText="1"/>
    </xf>
    <xf numFmtId="0" fontId="85" fillId="0" borderId="74" xfId="0" applyFont="1" applyFill="1" applyBorder="1" applyAlignment="1">
      <alignment horizontal="center" vertical="center" wrapText="1"/>
    </xf>
    <xf numFmtId="0" fontId="81" fillId="2" borderId="67" xfId="0" applyFont="1" applyFill="1" applyBorder="1" applyAlignment="1">
      <alignment horizontal="center" vertical="center" wrapText="1"/>
    </xf>
    <xf numFmtId="0" fontId="81" fillId="2" borderId="61" xfId="0" applyFont="1" applyFill="1" applyBorder="1" applyAlignment="1">
      <alignment horizontal="center" vertical="center" wrapText="1"/>
    </xf>
    <xf numFmtId="14" fontId="84" fillId="0" borderId="83" xfId="0" applyNumberFormat="1" applyFont="1" applyFill="1" applyBorder="1" applyAlignment="1">
      <alignment horizontal="center" vertical="center" wrapText="1"/>
    </xf>
    <xf numFmtId="14" fontId="84" fillId="0" borderId="84" xfId="0" applyNumberFormat="1" applyFont="1" applyFill="1" applyBorder="1" applyAlignment="1">
      <alignment horizontal="center" vertical="center" wrapText="1"/>
    </xf>
    <xf numFmtId="14" fontId="84" fillId="0" borderId="75" xfId="0" applyNumberFormat="1" applyFont="1" applyFill="1" applyBorder="1" applyAlignment="1">
      <alignment horizontal="center" vertical="center" wrapText="1"/>
    </xf>
    <xf numFmtId="0" fontId="81" fillId="2" borderId="85" xfId="0" applyFont="1" applyFill="1" applyBorder="1" applyAlignment="1">
      <alignment horizontal="center" vertical="center" wrapText="1"/>
    </xf>
    <xf numFmtId="0" fontId="81" fillId="2" borderId="86" xfId="0" applyFont="1" applyFill="1" applyBorder="1" applyAlignment="1">
      <alignment horizontal="center" vertical="center" wrapText="1"/>
    </xf>
    <xf numFmtId="0" fontId="86" fillId="13" borderId="66" xfId="0" applyFont="1" applyFill="1" applyBorder="1" applyAlignment="1">
      <alignment horizontal="center" vertical="center" wrapText="1"/>
    </xf>
    <xf numFmtId="0" fontId="86" fillId="13" borderId="59" xfId="0" applyFont="1" applyFill="1" applyBorder="1" applyAlignment="1">
      <alignment horizontal="center" vertical="center" wrapText="1"/>
    </xf>
    <xf numFmtId="0" fontId="85" fillId="0" borderId="73" xfId="0" applyFont="1" applyFill="1" applyBorder="1" applyAlignment="1">
      <alignment horizontal="center" vertical="center" wrapText="1"/>
    </xf>
    <xf numFmtId="0" fontId="85" fillId="0" borderId="71" xfId="0" applyFont="1" applyFill="1" applyBorder="1" applyAlignment="1">
      <alignment horizontal="center" vertical="center" wrapText="1"/>
    </xf>
    <xf numFmtId="0" fontId="85" fillId="0" borderId="72" xfId="0" applyFont="1" applyFill="1" applyBorder="1" applyAlignment="1">
      <alignment horizontal="center" vertical="center" wrapText="1"/>
    </xf>
    <xf numFmtId="0" fontId="81" fillId="2" borderId="68" xfId="0" applyFont="1" applyFill="1" applyBorder="1" applyAlignment="1">
      <alignment horizontal="center" vertical="center" wrapText="1"/>
    </xf>
    <xf numFmtId="0" fontId="81" fillId="2" borderId="69" xfId="0" applyFont="1" applyFill="1" applyBorder="1" applyAlignment="1">
      <alignment horizontal="center" vertical="center" wrapText="1"/>
    </xf>
    <xf numFmtId="0" fontId="2" fillId="0" borderId="0" xfId="0" applyFont="1" applyAlignment="1">
      <alignment horizontal="center" vertical="top" wrapText="1"/>
    </xf>
    <xf numFmtId="164" fontId="6" fillId="2" borderId="81" xfId="1" quotePrefix="1" applyNumberFormat="1" applyFont="1" applyFill="1" applyBorder="1" applyAlignment="1">
      <alignment horizontal="center" vertical="center" wrapText="1"/>
    </xf>
    <xf numFmtId="164" fontId="6" fillId="2" borderId="78" xfId="1" quotePrefix="1" applyNumberFormat="1" applyFont="1" applyFill="1" applyBorder="1" applyAlignment="1">
      <alignment horizontal="center" vertical="center" wrapText="1"/>
    </xf>
    <xf numFmtId="164" fontId="6" fillId="2" borderId="79" xfId="1" quotePrefix="1" applyNumberFormat="1" applyFont="1" applyFill="1" applyBorder="1" applyAlignment="1">
      <alignment horizontal="center" vertical="center" wrapText="1"/>
    </xf>
    <xf numFmtId="164" fontId="88" fillId="13" borderId="35" xfId="1" quotePrefix="1" applyNumberFormat="1" applyFont="1" applyFill="1" applyBorder="1" applyAlignment="1">
      <alignment horizontal="center" vertical="center" wrapText="1"/>
    </xf>
    <xf numFmtId="164" fontId="88" fillId="13" borderId="36" xfId="1" quotePrefix="1" applyNumberFormat="1" applyFont="1" applyFill="1" applyBorder="1" applyAlignment="1">
      <alignment horizontal="center" vertical="center" wrapText="1"/>
    </xf>
    <xf numFmtId="164" fontId="88" fillId="13" borderId="37" xfId="1" quotePrefix="1" applyNumberFormat="1" applyFont="1" applyFill="1" applyBorder="1" applyAlignment="1">
      <alignment horizontal="center" vertical="center" wrapText="1"/>
    </xf>
    <xf numFmtId="164" fontId="6" fillId="2" borderId="76" xfId="1" quotePrefix="1" applyNumberFormat="1" applyFont="1" applyFill="1" applyBorder="1" applyAlignment="1">
      <alignment horizontal="center" vertical="center" wrapText="1"/>
    </xf>
    <xf numFmtId="164" fontId="6" fillId="2" borderId="77" xfId="1" quotePrefix="1" applyNumberFormat="1" applyFont="1" applyFill="1" applyBorder="1" applyAlignment="1">
      <alignment horizontal="center" vertical="center" wrapText="1"/>
    </xf>
    <xf numFmtId="164" fontId="6" fillId="2" borderId="82" xfId="1" quotePrefix="1" applyNumberFormat="1" applyFont="1" applyFill="1" applyBorder="1" applyAlignment="1">
      <alignment horizontal="center" vertical="center" wrapText="1"/>
    </xf>
    <xf numFmtId="164" fontId="6" fillId="2" borderId="80" xfId="1" quotePrefix="1" applyNumberFormat="1" applyFont="1" applyFill="1" applyBorder="1" applyAlignment="1">
      <alignment horizontal="center" vertical="center" wrapText="1"/>
    </xf>
    <xf numFmtId="164" fontId="88" fillId="15" borderId="81" xfId="1" quotePrefix="1" applyNumberFormat="1" applyFont="1" applyFill="1" applyBorder="1" applyAlignment="1">
      <alignment horizontal="center" vertical="center" wrapText="1"/>
    </xf>
    <xf numFmtId="164" fontId="88" fillId="15" borderId="78" xfId="1" quotePrefix="1" applyNumberFormat="1" applyFont="1" applyFill="1" applyBorder="1" applyAlignment="1">
      <alignment horizontal="center" vertical="center" wrapText="1"/>
    </xf>
    <xf numFmtId="164" fontId="88" fillId="15" borderId="79" xfId="1" quotePrefix="1" applyNumberFormat="1" applyFont="1" applyFill="1" applyBorder="1" applyAlignment="1">
      <alignment horizontal="center" vertical="center" wrapText="1"/>
    </xf>
    <xf numFmtId="164" fontId="61" fillId="2" borderId="93" xfId="1" quotePrefix="1" applyNumberFormat="1" applyFont="1" applyFill="1" applyBorder="1" applyAlignment="1">
      <alignment horizontal="left"/>
    </xf>
    <xf numFmtId="164" fontId="61" fillId="2" borderId="94" xfId="1" quotePrefix="1" applyNumberFormat="1" applyFont="1" applyFill="1" applyBorder="1" applyAlignment="1">
      <alignment horizontal="left"/>
    </xf>
    <xf numFmtId="164" fontId="61" fillId="2" borderId="95" xfId="1" quotePrefix="1" applyNumberFormat="1" applyFont="1" applyFill="1" applyBorder="1" applyAlignment="1">
      <alignment horizontal="left"/>
    </xf>
    <xf numFmtId="164" fontId="61" fillId="2" borderId="91" xfId="1" quotePrefix="1" applyNumberFormat="1" applyFont="1" applyFill="1" applyBorder="1" applyAlignment="1">
      <alignment horizontal="center"/>
    </xf>
    <xf numFmtId="164" fontId="61" fillId="2" borderId="92" xfId="1" quotePrefix="1" applyNumberFormat="1" applyFont="1" applyFill="1" applyBorder="1" applyAlignment="1">
      <alignment horizontal="center"/>
    </xf>
    <xf numFmtId="164" fontId="61" fillId="2" borderId="112" xfId="1" quotePrefix="1" applyNumberFormat="1" applyFont="1" applyFill="1" applyBorder="1" applyAlignment="1">
      <alignment horizontal="center"/>
    </xf>
    <xf numFmtId="164" fontId="6" fillId="2" borderId="91" xfId="1" quotePrefix="1" applyNumberFormat="1" applyFont="1" applyFill="1" applyBorder="1" applyAlignment="1">
      <alignment horizontal="center" vertical="center" wrapText="1"/>
    </xf>
    <xf numFmtId="164" fontId="6" fillId="2" borderId="94" xfId="1" quotePrefix="1" applyNumberFormat="1" applyFont="1" applyFill="1" applyBorder="1" applyAlignment="1">
      <alignment horizontal="center" vertical="center" wrapText="1"/>
    </xf>
    <xf numFmtId="164" fontId="6" fillId="2" borderId="95" xfId="1" quotePrefix="1" applyNumberFormat="1" applyFont="1" applyFill="1" applyBorder="1" applyAlignment="1">
      <alignment horizontal="center" vertical="center" wrapText="1"/>
    </xf>
    <xf numFmtId="164" fontId="61" fillId="2" borderId="96" xfId="1" quotePrefix="1" applyNumberFormat="1" applyFont="1" applyFill="1" applyBorder="1" applyAlignment="1">
      <alignment horizontal="left"/>
    </xf>
    <xf numFmtId="164" fontId="88" fillId="13" borderId="81" xfId="1" quotePrefix="1" applyNumberFormat="1" applyFont="1" applyFill="1" applyBorder="1" applyAlignment="1">
      <alignment horizontal="center" vertical="center" wrapText="1"/>
    </xf>
    <xf numFmtId="164" fontId="88" fillId="13" borderId="78" xfId="1" quotePrefix="1" applyNumberFormat="1" applyFont="1" applyFill="1" applyBorder="1" applyAlignment="1">
      <alignment horizontal="center" vertical="center" wrapText="1"/>
    </xf>
    <xf numFmtId="164" fontId="88" fillId="13" borderId="79" xfId="1" quotePrefix="1" applyNumberFormat="1" applyFont="1" applyFill="1" applyBorder="1" applyAlignment="1">
      <alignment horizontal="center" vertical="center" wrapText="1"/>
    </xf>
    <xf numFmtId="164" fontId="2" fillId="3" borderId="38" xfId="1" quotePrefix="1" applyNumberFormat="1" applyFont="1" applyFill="1" applyBorder="1" applyAlignment="1">
      <alignment horizontal="center" vertical="center"/>
    </xf>
    <xf numFmtId="164" fontId="2" fillId="3" borderId="39" xfId="1" quotePrefix="1" applyNumberFormat="1" applyFont="1" applyFill="1" applyBorder="1" applyAlignment="1">
      <alignment horizontal="center" vertical="center"/>
    </xf>
    <xf numFmtId="164" fontId="2" fillId="3" borderId="108" xfId="1" quotePrefix="1" applyNumberFormat="1" applyFont="1" applyFill="1" applyBorder="1" applyAlignment="1">
      <alignment horizontal="center" vertical="center"/>
    </xf>
    <xf numFmtId="164" fontId="6" fillId="2" borderId="92" xfId="1" quotePrefix="1" applyNumberFormat="1" applyFont="1" applyFill="1" applyBorder="1" applyAlignment="1">
      <alignment horizontal="center" vertical="center" wrapText="1"/>
    </xf>
    <xf numFmtId="164" fontId="61" fillId="2" borderId="93" xfId="1" quotePrefix="1" applyNumberFormat="1" applyFont="1" applyFill="1" applyBorder="1" applyAlignment="1">
      <alignment horizontal="center"/>
    </xf>
    <xf numFmtId="164" fontId="61" fillId="2" borderId="94" xfId="1" quotePrefix="1" applyNumberFormat="1" applyFont="1" applyFill="1" applyBorder="1" applyAlignment="1">
      <alignment horizontal="center"/>
    </xf>
    <xf numFmtId="164" fontId="88" fillId="15" borderId="35" xfId="1" quotePrefix="1" applyNumberFormat="1" applyFont="1" applyFill="1" applyBorder="1" applyAlignment="1">
      <alignment horizontal="center" vertical="center" wrapText="1"/>
    </xf>
    <xf numFmtId="164" fontId="88" fillId="15" borderId="36" xfId="1" quotePrefix="1" applyNumberFormat="1" applyFont="1" applyFill="1" applyBorder="1" applyAlignment="1">
      <alignment horizontal="center" vertical="center" wrapText="1"/>
    </xf>
    <xf numFmtId="164" fontId="88" fillId="15" borderId="37" xfId="1" quotePrefix="1" applyNumberFormat="1" applyFont="1" applyFill="1" applyBorder="1" applyAlignment="1">
      <alignment horizontal="center" vertical="center" wrapText="1"/>
    </xf>
    <xf numFmtId="165" fontId="57" fillId="0" borderId="0" xfId="1" applyNumberFormat="1" applyFont="1" applyFill="1" applyBorder="1" applyAlignment="1">
      <alignment horizontal="right"/>
    </xf>
    <xf numFmtId="164" fontId="76" fillId="12" borderId="0" xfId="1" quotePrefix="1" applyNumberFormat="1" applyFont="1" applyFill="1" applyBorder="1" applyAlignment="1">
      <alignment horizontal="right"/>
    </xf>
    <xf numFmtId="165" fontId="65" fillId="11" borderId="5" xfId="1" quotePrefix="1" applyNumberFormat="1" applyFont="1" applyFill="1" applyBorder="1" applyAlignment="1">
      <alignment horizontal="right"/>
    </xf>
    <xf numFmtId="43" fontId="65" fillId="12" borderId="0" xfId="1" applyNumberFormat="1" applyFont="1" applyFill="1" applyBorder="1" applyAlignment="1">
      <alignment horizontal="right"/>
    </xf>
    <xf numFmtId="165" fontId="4" fillId="0" borderId="0" xfId="2" applyNumberFormat="1" applyFont="1" applyAlignment="1">
      <alignment horizontal="right"/>
    </xf>
    <xf numFmtId="0" fontId="66" fillId="0" borderId="3" xfId="0" applyFont="1" applyFill="1" applyBorder="1" applyAlignment="1">
      <alignment horizontal="left" indent="1"/>
    </xf>
    <xf numFmtId="0" fontId="66" fillId="0" borderId="4" xfId="0" applyFont="1" applyFill="1" applyBorder="1" applyAlignment="1">
      <alignment horizontal="left"/>
    </xf>
    <xf numFmtId="165" fontId="66" fillId="0" borderId="0" xfId="1" applyNumberFormat="1" applyFont="1" applyFill="1" applyBorder="1" applyAlignment="1">
      <alignment horizontal="right"/>
    </xf>
    <xf numFmtId="165" fontId="66" fillId="0" borderId="5" xfId="1" applyNumberFormat="1" applyFont="1" applyFill="1" applyBorder="1" applyAlignment="1">
      <alignment horizontal="right"/>
    </xf>
    <xf numFmtId="165" fontId="66" fillId="10" borderId="0" xfId="1" applyNumberFormat="1" applyFont="1" applyFill="1" applyBorder="1" applyAlignment="1">
      <alignment horizontal="right"/>
    </xf>
    <xf numFmtId="165" fontId="66" fillId="11" borderId="0" xfId="1" applyNumberFormat="1" applyFont="1" applyFill="1" applyBorder="1" applyAlignment="1">
      <alignment horizontal="right"/>
    </xf>
    <xf numFmtId="0" fontId="55" fillId="0" borderId="0" xfId="0" applyFont="1"/>
    <xf numFmtId="0" fontId="55" fillId="0" borderId="0" xfId="0" applyFont="1" applyFill="1"/>
    <xf numFmtId="165" fontId="67" fillId="0" borderId="31" xfId="1" quotePrefix="1" applyNumberFormat="1" applyFont="1" applyBorder="1" applyAlignment="1">
      <alignment horizontal="right"/>
    </xf>
    <xf numFmtId="166" fontId="67" fillId="12" borderId="5" xfId="2" quotePrefix="1" applyNumberFormat="1" applyFont="1" applyFill="1" applyBorder="1" applyAlignment="1">
      <alignment horizontal="right"/>
    </xf>
    <xf numFmtId="165" fontId="67" fillId="11" borderId="31" xfId="1" quotePrefix="1" applyNumberFormat="1" applyFont="1" applyFill="1" applyBorder="1" applyAlignment="1">
      <alignment horizontal="right"/>
    </xf>
    <xf numFmtId="165" fontId="67" fillId="11" borderId="5" xfId="1" quotePrefix="1" applyNumberFormat="1" applyFont="1" applyFill="1" applyBorder="1" applyAlignment="1">
      <alignment horizontal="right"/>
    </xf>
    <xf numFmtId="166" fontId="65" fillId="11" borderId="5" xfId="2" applyNumberFormat="1" applyFont="1" applyFill="1" applyBorder="1" applyAlignment="1">
      <alignment horizontal="right"/>
    </xf>
    <xf numFmtId="165" fontId="104" fillId="12" borderId="51" xfId="1" quotePrefix="1" applyNumberFormat="1" applyFont="1" applyFill="1" applyBorder="1" applyAlignment="1">
      <alignment horizontal="right"/>
    </xf>
    <xf numFmtId="165" fontId="65" fillId="9" borderId="0" xfId="1" applyNumberFormat="1" applyFont="1" applyFill="1" applyBorder="1" applyAlignment="1">
      <alignment horizontal="right"/>
    </xf>
    <xf numFmtId="10" fontId="59" fillId="0" borderId="0" xfId="2" quotePrefix="1" applyNumberFormat="1" applyFont="1" applyBorder="1" applyAlignment="1">
      <alignment horizontal="right"/>
    </xf>
    <xf numFmtId="10" fontId="59" fillId="0" borderId="5" xfId="2" quotePrefix="1" applyNumberFormat="1" applyFont="1" applyBorder="1" applyAlignment="1">
      <alignment horizontal="right"/>
    </xf>
    <xf numFmtId="165" fontId="57" fillId="0" borderId="5" xfId="1" quotePrefix="1" applyNumberFormat="1" applyFont="1" applyFill="1" applyBorder="1" applyAlignment="1">
      <alignment horizontal="right"/>
    </xf>
    <xf numFmtId="43" fontId="92" fillId="9" borderId="0" xfId="1" applyNumberFormat="1" applyFont="1" applyFill="1" applyBorder="1" applyAlignment="1">
      <alignment horizontal="right"/>
    </xf>
    <xf numFmtId="165" fontId="65" fillId="9" borderId="5" xfId="1" applyNumberFormat="1" applyFont="1" applyFill="1" applyBorder="1" applyAlignment="1">
      <alignment horizontal="right"/>
    </xf>
    <xf numFmtId="43" fontId="92" fillId="9" borderId="5" xfId="1" applyNumberFormat="1" applyFont="1" applyFill="1" applyBorder="1" applyAlignment="1">
      <alignment horizontal="right"/>
    </xf>
    <xf numFmtId="166" fontId="104" fillId="12" borderId="51" xfId="2" quotePrefix="1" applyNumberFormat="1" applyFont="1" applyFill="1" applyBorder="1" applyAlignment="1">
      <alignment horizontal="right"/>
    </xf>
    <xf numFmtId="43" fontId="68" fillId="0" borderId="4" xfId="1" quotePrefix="1" applyNumberFormat="1" applyFont="1" applyFill="1" applyBorder="1" applyAlignment="1">
      <alignment horizontal="right"/>
    </xf>
    <xf numFmtId="0" fontId="67" fillId="0" borderId="6" xfId="0" applyFont="1" applyFill="1" applyBorder="1"/>
    <xf numFmtId="5" fontId="67" fillId="0" borderId="10" xfId="1" applyNumberFormat="1" applyFont="1" applyBorder="1" applyAlignment="1">
      <alignment horizontal="right"/>
    </xf>
    <xf numFmtId="0" fontId="65" fillId="0" borderId="6" xfId="0" applyFont="1" applyFill="1" applyBorder="1"/>
    <xf numFmtId="6" fontId="65" fillId="0" borderId="10" xfId="0" applyNumberFormat="1" applyFont="1" applyBorder="1"/>
  </cellXfs>
  <cellStyles count="330">
    <cellStyle name="_%(SignOnly)" xfId="6" xr:uid="{00000000-0005-0000-0000-000000000000}"/>
    <cellStyle name="_%(SignSpaceOnly)" xfId="7" xr:uid="{00000000-0005-0000-0000-000001000000}"/>
    <cellStyle name="_Comma" xfId="8" xr:uid="{00000000-0005-0000-0000-000002000000}"/>
    <cellStyle name="_Currency" xfId="9" xr:uid="{00000000-0005-0000-0000-000003000000}"/>
    <cellStyle name="_CurrencySpace" xfId="10" xr:uid="{00000000-0005-0000-0000-000004000000}"/>
    <cellStyle name="_Euro" xfId="11" xr:uid="{00000000-0005-0000-0000-000005000000}"/>
    <cellStyle name="_Heading" xfId="12" xr:uid="{00000000-0005-0000-0000-000006000000}"/>
    <cellStyle name="_Heading_prestemp" xfId="13" xr:uid="{00000000-0005-0000-0000-000007000000}"/>
    <cellStyle name="_Heading_prestemp_1st Qtr PL FY07" xfId="14" xr:uid="{00000000-0005-0000-0000-000008000000}"/>
    <cellStyle name="_Heading_prestemp_Financial Statements" xfId="15" xr:uid="{00000000-0005-0000-0000-000009000000}"/>
    <cellStyle name="_Heading_prestemp_Financial Statementsvs1" xfId="16" xr:uid="{00000000-0005-0000-0000-00000A000000}"/>
    <cellStyle name="_Highlight" xfId="17" xr:uid="{00000000-0005-0000-0000-00000B000000}"/>
    <cellStyle name="_Multiple" xfId="18" xr:uid="{00000000-0005-0000-0000-00000C000000}"/>
    <cellStyle name="_MultipleSpace" xfId="19" xr:uid="{00000000-0005-0000-0000-00000D000000}"/>
    <cellStyle name="_SubHeading" xfId="20" xr:uid="{00000000-0005-0000-0000-00000E000000}"/>
    <cellStyle name="_SubHeading_prestemp" xfId="21" xr:uid="{00000000-0005-0000-0000-00000F000000}"/>
    <cellStyle name="_SubHeading_prestemp_1st Qtr PL FY07" xfId="22" xr:uid="{00000000-0005-0000-0000-000010000000}"/>
    <cellStyle name="_SubHeading_prestemp_Financial Statements" xfId="23" xr:uid="{00000000-0005-0000-0000-000011000000}"/>
    <cellStyle name="_SubHeading_prestemp_Financial Statementsvs1" xfId="24" xr:uid="{00000000-0005-0000-0000-000012000000}"/>
    <cellStyle name="_Table" xfId="25" xr:uid="{00000000-0005-0000-0000-000013000000}"/>
    <cellStyle name="_TableHead" xfId="26" xr:uid="{00000000-0005-0000-0000-000014000000}"/>
    <cellStyle name="_TableRowHead" xfId="27" xr:uid="{00000000-0005-0000-0000-000015000000}"/>
    <cellStyle name="_TableSuperHead" xfId="28" xr:uid="{00000000-0005-0000-0000-000016000000}"/>
    <cellStyle name="=C:\WINNT\SYSTEM32\COMMAND.COM" xfId="29" xr:uid="{00000000-0005-0000-0000-000017000000}"/>
    <cellStyle name="=C:\WINNT\SYSTEM32\COMMAND.COM 2" xfId="30" xr:uid="{00000000-0005-0000-0000-000018000000}"/>
    <cellStyle name="6-0" xfId="31" xr:uid="{00000000-0005-0000-0000-000019000000}"/>
    <cellStyle name="Bold12" xfId="32" xr:uid="{00000000-0005-0000-0000-00001A000000}"/>
    <cellStyle name="BoldItal12" xfId="33" xr:uid="{00000000-0005-0000-0000-00001B000000}"/>
    <cellStyle name="Border" xfId="34" xr:uid="{00000000-0005-0000-0000-00001C000000}"/>
    <cellStyle name="Border 10" xfId="35" xr:uid="{00000000-0005-0000-0000-00001D000000}"/>
    <cellStyle name="Border 11" xfId="36" xr:uid="{00000000-0005-0000-0000-00001E000000}"/>
    <cellStyle name="Border 12" xfId="37" xr:uid="{00000000-0005-0000-0000-00001F000000}"/>
    <cellStyle name="Border 13" xfId="38" xr:uid="{00000000-0005-0000-0000-000020000000}"/>
    <cellStyle name="Border 14" xfId="39" xr:uid="{00000000-0005-0000-0000-000021000000}"/>
    <cellStyle name="Border 15" xfId="40" xr:uid="{00000000-0005-0000-0000-000022000000}"/>
    <cellStyle name="Border 16" xfId="41" xr:uid="{00000000-0005-0000-0000-000023000000}"/>
    <cellStyle name="Border 17" xfId="42" xr:uid="{00000000-0005-0000-0000-000024000000}"/>
    <cellStyle name="Border 18" xfId="43" xr:uid="{00000000-0005-0000-0000-000025000000}"/>
    <cellStyle name="Border 19" xfId="44" xr:uid="{00000000-0005-0000-0000-000026000000}"/>
    <cellStyle name="Border 2" xfId="45" xr:uid="{00000000-0005-0000-0000-000027000000}"/>
    <cellStyle name="Border 20" xfId="46" xr:uid="{00000000-0005-0000-0000-000028000000}"/>
    <cellStyle name="Border 21" xfId="47" xr:uid="{00000000-0005-0000-0000-000029000000}"/>
    <cellStyle name="Border 22" xfId="48" xr:uid="{00000000-0005-0000-0000-00002A000000}"/>
    <cellStyle name="Border 23" xfId="49" xr:uid="{00000000-0005-0000-0000-00002B000000}"/>
    <cellStyle name="Border 24" xfId="50" xr:uid="{00000000-0005-0000-0000-00002C000000}"/>
    <cellStyle name="Border 25" xfId="51" xr:uid="{00000000-0005-0000-0000-00002D000000}"/>
    <cellStyle name="Border 26" xfId="52" xr:uid="{00000000-0005-0000-0000-00002E000000}"/>
    <cellStyle name="Border 27" xfId="53" xr:uid="{00000000-0005-0000-0000-00002F000000}"/>
    <cellStyle name="Border 28" xfId="54" xr:uid="{00000000-0005-0000-0000-000030000000}"/>
    <cellStyle name="Border 29" xfId="55" xr:uid="{00000000-0005-0000-0000-000031000000}"/>
    <cellStyle name="Border 3" xfId="56" xr:uid="{00000000-0005-0000-0000-000032000000}"/>
    <cellStyle name="Border 30" xfId="57" xr:uid="{00000000-0005-0000-0000-000033000000}"/>
    <cellStyle name="Border 31" xfId="58" xr:uid="{00000000-0005-0000-0000-000034000000}"/>
    <cellStyle name="Border 32" xfId="59" xr:uid="{00000000-0005-0000-0000-000035000000}"/>
    <cellStyle name="Border 33" xfId="60" xr:uid="{00000000-0005-0000-0000-000036000000}"/>
    <cellStyle name="Border 34" xfId="61" xr:uid="{00000000-0005-0000-0000-000037000000}"/>
    <cellStyle name="Border 35" xfId="62" xr:uid="{00000000-0005-0000-0000-000038000000}"/>
    <cellStyle name="Border 36" xfId="63" xr:uid="{00000000-0005-0000-0000-000039000000}"/>
    <cellStyle name="Border 37" xfId="64" xr:uid="{00000000-0005-0000-0000-00003A000000}"/>
    <cellStyle name="Border 38" xfId="65" xr:uid="{00000000-0005-0000-0000-00003B000000}"/>
    <cellStyle name="Border 39" xfId="66" xr:uid="{00000000-0005-0000-0000-00003C000000}"/>
    <cellStyle name="Border 4" xfId="67" xr:uid="{00000000-0005-0000-0000-00003D000000}"/>
    <cellStyle name="Border 40" xfId="68" xr:uid="{00000000-0005-0000-0000-00003E000000}"/>
    <cellStyle name="Border 41" xfId="69" xr:uid="{00000000-0005-0000-0000-00003F000000}"/>
    <cellStyle name="Border 42" xfId="70" xr:uid="{00000000-0005-0000-0000-000040000000}"/>
    <cellStyle name="Border 5" xfId="71" xr:uid="{00000000-0005-0000-0000-000041000000}"/>
    <cellStyle name="Border 6" xfId="72" xr:uid="{00000000-0005-0000-0000-000042000000}"/>
    <cellStyle name="Border 7" xfId="73" xr:uid="{00000000-0005-0000-0000-000043000000}"/>
    <cellStyle name="Border 8" xfId="74" xr:uid="{00000000-0005-0000-0000-000044000000}"/>
    <cellStyle name="Border 9" xfId="75" xr:uid="{00000000-0005-0000-0000-000045000000}"/>
    <cellStyle name="Calc Currency (0)" xfId="76" xr:uid="{00000000-0005-0000-0000-000046000000}"/>
    <cellStyle name="Calc Currency (0) 2" xfId="77" xr:uid="{00000000-0005-0000-0000-000047000000}"/>
    <cellStyle name="Calc Currency (2)" xfId="78" xr:uid="{00000000-0005-0000-0000-000048000000}"/>
    <cellStyle name="Calc Currency (2) 2" xfId="79" xr:uid="{00000000-0005-0000-0000-000049000000}"/>
    <cellStyle name="Calc Percent (0)" xfId="80" xr:uid="{00000000-0005-0000-0000-00004A000000}"/>
    <cellStyle name="Calc Percent (0) 2" xfId="81" xr:uid="{00000000-0005-0000-0000-00004B000000}"/>
    <cellStyle name="Calc Percent (1)" xfId="82" xr:uid="{00000000-0005-0000-0000-00004C000000}"/>
    <cellStyle name="Calc Percent (1) 2" xfId="83" xr:uid="{00000000-0005-0000-0000-00004D000000}"/>
    <cellStyle name="Calc Percent (2)" xfId="84" xr:uid="{00000000-0005-0000-0000-00004E000000}"/>
    <cellStyle name="Calc Percent (2) 2" xfId="85" xr:uid="{00000000-0005-0000-0000-00004F000000}"/>
    <cellStyle name="Calc Units (0)" xfId="86" xr:uid="{00000000-0005-0000-0000-000050000000}"/>
    <cellStyle name="Calc Units (0) 2" xfId="87" xr:uid="{00000000-0005-0000-0000-000051000000}"/>
    <cellStyle name="Calc Units (1)" xfId="88" xr:uid="{00000000-0005-0000-0000-000052000000}"/>
    <cellStyle name="Calc Units (1) 2" xfId="89" xr:uid="{00000000-0005-0000-0000-000053000000}"/>
    <cellStyle name="Calc Units (2)" xfId="90" xr:uid="{00000000-0005-0000-0000-000054000000}"/>
    <cellStyle name="Calc Units (2) 2" xfId="91" xr:uid="{00000000-0005-0000-0000-000055000000}"/>
    <cellStyle name="Centered Heading" xfId="92" xr:uid="{00000000-0005-0000-0000-000056000000}"/>
    <cellStyle name="columns" xfId="93" xr:uid="{00000000-0005-0000-0000-000057000000}"/>
    <cellStyle name="Comma" xfId="1" builtinId="3"/>
    <cellStyle name="Comma  - Style1" xfId="94" xr:uid="{00000000-0005-0000-0000-000059000000}"/>
    <cellStyle name="Comma  - Style2" xfId="95" xr:uid="{00000000-0005-0000-0000-00005A000000}"/>
    <cellStyle name="Comma  - Style3" xfId="96" xr:uid="{00000000-0005-0000-0000-00005B000000}"/>
    <cellStyle name="Comma  - Style4" xfId="97" xr:uid="{00000000-0005-0000-0000-00005C000000}"/>
    <cellStyle name="Comma  - Style5" xfId="98" xr:uid="{00000000-0005-0000-0000-00005D000000}"/>
    <cellStyle name="Comma  - Style6" xfId="99" xr:uid="{00000000-0005-0000-0000-00005E000000}"/>
    <cellStyle name="Comma  - Style7" xfId="100" xr:uid="{00000000-0005-0000-0000-00005F000000}"/>
    <cellStyle name="Comma  - Style8" xfId="101" xr:uid="{00000000-0005-0000-0000-000060000000}"/>
    <cellStyle name="comma (0)" xfId="102" xr:uid="{00000000-0005-0000-0000-000061000000}"/>
    <cellStyle name="comma (0) 2" xfId="103" xr:uid="{00000000-0005-0000-0000-000062000000}"/>
    <cellStyle name="comma (0) 2 2" xfId="104" xr:uid="{00000000-0005-0000-0000-000063000000}"/>
    <cellStyle name="comma (0) 3" xfId="105" xr:uid="{00000000-0005-0000-0000-000064000000}"/>
    <cellStyle name="Comma [00]" xfId="106" xr:uid="{00000000-0005-0000-0000-000065000000}"/>
    <cellStyle name="Comma [00] 2" xfId="107" xr:uid="{00000000-0005-0000-0000-000066000000}"/>
    <cellStyle name="Comma 2" xfId="5" xr:uid="{00000000-0005-0000-0000-000067000000}"/>
    <cellStyle name="Comma 2 2" xfId="108" xr:uid="{00000000-0005-0000-0000-000068000000}"/>
    <cellStyle name="Comma 2 2 2" xfId="109" xr:uid="{00000000-0005-0000-0000-000069000000}"/>
    <cellStyle name="Comma 2 3" xfId="110" xr:uid="{00000000-0005-0000-0000-00006A000000}"/>
    <cellStyle name="Comma 2 4" xfId="111" xr:uid="{00000000-0005-0000-0000-00006B000000}"/>
    <cellStyle name="Comma 2 5" xfId="112" xr:uid="{00000000-0005-0000-0000-00006C000000}"/>
    <cellStyle name="Comma 2 6" xfId="113" xr:uid="{00000000-0005-0000-0000-00006D000000}"/>
    <cellStyle name="Comma 3" xfId="114" xr:uid="{00000000-0005-0000-0000-00006E000000}"/>
    <cellStyle name="Comma 3 2" xfId="115" xr:uid="{00000000-0005-0000-0000-00006F000000}"/>
    <cellStyle name="Comma 4" xfId="116" xr:uid="{00000000-0005-0000-0000-000070000000}"/>
    <cellStyle name="Comma 4 2" xfId="117" xr:uid="{00000000-0005-0000-0000-000071000000}"/>
    <cellStyle name="Comma 5" xfId="118" xr:uid="{00000000-0005-0000-0000-000072000000}"/>
    <cellStyle name="Comma 5 2" xfId="119" xr:uid="{00000000-0005-0000-0000-000073000000}"/>
    <cellStyle name="Comma Acctg" xfId="120" xr:uid="{00000000-0005-0000-0000-000074000000}"/>
    <cellStyle name="Comma Acctg 2" xfId="121" xr:uid="{00000000-0005-0000-0000-000075000000}"/>
    <cellStyle name="Comma0" xfId="122" xr:uid="{00000000-0005-0000-0000-000076000000}"/>
    <cellStyle name="Company Name" xfId="123" xr:uid="{00000000-0005-0000-0000-000077000000}"/>
    <cellStyle name="Contracts" xfId="124" xr:uid="{00000000-0005-0000-0000-000078000000}"/>
    <cellStyle name="CR Comma" xfId="125" xr:uid="{00000000-0005-0000-0000-000079000000}"/>
    <cellStyle name="CR Currency" xfId="126" xr:uid="{00000000-0005-0000-0000-00007A000000}"/>
    <cellStyle name="curr" xfId="127" xr:uid="{00000000-0005-0000-0000-00007B000000}"/>
    <cellStyle name="Currency [00]" xfId="128" xr:uid="{00000000-0005-0000-0000-00007C000000}"/>
    <cellStyle name="Currency [00] 2" xfId="129" xr:uid="{00000000-0005-0000-0000-00007D000000}"/>
    <cellStyle name="Currency 2" xfId="130" xr:uid="{00000000-0005-0000-0000-00007E000000}"/>
    <cellStyle name="Currency Acctg" xfId="131" xr:uid="{00000000-0005-0000-0000-00007F000000}"/>
    <cellStyle name="Currency0" xfId="132" xr:uid="{00000000-0005-0000-0000-000080000000}"/>
    <cellStyle name="Data" xfId="133" xr:uid="{00000000-0005-0000-0000-000081000000}"/>
    <cellStyle name="Date" xfId="134" xr:uid="{00000000-0005-0000-0000-000082000000}"/>
    <cellStyle name="Date Short" xfId="135" xr:uid="{00000000-0005-0000-0000-000083000000}"/>
    <cellStyle name="DateJoel" xfId="136" xr:uid="{00000000-0005-0000-0000-000084000000}"/>
    <cellStyle name="debbie" xfId="137" xr:uid="{00000000-0005-0000-0000-000085000000}"/>
    <cellStyle name="Dezimal [0]_laroux" xfId="138" xr:uid="{00000000-0005-0000-0000-000086000000}"/>
    <cellStyle name="Dezimal_laroux" xfId="139" xr:uid="{00000000-0005-0000-0000-000087000000}"/>
    <cellStyle name="Enter Currency (0)" xfId="140" xr:uid="{00000000-0005-0000-0000-000088000000}"/>
    <cellStyle name="Enter Currency (0) 2" xfId="141" xr:uid="{00000000-0005-0000-0000-000089000000}"/>
    <cellStyle name="Enter Currency (2)" xfId="142" xr:uid="{00000000-0005-0000-0000-00008A000000}"/>
    <cellStyle name="Enter Currency (2) 2" xfId="143" xr:uid="{00000000-0005-0000-0000-00008B000000}"/>
    <cellStyle name="Enter Units (0)" xfId="144" xr:uid="{00000000-0005-0000-0000-00008C000000}"/>
    <cellStyle name="Enter Units (0) 2" xfId="145" xr:uid="{00000000-0005-0000-0000-00008D000000}"/>
    <cellStyle name="Enter Units (1)" xfId="146" xr:uid="{00000000-0005-0000-0000-00008E000000}"/>
    <cellStyle name="Enter Units (1) 2" xfId="147" xr:uid="{00000000-0005-0000-0000-00008F000000}"/>
    <cellStyle name="Enter Units (2)" xfId="148" xr:uid="{00000000-0005-0000-0000-000090000000}"/>
    <cellStyle name="Enter Units (2) 2" xfId="149" xr:uid="{00000000-0005-0000-0000-000091000000}"/>
    <cellStyle name="eps" xfId="150" xr:uid="{00000000-0005-0000-0000-000092000000}"/>
    <cellStyle name="Euro" xfId="151" xr:uid="{00000000-0005-0000-0000-000093000000}"/>
    <cellStyle name="Grey" xfId="152" xr:uid="{00000000-0005-0000-0000-000094000000}"/>
    <cellStyle name="Header1" xfId="153" xr:uid="{00000000-0005-0000-0000-000095000000}"/>
    <cellStyle name="Header2" xfId="154" xr:uid="{00000000-0005-0000-0000-000096000000}"/>
    <cellStyle name="Header2 10" xfId="155" xr:uid="{00000000-0005-0000-0000-000097000000}"/>
    <cellStyle name="Header2 11" xfId="156" xr:uid="{00000000-0005-0000-0000-000098000000}"/>
    <cellStyle name="Header2 12" xfId="157" xr:uid="{00000000-0005-0000-0000-000099000000}"/>
    <cellStyle name="Header2 13" xfId="158" xr:uid="{00000000-0005-0000-0000-00009A000000}"/>
    <cellStyle name="Header2 14" xfId="159" xr:uid="{00000000-0005-0000-0000-00009B000000}"/>
    <cellStyle name="Header2 15" xfId="160" xr:uid="{00000000-0005-0000-0000-00009C000000}"/>
    <cellStyle name="Header2 16" xfId="161" xr:uid="{00000000-0005-0000-0000-00009D000000}"/>
    <cellStyle name="Header2 17" xfId="162" xr:uid="{00000000-0005-0000-0000-00009E000000}"/>
    <cellStyle name="Header2 18" xfId="163" xr:uid="{00000000-0005-0000-0000-00009F000000}"/>
    <cellStyle name="Header2 19" xfId="164" xr:uid="{00000000-0005-0000-0000-0000A0000000}"/>
    <cellStyle name="Header2 2" xfId="165" xr:uid="{00000000-0005-0000-0000-0000A1000000}"/>
    <cellStyle name="Header2 20" xfId="166" xr:uid="{00000000-0005-0000-0000-0000A2000000}"/>
    <cellStyle name="Header2 21" xfId="167" xr:uid="{00000000-0005-0000-0000-0000A3000000}"/>
    <cellStyle name="Header2 22" xfId="168" xr:uid="{00000000-0005-0000-0000-0000A4000000}"/>
    <cellStyle name="Header2 23" xfId="169" xr:uid="{00000000-0005-0000-0000-0000A5000000}"/>
    <cellStyle name="Header2 24" xfId="170" xr:uid="{00000000-0005-0000-0000-0000A6000000}"/>
    <cellStyle name="Header2 25" xfId="171" xr:uid="{00000000-0005-0000-0000-0000A7000000}"/>
    <cellStyle name="Header2 26" xfId="172" xr:uid="{00000000-0005-0000-0000-0000A8000000}"/>
    <cellStyle name="Header2 27" xfId="173" xr:uid="{00000000-0005-0000-0000-0000A9000000}"/>
    <cellStyle name="Header2 28" xfId="174" xr:uid="{00000000-0005-0000-0000-0000AA000000}"/>
    <cellStyle name="Header2 29" xfId="175" xr:uid="{00000000-0005-0000-0000-0000AB000000}"/>
    <cellStyle name="Header2 3" xfId="176" xr:uid="{00000000-0005-0000-0000-0000AC000000}"/>
    <cellStyle name="Header2 30" xfId="177" xr:uid="{00000000-0005-0000-0000-0000AD000000}"/>
    <cellStyle name="Header2 31" xfId="178" xr:uid="{00000000-0005-0000-0000-0000AE000000}"/>
    <cellStyle name="Header2 32" xfId="179" xr:uid="{00000000-0005-0000-0000-0000AF000000}"/>
    <cellStyle name="Header2 33" xfId="180" xr:uid="{00000000-0005-0000-0000-0000B0000000}"/>
    <cellStyle name="Header2 34" xfId="181" xr:uid="{00000000-0005-0000-0000-0000B1000000}"/>
    <cellStyle name="Header2 35" xfId="182" xr:uid="{00000000-0005-0000-0000-0000B2000000}"/>
    <cellStyle name="Header2 36" xfId="183" xr:uid="{00000000-0005-0000-0000-0000B3000000}"/>
    <cellStyle name="Header2 37" xfId="184" xr:uid="{00000000-0005-0000-0000-0000B4000000}"/>
    <cellStyle name="Header2 38" xfId="185" xr:uid="{00000000-0005-0000-0000-0000B5000000}"/>
    <cellStyle name="Header2 39" xfId="186" xr:uid="{00000000-0005-0000-0000-0000B6000000}"/>
    <cellStyle name="Header2 4" xfId="187" xr:uid="{00000000-0005-0000-0000-0000B7000000}"/>
    <cellStyle name="Header2 40" xfId="188" xr:uid="{00000000-0005-0000-0000-0000B8000000}"/>
    <cellStyle name="Header2 41" xfId="189" xr:uid="{00000000-0005-0000-0000-0000B9000000}"/>
    <cellStyle name="Header2 42" xfId="190" xr:uid="{00000000-0005-0000-0000-0000BA000000}"/>
    <cellStyle name="Header2 5" xfId="191" xr:uid="{00000000-0005-0000-0000-0000BB000000}"/>
    <cellStyle name="Header2 6" xfId="192" xr:uid="{00000000-0005-0000-0000-0000BC000000}"/>
    <cellStyle name="Header2 7" xfId="193" xr:uid="{00000000-0005-0000-0000-0000BD000000}"/>
    <cellStyle name="Header2 8" xfId="194" xr:uid="{00000000-0005-0000-0000-0000BE000000}"/>
    <cellStyle name="Header2 9" xfId="195" xr:uid="{00000000-0005-0000-0000-0000BF000000}"/>
    <cellStyle name="Heading" xfId="196" xr:uid="{00000000-0005-0000-0000-0000C0000000}"/>
    <cellStyle name="Heading 1 2" xfId="197" xr:uid="{00000000-0005-0000-0000-0000C1000000}"/>
    <cellStyle name="Heading 1 3" xfId="198" xr:uid="{00000000-0005-0000-0000-0000C2000000}"/>
    <cellStyle name="Heading 1 4" xfId="199" xr:uid="{00000000-0005-0000-0000-0000C3000000}"/>
    <cellStyle name="Heading 2 2" xfId="200" xr:uid="{00000000-0005-0000-0000-0000C4000000}"/>
    <cellStyle name="Heading 2 3" xfId="201" xr:uid="{00000000-0005-0000-0000-0000C5000000}"/>
    <cellStyle name="Heading 2 4" xfId="202" xr:uid="{00000000-0005-0000-0000-0000C6000000}"/>
    <cellStyle name="Heading No Underline" xfId="203" xr:uid="{00000000-0005-0000-0000-0000C7000000}"/>
    <cellStyle name="Heading With Underline" xfId="204" xr:uid="{00000000-0005-0000-0000-0000C8000000}"/>
    <cellStyle name="Hyperlink" xfId="329" builtinId="8"/>
    <cellStyle name="Hyperlink 2" xfId="205" xr:uid="{00000000-0005-0000-0000-0000CA000000}"/>
    <cellStyle name="Hyperlink 2 2" xfId="206" xr:uid="{00000000-0005-0000-0000-0000CB000000}"/>
    <cellStyle name="Hyperlink 2 2 2" xfId="207" xr:uid="{00000000-0005-0000-0000-0000CC000000}"/>
    <cellStyle name="Hyperlink 3" xfId="208" xr:uid="{00000000-0005-0000-0000-0000CD000000}"/>
    <cellStyle name="Hyperlink 4" xfId="209" xr:uid="{00000000-0005-0000-0000-0000CE000000}"/>
    <cellStyle name="Input [yellow]" xfId="210" xr:uid="{00000000-0005-0000-0000-0000CF000000}"/>
    <cellStyle name="Link Currency (0)" xfId="211" xr:uid="{00000000-0005-0000-0000-0000D0000000}"/>
    <cellStyle name="Link Currency (0) 2" xfId="212" xr:uid="{00000000-0005-0000-0000-0000D1000000}"/>
    <cellStyle name="Link Currency (2)" xfId="213" xr:uid="{00000000-0005-0000-0000-0000D2000000}"/>
    <cellStyle name="Link Currency (2) 2" xfId="214" xr:uid="{00000000-0005-0000-0000-0000D3000000}"/>
    <cellStyle name="Link Units (0)" xfId="215" xr:uid="{00000000-0005-0000-0000-0000D4000000}"/>
    <cellStyle name="Link Units (0) 2" xfId="216" xr:uid="{00000000-0005-0000-0000-0000D5000000}"/>
    <cellStyle name="Link Units (1)" xfId="217" xr:uid="{00000000-0005-0000-0000-0000D6000000}"/>
    <cellStyle name="Link Units (1) 2" xfId="218" xr:uid="{00000000-0005-0000-0000-0000D7000000}"/>
    <cellStyle name="Link Units (2)" xfId="219" xr:uid="{00000000-0005-0000-0000-0000D8000000}"/>
    <cellStyle name="Link Units (2) 2" xfId="220" xr:uid="{00000000-0005-0000-0000-0000D9000000}"/>
    <cellStyle name="Millares [0]_pldt" xfId="221" xr:uid="{00000000-0005-0000-0000-0000DA000000}"/>
    <cellStyle name="Millares_pldt" xfId="222" xr:uid="{00000000-0005-0000-0000-0000DB000000}"/>
    <cellStyle name="Milliers [0]_AR1194" xfId="223" xr:uid="{00000000-0005-0000-0000-0000DC000000}"/>
    <cellStyle name="Milliers_AR1194" xfId="224" xr:uid="{00000000-0005-0000-0000-0000DD000000}"/>
    <cellStyle name="Moneda [0]_pldt" xfId="225" xr:uid="{00000000-0005-0000-0000-0000DE000000}"/>
    <cellStyle name="Moneda_pldt" xfId="226" xr:uid="{00000000-0005-0000-0000-0000DF000000}"/>
    <cellStyle name="Monétaire [0]_AR1194" xfId="227" xr:uid="{00000000-0005-0000-0000-0000E0000000}"/>
    <cellStyle name="Monétaire_AR1194" xfId="228" xr:uid="{00000000-0005-0000-0000-0000E1000000}"/>
    <cellStyle name="negativ" xfId="229" xr:uid="{00000000-0005-0000-0000-0000E2000000}"/>
    <cellStyle name="no dec" xfId="230" xr:uid="{00000000-0005-0000-0000-0000E3000000}"/>
    <cellStyle name="nodollars" xfId="231" xr:uid="{00000000-0005-0000-0000-0000E4000000}"/>
    <cellStyle name="nodollars 2" xfId="232" xr:uid="{00000000-0005-0000-0000-0000E5000000}"/>
    <cellStyle name="Normal" xfId="0" builtinId="0"/>
    <cellStyle name="Normal - Style1" xfId="233" xr:uid="{00000000-0005-0000-0000-0000E7000000}"/>
    <cellStyle name="Normal - Style1 2" xfId="234" xr:uid="{00000000-0005-0000-0000-0000E8000000}"/>
    <cellStyle name="Normal - Style2" xfId="235" xr:uid="{00000000-0005-0000-0000-0000E9000000}"/>
    <cellStyle name="Normal - Style3" xfId="236" xr:uid="{00000000-0005-0000-0000-0000EA000000}"/>
    <cellStyle name="Normal - Style4" xfId="237" xr:uid="{00000000-0005-0000-0000-0000EB000000}"/>
    <cellStyle name="Normal - Style5" xfId="238" xr:uid="{00000000-0005-0000-0000-0000EC000000}"/>
    <cellStyle name="Normal 10" xfId="239" xr:uid="{00000000-0005-0000-0000-0000ED000000}"/>
    <cellStyle name="Normal 2" xfId="3" xr:uid="{00000000-0005-0000-0000-0000EE000000}"/>
    <cellStyle name="Normal 2 2" xfId="240" xr:uid="{00000000-0005-0000-0000-0000EF000000}"/>
    <cellStyle name="Normal 2 2 2" xfId="241" xr:uid="{00000000-0005-0000-0000-0000F0000000}"/>
    <cellStyle name="Normal 2 3" xfId="242" xr:uid="{00000000-0005-0000-0000-0000F1000000}"/>
    <cellStyle name="Normal 2 3 2" xfId="243" xr:uid="{00000000-0005-0000-0000-0000F2000000}"/>
    <cellStyle name="Normal 2 4" xfId="244" xr:uid="{00000000-0005-0000-0000-0000F3000000}"/>
    <cellStyle name="Normal 2 5" xfId="245" xr:uid="{00000000-0005-0000-0000-0000F4000000}"/>
    <cellStyle name="Normal 2 6" xfId="246" xr:uid="{00000000-0005-0000-0000-0000F5000000}"/>
    <cellStyle name="Normal 2 7" xfId="247" xr:uid="{00000000-0005-0000-0000-0000F6000000}"/>
    <cellStyle name="Normal 2 8" xfId="248" xr:uid="{00000000-0005-0000-0000-0000F7000000}"/>
    <cellStyle name="Normal 3" xfId="4" xr:uid="{00000000-0005-0000-0000-0000F8000000}"/>
    <cellStyle name="Normal 3 2" xfId="249" xr:uid="{00000000-0005-0000-0000-0000F9000000}"/>
    <cellStyle name="Normal 3 3" xfId="250" xr:uid="{00000000-0005-0000-0000-0000FA000000}"/>
    <cellStyle name="Normal 3 4" xfId="251" xr:uid="{00000000-0005-0000-0000-0000FB000000}"/>
    <cellStyle name="Normal 4" xfId="252" xr:uid="{00000000-0005-0000-0000-0000FC000000}"/>
    <cellStyle name="Normal 5" xfId="253" xr:uid="{00000000-0005-0000-0000-0000FD000000}"/>
    <cellStyle name="Normal 5 2" xfId="254" xr:uid="{00000000-0005-0000-0000-0000FE000000}"/>
    <cellStyle name="Normal 6" xfId="255" xr:uid="{00000000-0005-0000-0000-0000FF000000}"/>
    <cellStyle name="Normal 6 2" xfId="256" xr:uid="{00000000-0005-0000-0000-000000010000}"/>
    <cellStyle name="Normal 6 3" xfId="257" xr:uid="{00000000-0005-0000-0000-000001010000}"/>
    <cellStyle name="Normal 7" xfId="258" xr:uid="{00000000-0005-0000-0000-000002010000}"/>
    <cellStyle name="Normal 7 2" xfId="259" xr:uid="{00000000-0005-0000-0000-000003010000}"/>
    <cellStyle name="Normal 8" xfId="260" xr:uid="{00000000-0005-0000-0000-000004010000}"/>
    <cellStyle name="Normal 8 2" xfId="261" xr:uid="{00000000-0005-0000-0000-000005010000}"/>
    <cellStyle name="Normal 8 3" xfId="262" xr:uid="{00000000-0005-0000-0000-000006010000}"/>
    <cellStyle name="Normal 9" xfId="263" xr:uid="{00000000-0005-0000-0000-000007010000}"/>
    <cellStyle name="Number0DecimalStyle" xfId="264" xr:uid="{00000000-0005-0000-0000-000008010000}"/>
    <cellStyle name="Number0DecimalStyle 2" xfId="265" xr:uid="{00000000-0005-0000-0000-000009010000}"/>
    <cellStyle name="Number10DecimalStyle" xfId="266" xr:uid="{00000000-0005-0000-0000-00000A010000}"/>
    <cellStyle name="Number1DecimalStyle" xfId="267" xr:uid="{00000000-0005-0000-0000-00000B010000}"/>
    <cellStyle name="Number2DecimalStyle" xfId="268" xr:uid="{00000000-0005-0000-0000-00000C010000}"/>
    <cellStyle name="Number2DecimalStyle 2" xfId="269" xr:uid="{00000000-0005-0000-0000-00000D010000}"/>
    <cellStyle name="Number3DecimalStyle" xfId="270" xr:uid="{00000000-0005-0000-0000-00000E010000}"/>
    <cellStyle name="Number4DecimalStyle" xfId="271" xr:uid="{00000000-0005-0000-0000-00000F010000}"/>
    <cellStyle name="Number5DecimalStyle" xfId="272" xr:uid="{00000000-0005-0000-0000-000010010000}"/>
    <cellStyle name="Number6DecimalStyle" xfId="273" xr:uid="{00000000-0005-0000-0000-000011010000}"/>
    <cellStyle name="Number7DecimalStyle" xfId="274" xr:uid="{00000000-0005-0000-0000-000012010000}"/>
    <cellStyle name="Number8DecimalStyle" xfId="275" xr:uid="{00000000-0005-0000-0000-000013010000}"/>
    <cellStyle name="Number9DecimalStyle" xfId="276" xr:uid="{00000000-0005-0000-0000-000014010000}"/>
    <cellStyle name="over" xfId="277" xr:uid="{00000000-0005-0000-0000-000015010000}"/>
    <cellStyle name="Percent" xfId="2" builtinId="5"/>
    <cellStyle name="percent (0)" xfId="278" xr:uid="{00000000-0005-0000-0000-000017010000}"/>
    <cellStyle name="Percent [0]" xfId="279" xr:uid="{00000000-0005-0000-0000-000018010000}"/>
    <cellStyle name="Percent [0] 2" xfId="280" xr:uid="{00000000-0005-0000-0000-000019010000}"/>
    <cellStyle name="Percent [00]" xfId="281" xr:uid="{00000000-0005-0000-0000-00001A010000}"/>
    <cellStyle name="Percent [00] 2" xfId="282" xr:uid="{00000000-0005-0000-0000-00001B010000}"/>
    <cellStyle name="Percent [2]" xfId="283" xr:uid="{00000000-0005-0000-0000-00001C010000}"/>
    <cellStyle name="Percent 10" xfId="284" xr:uid="{00000000-0005-0000-0000-00001D010000}"/>
    <cellStyle name="Percent 2" xfId="285" xr:uid="{00000000-0005-0000-0000-00001E010000}"/>
    <cellStyle name="Percent 2 2" xfId="286" xr:uid="{00000000-0005-0000-0000-00001F010000}"/>
    <cellStyle name="Percent 2 3" xfId="287" xr:uid="{00000000-0005-0000-0000-000020010000}"/>
    <cellStyle name="Percent 2 4" xfId="288" xr:uid="{00000000-0005-0000-0000-000021010000}"/>
    <cellStyle name="Percent 3" xfId="289" xr:uid="{00000000-0005-0000-0000-000022010000}"/>
    <cellStyle name="Percent 3 2" xfId="290" xr:uid="{00000000-0005-0000-0000-000023010000}"/>
    <cellStyle name="Percent 4" xfId="291" xr:uid="{00000000-0005-0000-0000-000024010000}"/>
    <cellStyle name="Percent 6" xfId="292" xr:uid="{00000000-0005-0000-0000-000025010000}"/>
    <cellStyle name="PERCENTAGE" xfId="293" xr:uid="{00000000-0005-0000-0000-000026010000}"/>
    <cellStyle name="posit" xfId="294" xr:uid="{00000000-0005-0000-0000-000027010000}"/>
    <cellStyle name="Powerpoint Style" xfId="295" xr:uid="{00000000-0005-0000-0000-000028010000}"/>
    <cellStyle name="PrePop Currency (0)" xfId="296" xr:uid="{00000000-0005-0000-0000-000029010000}"/>
    <cellStyle name="PrePop Currency (0) 2" xfId="297" xr:uid="{00000000-0005-0000-0000-00002A010000}"/>
    <cellStyle name="PrePop Currency (2)" xfId="298" xr:uid="{00000000-0005-0000-0000-00002B010000}"/>
    <cellStyle name="PrePop Currency (2) 2" xfId="299" xr:uid="{00000000-0005-0000-0000-00002C010000}"/>
    <cellStyle name="PrePop Units (0)" xfId="300" xr:uid="{00000000-0005-0000-0000-00002D010000}"/>
    <cellStyle name="PrePop Units (0) 2" xfId="301" xr:uid="{00000000-0005-0000-0000-00002E010000}"/>
    <cellStyle name="PrePop Units (1)" xfId="302" xr:uid="{00000000-0005-0000-0000-00002F010000}"/>
    <cellStyle name="PrePop Units (1) 2" xfId="303" xr:uid="{00000000-0005-0000-0000-000030010000}"/>
    <cellStyle name="PrePop Units (2)" xfId="304" xr:uid="{00000000-0005-0000-0000-000031010000}"/>
    <cellStyle name="PrePop Units (2) 2" xfId="305" xr:uid="{00000000-0005-0000-0000-000032010000}"/>
    <cellStyle name="SingleTopDoubleBott" xfId="306" xr:uid="{00000000-0005-0000-0000-000033010000}"/>
    <cellStyle name="Standard_A" xfId="307" xr:uid="{00000000-0005-0000-0000-000034010000}"/>
    <cellStyle name="Style 1" xfId="308" xr:uid="{00000000-0005-0000-0000-000035010000}"/>
    <cellStyle name="Style 2" xfId="309" xr:uid="{00000000-0005-0000-0000-000036010000}"/>
    <cellStyle name="Style 3" xfId="310" xr:uid="{00000000-0005-0000-0000-000037010000}"/>
    <cellStyle name="Style 4" xfId="311" xr:uid="{00000000-0005-0000-0000-000038010000}"/>
    <cellStyle name="Text Indent A" xfId="312" xr:uid="{00000000-0005-0000-0000-000039010000}"/>
    <cellStyle name="Text Indent B" xfId="313" xr:uid="{00000000-0005-0000-0000-00003A010000}"/>
    <cellStyle name="Text Indent B 2" xfId="314" xr:uid="{00000000-0005-0000-0000-00003B010000}"/>
    <cellStyle name="Text Indent C" xfId="315" xr:uid="{00000000-0005-0000-0000-00003C010000}"/>
    <cellStyle name="Text Indent C 2" xfId="316" xr:uid="{00000000-0005-0000-0000-00003D010000}"/>
    <cellStyle name="TextStyle" xfId="317" xr:uid="{00000000-0005-0000-0000-00003E010000}"/>
    <cellStyle name="Tickmark" xfId="318" xr:uid="{00000000-0005-0000-0000-00003F010000}"/>
    <cellStyle name="TimStyle" xfId="319" xr:uid="{00000000-0005-0000-0000-000040010000}"/>
    <cellStyle name="Total 2" xfId="320" xr:uid="{00000000-0005-0000-0000-000041010000}"/>
    <cellStyle name="Total 3" xfId="321" xr:uid="{00000000-0005-0000-0000-000042010000}"/>
    <cellStyle name="Total 4" xfId="322" xr:uid="{00000000-0005-0000-0000-000043010000}"/>
    <cellStyle name="Underline" xfId="323" xr:uid="{00000000-0005-0000-0000-000044010000}"/>
    <cellStyle name="UnderlineDouble" xfId="324" xr:uid="{00000000-0005-0000-0000-000045010000}"/>
    <cellStyle name="Währung [0]_RESULTS" xfId="325" xr:uid="{00000000-0005-0000-0000-000046010000}"/>
    <cellStyle name="Währung_RESULTS" xfId="326" xr:uid="{00000000-0005-0000-0000-000047010000}"/>
    <cellStyle name="표준_BINV" xfId="327" xr:uid="{00000000-0005-0000-0000-000048010000}"/>
    <cellStyle name="標準_99B-05PE_IC2" xfId="328" xr:uid="{00000000-0005-0000-0000-000049010000}"/>
  </cellStyles>
  <dxfs count="6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7B1-40DA-AF65-A59B5A4F6F80}"/>
            </c:ext>
          </c:extLst>
        </c:ser>
        <c:dLbls>
          <c:showLegendKey val="0"/>
          <c:showVal val="0"/>
          <c:showCatName val="0"/>
          <c:showSerName val="0"/>
          <c:showPercent val="0"/>
          <c:showBubbleSize val="0"/>
        </c:dLbls>
        <c:smooth val="0"/>
        <c:axId val="83449728"/>
        <c:axId val="132637440"/>
      </c:lineChart>
      <c:catAx>
        <c:axId val="8344972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32637440"/>
        <c:crosses val="autoZero"/>
        <c:auto val="1"/>
        <c:lblAlgn val="ctr"/>
        <c:lblOffset val="100"/>
        <c:tickLblSkip val="7"/>
        <c:noMultiLvlLbl val="1"/>
      </c:catAx>
      <c:valAx>
        <c:axId val="132637440"/>
        <c:scaling>
          <c:orientation val="minMax"/>
        </c:scaling>
        <c:delete val="0"/>
        <c:axPos val="l"/>
        <c:majorGridlines/>
        <c:numFmt formatCode="0.0\x" sourceLinked="0"/>
        <c:majorTickMark val="out"/>
        <c:minorTickMark val="none"/>
        <c:tickLblPos val="nextTo"/>
        <c:crossAx val="834497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Ground</a:t>
            </a:r>
            <a:r>
              <a:rPr lang="en-US" sz="1200" b="0" baseline="0"/>
              <a:t> Segment-Revenue &amp; Margin Forecast</a:t>
            </a:r>
            <a:endParaRPr lang="en-US" sz="1200" b="0"/>
          </a:p>
        </c:rich>
      </c:tx>
      <c:layout>
        <c:manualLayout>
          <c:xMode val="edge"/>
          <c:yMode val="edge"/>
          <c:x val="0.12577604310138199"/>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Model'!$B$148</c:f>
              <c:strCache>
                <c:ptCount val="1"/>
                <c:pt idx="0">
                  <c:v>FedEx Ground Revenue ($M)</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F710-426D-8A80-7E881865C2F6}"/>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F710-426D-8A80-7E881865C2F6}"/>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F710-426D-8A80-7E881865C2F6}"/>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F710-426D-8A80-7E881865C2F6}"/>
              </c:ext>
            </c:extLst>
          </c:dPt>
          <c:dPt>
            <c:idx val="9"/>
            <c:invertIfNegative val="0"/>
            <c:bubble3D val="0"/>
            <c:extLst>
              <c:ext xmlns:c16="http://schemas.microsoft.com/office/drawing/2014/chart" uri="{C3380CC4-5D6E-409C-BE32-E72D297353CC}">
                <c16:uniqueId val="{00000008-F710-426D-8A80-7E881865C2F6}"/>
              </c:ext>
            </c:extLst>
          </c:dPt>
          <c:cat>
            <c:strRef>
              <c:f>('FedEx Earnings Model'!$S$12,'FedEx Earnings Model'!$T$12,'FedEx Earnings Model'!$U$12,'FedEx Earnings Model'!$V$12,'FedEx Earnings Model'!$X$12,'FedEx Earnings Model'!$Y$12,'FedEx Earnings Model'!$Z$12,'FedEx Earnings Model'!$AA$12)</c:f>
              <c:strCache>
                <c:ptCount val="8"/>
                <c:pt idx="0">
                  <c:v> F1Q19 </c:v>
                </c:pt>
                <c:pt idx="1">
                  <c:v> F2Q19 </c:v>
                </c:pt>
                <c:pt idx="2">
                  <c:v> F3Q19 </c:v>
                </c:pt>
                <c:pt idx="3">
                  <c:v> F4Q19 </c:v>
                </c:pt>
                <c:pt idx="4">
                  <c:v> F1Q20E </c:v>
                </c:pt>
                <c:pt idx="5">
                  <c:v> F2Q20E </c:v>
                </c:pt>
                <c:pt idx="6">
                  <c:v> F3Q20E </c:v>
                </c:pt>
                <c:pt idx="7">
                  <c:v> F4Q20E </c:v>
                </c:pt>
              </c:strCache>
            </c:strRef>
          </c:cat>
          <c:val>
            <c:numRef>
              <c:f>('FedEx Earnings Model'!$S$148,'FedEx Earnings Model'!$T$148,'FedEx Earnings Model'!$U$148,'FedEx Earnings Model'!$V$148,'FedEx Earnings Model'!$X$148,'FedEx Earnings Model'!$Y$148,'FedEx Earnings Model'!$Z$148,'FedEx Earnings Model'!$AA$148)</c:f>
              <c:numCache>
                <c:formatCode>_(* #,##0_);_(* \(#,##0\);_(* "-"_);_(@_)</c:formatCode>
                <c:ptCount val="8"/>
                <c:pt idx="0">
                  <c:v>4798.9104000000007</c:v>
                </c:pt>
                <c:pt idx="1">
                  <c:v>5141.8121100000008</c:v>
                </c:pt>
                <c:pt idx="2">
                  <c:v>5260.9269999999988</c:v>
                </c:pt>
                <c:pt idx="3">
                  <c:v>5319.6450000000004</c:v>
                </c:pt>
                <c:pt idx="4">
                  <c:v>5078.5334934469083</c:v>
                </c:pt>
                <c:pt idx="5">
                  <c:v>5455.388504482481</c:v>
                </c:pt>
                <c:pt idx="6">
                  <c:v>5683.550627385428</c:v>
                </c:pt>
                <c:pt idx="7">
                  <c:v>5643.2600167771279</c:v>
                </c:pt>
              </c:numCache>
            </c:numRef>
          </c:val>
          <c:extLst>
            <c:ext xmlns:c16="http://schemas.microsoft.com/office/drawing/2014/chart" uri="{C3380CC4-5D6E-409C-BE32-E72D297353CC}">
              <c16:uniqueId val="{00000009-F710-426D-8A80-7E881865C2F6}"/>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Model'!$B$155</c:f>
              <c:strCache>
                <c:ptCount val="1"/>
                <c:pt idx="0">
                  <c:v>Ground operating margin</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F710-426D-8A80-7E881865C2F6}"/>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F710-426D-8A80-7E881865C2F6}"/>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F710-426D-8A80-7E881865C2F6}"/>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F710-426D-8A80-7E881865C2F6}"/>
              </c:ext>
            </c:extLst>
          </c:dPt>
          <c:cat>
            <c:strRef>
              <c:f>('FedEx Earnings Model'!$S$12,'FedEx Earnings Model'!$T$12,'FedEx Earnings Model'!$U$12,'FedEx Earnings Model'!$V$12,'FedEx Earnings Model'!$X$12,'FedEx Earnings Model'!$Y$12,'FedEx Earnings Model'!$Z$12,'FedEx Earnings Model'!$AA$12)</c:f>
              <c:strCache>
                <c:ptCount val="8"/>
                <c:pt idx="0">
                  <c:v> F1Q19 </c:v>
                </c:pt>
                <c:pt idx="1">
                  <c:v> F2Q19 </c:v>
                </c:pt>
                <c:pt idx="2">
                  <c:v> F3Q19 </c:v>
                </c:pt>
                <c:pt idx="3">
                  <c:v> F4Q19 </c:v>
                </c:pt>
                <c:pt idx="4">
                  <c:v> F1Q20E </c:v>
                </c:pt>
                <c:pt idx="5">
                  <c:v> F2Q20E </c:v>
                </c:pt>
                <c:pt idx="6">
                  <c:v> F3Q20E </c:v>
                </c:pt>
                <c:pt idx="7">
                  <c:v> F4Q20E </c:v>
                </c:pt>
              </c:strCache>
            </c:strRef>
          </c:cat>
          <c:val>
            <c:numRef>
              <c:f>('FedEx Earnings Model'!$S$155,'FedEx Earnings Model'!$T$155,'FedEx Earnings Model'!$U$155,'FedEx Earnings Model'!$V$155,'FedEx Earnings Model'!$X$155,'FedEx Earnings Model'!$Y$155,'FedEx Earnings Model'!$Z$155,'FedEx Earnings Model'!$AA$155)</c:f>
              <c:numCache>
                <c:formatCode>0.0%</c:formatCode>
                <c:ptCount val="8"/>
                <c:pt idx="0">
                  <c:v>0.13897121313204777</c:v>
                </c:pt>
                <c:pt idx="1">
                  <c:v>0.11393106116434905</c:v>
                </c:pt>
                <c:pt idx="2">
                  <c:v>0.1096626126916414</c:v>
                </c:pt>
                <c:pt idx="3">
                  <c:v>0.15219906591511281</c:v>
                </c:pt>
                <c:pt idx="4">
                  <c:v>0.12179941434266234</c:v>
                </c:pt>
                <c:pt idx="5">
                  <c:v>0.10765771464644414</c:v>
                </c:pt>
                <c:pt idx="6">
                  <c:v>0.11458762444916418</c:v>
                </c:pt>
                <c:pt idx="7">
                  <c:v>0.16887056200624251</c:v>
                </c:pt>
              </c:numCache>
            </c:numRef>
          </c:val>
          <c:smooth val="0"/>
          <c:extLst>
            <c:ext xmlns:c16="http://schemas.microsoft.com/office/drawing/2014/chart" uri="{C3380CC4-5D6E-409C-BE32-E72D297353CC}">
              <c16:uniqueId val="{00000012-F710-426D-8A80-7E881865C2F6}"/>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150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Freight</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Model'!$B$158</c:f>
              <c:strCache>
                <c:ptCount val="1"/>
                <c:pt idx="0">
                  <c:v>Shipments per day (in thousands)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52F8-4E5D-832E-C041FF0FAE72}"/>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52F8-4E5D-832E-C041FF0FAE72}"/>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52F8-4E5D-832E-C041FF0FAE72}"/>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52F8-4E5D-832E-C041FF0FAE72}"/>
              </c:ext>
            </c:extLst>
          </c:dPt>
          <c:dPt>
            <c:idx val="9"/>
            <c:invertIfNegative val="0"/>
            <c:bubble3D val="0"/>
            <c:extLst>
              <c:ext xmlns:c16="http://schemas.microsoft.com/office/drawing/2014/chart" uri="{C3380CC4-5D6E-409C-BE32-E72D297353CC}">
                <c16:uniqueId val="{00000008-52F8-4E5D-832E-C041FF0FAE72}"/>
              </c:ext>
            </c:extLst>
          </c:dPt>
          <c:cat>
            <c:strRef>
              <c:f>('FedEx Earnings Model'!$S$12,'FedEx Earnings Model'!$T$12,'FedEx Earnings Model'!$U$12,'FedEx Earnings Model'!$V$12,'FedEx Earnings Model'!$X$12,'FedEx Earnings Model'!$Y$12,'FedEx Earnings Model'!$Z$12,'FedEx Earnings Model'!$AA$12)</c:f>
              <c:strCache>
                <c:ptCount val="8"/>
                <c:pt idx="0">
                  <c:v> F1Q19 </c:v>
                </c:pt>
                <c:pt idx="1">
                  <c:v> F2Q19 </c:v>
                </c:pt>
                <c:pt idx="2">
                  <c:v> F3Q19 </c:v>
                </c:pt>
                <c:pt idx="3">
                  <c:v> F4Q19 </c:v>
                </c:pt>
                <c:pt idx="4">
                  <c:v> F1Q20E </c:v>
                </c:pt>
                <c:pt idx="5">
                  <c:v> F2Q20E </c:v>
                </c:pt>
                <c:pt idx="6">
                  <c:v> F3Q20E </c:v>
                </c:pt>
                <c:pt idx="7">
                  <c:v> F4Q20E </c:v>
                </c:pt>
              </c:strCache>
            </c:strRef>
          </c:cat>
          <c:val>
            <c:numRef>
              <c:f>('FedEx Earnings Model'!$S$158,'FedEx Earnings Model'!$T$158,'FedEx Earnings Model'!$U$158,'FedEx Earnings Model'!$V$158,'FedEx Earnings Model'!$X$158,'FedEx Earnings Model'!$Y$158,'FedEx Earnings Model'!$Z$158,'FedEx Earnings Model'!$AA$158)</c:f>
              <c:numCache>
                <c:formatCode>_(* #,##0_);_(* \(#,##0\);_(* "-"_);_(@_)</c:formatCode>
                <c:ptCount val="8"/>
                <c:pt idx="0">
                  <c:v>115.745</c:v>
                </c:pt>
                <c:pt idx="1">
                  <c:v>117.05</c:v>
                </c:pt>
                <c:pt idx="2">
                  <c:v>105.91200000000001</c:v>
                </c:pt>
                <c:pt idx="3">
                  <c:v>111.729</c:v>
                </c:pt>
                <c:pt idx="4">
                  <c:v>120.21989240523391</c:v>
                </c:pt>
                <c:pt idx="5">
                  <c:v>121.21106182056279</c:v>
                </c:pt>
                <c:pt idx="6">
                  <c:v>109.62727975950479</c:v>
                </c:pt>
                <c:pt idx="7">
                  <c:v>116.19434618580148</c:v>
                </c:pt>
              </c:numCache>
            </c:numRef>
          </c:val>
          <c:extLst>
            <c:ext xmlns:c16="http://schemas.microsoft.com/office/drawing/2014/chart" uri="{C3380CC4-5D6E-409C-BE32-E72D297353CC}">
              <c16:uniqueId val="{00000009-52F8-4E5D-832E-C041FF0FAE72}"/>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Model'!$B$162</c:f>
              <c:strCache>
                <c:ptCount val="1"/>
                <c:pt idx="0">
                  <c:v>Revenue per Shipment</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52F8-4E5D-832E-C041FF0FAE72}"/>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52F8-4E5D-832E-C041FF0FAE72}"/>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52F8-4E5D-832E-C041FF0FAE72}"/>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52F8-4E5D-832E-C041FF0FAE72}"/>
              </c:ext>
            </c:extLst>
          </c:dPt>
          <c:cat>
            <c:strRef>
              <c:f>('FedEx Earnings Model'!$S$12,'FedEx Earnings Model'!$T$12,'FedEx Earnings Model'!$U$12,'FedEx Earnings Model'!$V$12,'FedEx Earnings Model'!$X$12,'FedEx Earnings Model'!$Y$12,'FedEx Earnings Model'!$Z$12,'FedEx Earnings Model'!$AA$12)</c:f>
              <c:strCache>
                <c:ptCount val="8"/>
                <c:pt idx="0">
                  <c:v> F1Q19 </c:v>
                </c:pt>
                <c:pt idx="1">
                  <c:v> F2Q19 </c:v>
                </c:pt>
                <c:pt idx="2">
                  <c:v> F3Q19 </c:v>
                </c:pt>
                <c:pt idx="3">
                  <c:v> F4Q19 </c:v>
                </c:pt>
                <c:pt idx="4">
                  <c:v> F1Q20E </c:v>
                </c:pt>
                <c:pt idx="5">
                  <c:v> F2Q20E </c:v>
                </c:pt>
                <c:pt idx="6">
                  <c:v> F3Q20E </c:v>
                </c:pt>
                <c:pt idx="7">
                  <c:v> F4Q20E </c:v>
                </c:pt>
              </c:strCache>
            </c:strRef>
          </c:cat>
          <c:val>
            <c:numRef>
              <c:f>('FedEx Earnings Model'!$S$162,'FedEx Earnings Model'!$T$162,'FedEx Earnings Model'!$U$162,'FedEx Earnings Model'!$V$162,'FedEx Earnings Model'!$X$162,'FedEx Earnings Model'!$Y$162,'FedEx Earnings Model'!$Z$162,'FedEx Earnings Model'!$AA$162)</c:f>
              <c:numCache>
                <c:formatCode>"$"#,##0.00_);\("$"#,##0.00\)</c:formatCode>
                <c:ptCount val="8"/>
                <c:pt idx="0">
                  <c:v>260.39</c:v>
                </c:pt>
                <c:pt idx="1">
                  <c:v>264.26499999999999</c:v>
                </c:pt>
                <c:pt idx="2">
                  <c:v>270.82</c:v>
                </c:pt>
                <c:pt idx="3">
                  <c:v>269.17</c:v>
                </c:pt>
                <c:pt idx="4">
                  <c:v>269.92349372419204</c:v>
                </c:pt>
                <c:pt idx="5">
                  <c:v>271.14431618545609</c:v>
                </c:pt>
                <c:pt idx="6">
                  <c:v>278.00480881374062</c:v>
                </c:pt>
                <c:pt idx="7">
                  <c:v>277.77125385044076</c:v>
                </c:pt>
              </c:numCache>
            </c:numRef>
          </c:val>
          <c:smooth val="0"/>
          <c:extLst>
            <c:ext xmlns:c16="http://schemas.microsoft.com/office/drawing/2014/chart" uri="{C3380CC4-5D6E-409C-BE32-E72D297353CC}">
              <c16:uniqueId val="{00000012-52F8-4E5D-832E-C041FF0FAE72}"/>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majorUnit val="30"/>
      </c:valAx>
      <c:valAx>
        <c:axId val="145729792"/>
        <c:scaling>
          <c:orientation val="minMax"/>
        </c:scaling>
        <c:delete val="0"/>
        <c:axPos val="r"/>
        <c:numFmt formatCode="&quot;$&quot;#,##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3513500241843014E-2"/>
          <c:y val="0.80876317173276135"/>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Freight</a:t>
            </a:r>
            <a:r>
              <a:rPr lang="en-US" sz="1200" b="0" baseline="0"/>
              <a:t> Segment-Revenue &amp; Margin Forecast</a:t>
            </a:r>
            <a:endParaRPr lang="en-US" sz="1200" b="0"/>
          </a:p>
        </c:rich>
      </c:tx>
      <c:layout>
        <c:manualLayout>
          <c:xMode val="edge"/>
          <c:yMode val="edge"/>
          <c:x val="0.12577604310138199"/>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Model'!$B$165</c:f>
              <c:strCache>
                <c:ptCount val="1"/>
                <c:pt idx="0">
                  <c:v>FedEx Freight Total Revenue ($M)</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4D4C-4EC4-9CAF-2FB973AC6CA5}"/>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4D4C-4EC4-9CAF-2FB973AC6CA5}"/>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4D4C-4EC4-9CAF-2FB973AC6CA5}"/>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4D4C-4EC4-9CAF-2FB973AC6CA5}"/>
              </c:ext>
            </c:extLst>
          </c:dPt>
          <c:dPt>
            <c:idx val="9"/>
            <c:invertIfNegative val="0"/>
            <c:bubble3D val="0"/>
            <c:extLst>
              <c:ext xmlns:c16="http://schemas.microsoft.com/office/drawing/2014/chart" uri="{C3380CC4-5D6E-409C-BE32-E72D297353CC}">
                <c16:uniqueId val="{00000008-4D4C-4EC4-9CAF-2FB973AC6CA5}"/>
              </c:ext>
            </c:extLst>
          </c:dPt>
          <c:cat>
            <c:strRef>
              <c:f>('FedEx Earnings Model'!$S$12,'FedEx Earnings Model'!$T$12,'FedEx Earnings Model'!$U$12,'FedEx Earnings Model'!$V$12,'FedEx Earnings Model'!$X$12,'FedEx Earnings Model'!$Y$12,'FedEx Earnings Model'!$Z$12,'FedEx Earnings Model'!$AA$12)</c:f>
              <c:strCache>
                <c:ptCount val="8"/>
                <c:pt idx="0">
                  <c:v> F1Q19 </c:v>
                </c:pt>
                <c:pt idx="1">
                  <c:v> F2Q19 </c:v>
                </c:pt>
                <c:pt idx="2">
                  <c:v> F3Q19 </c:v>
                </c:pt>
                <c:pt idx="3">
                  <c:v> F4Q19 </c:v>
                </c:pt>
                <c:pt idx="4">
                  <c:v> F1Q20E </c:v>
                </c:pt>
                <c:pt idx="5">
                  <c:v> F2Q20E </c:v>
                </c:pt>
                <c:pt idx="6">
                  <c:v> F3Q20E </c:v>
                </c:pt>
                <c:pt idx="7">
                  <c:v> F4Q20E </c:v>
                </c:pt>
              </c:strCache>
            </c:strRef>
          </c:cat>
          <c:val>
            <c:numRef>
              <c:f>('FedEx Earnings Model'!$S$165,'FedEx Earnings Model'!$T$165,'FedEx Earnings Model'!$U$165,'FedEx Earnings Model'!$V$165,'FedEx Earnings Model'!$X$165,'FedEx Earnings Model'!$Y$165,'FedEx Earnings Model'!$Z$165,'FedEx Earnings Model'!$AA$165)</c:f>
              <c:numCache>
                <c:formatCode>_(* #,##0_);_(* \(#,##0\);_(* "-"??_);_(@_)</c:formatCode>
                <c:ptCount val="8"/>
                <c:pt idx="0">
                  <c:v>1959.0246357499998</c:v>
                </c:pt>
                <c:pt idx="1">
                  <c:v>1917.7975314999999</c:v>
                </c:pt>
                <c:pt idx="2">
                  <c:v>1749.6683582400003</c:v>
                </c:pt>
                <c:pt idx="3">
                  <c:v>1954.8161704500001</c:v>
                </c:pt>
                <c:pt idx="4">
                  <c:v>2076.8110958827006</c:v>
                </c:pt>
                <c:pt idx="5">
                  <c:v>2037.6728092298715</c:v>
                </c:pt>
                <c:pt idx="6">
                  <c:v>1889.5684789193185</c:v>
                </c:pt>
                <c:pt idx="7">
                  <c:v>2065.6287507431844</c:v>
                </c:pt>
              </c:numCache>
            </c:numRef>
          </c:val>
          <c:extLst>
            <c:ext xmlns:c16="http://schemas.microsoft.com/office/drawing/2014/chart" uri="{C3380CC4-5D6E-409C-BE32-E72D297353CC}">
              <c16:uniqueId val="{00000009-4D4C-4EC4-9CAF-2FB973AC6CA5}"/>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Model'!$B$172</c:f>
              <c:strCache>
                <c:ptCount val="1"/>
                <c:pt idx="0">
                  <c:v>Freight operating margin</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4D4C-4EC4-9CAF-2FB973AC6CA5}"/>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4D4C-4EC4-9CAF-2FB973AC6CA5}"/>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4D4C-4EC4-9CAF-2FB973AC6CA5}"/>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4D4C-4EC4-9CAF-2FB973AC6CA5}"/>
              </c:ext>
            </c:extLst>
          </c:dPt>
          <c:cat>
            <c:strRef>
              <c:f>('FedEx Earnings Model'!$S$12,'FedEx Earnings Model'!$T$12,'FedEx Earnings Model'!$U$12,'FedEx Earnings Model'!$V$12,'FedEx Earnings Model'!$X$12,'FedEx Earnings Model'!$Y$12,'FedEx Earnings Model'!$Z$12,'FedEx Earnings Model'!$AA$12)</c:f>
              <c:strCache>
                <c:ptCount val="8"/>
                <c:pt idx="0">
                  <c:v> F1Q19 </c:v>
                </c:pt>
                <c:pt idx="1">
                  <c:v> F2Q19 </c:v>
                </c:pt>
                <c:pt idx="2">
                  <c:v> F3Q19 </c:v>
                </c:pt>
                <c:pt idx="3">
                  <c:v> F4Q19 </c:v>
                </c:pt>
                <c:pt idx="4">
                  <c:v> F1Q20E </c:v>
                </c:pt>
                <c:pt idx="5">
                  <c:v> F2Q20E </c:v>
                </c:pt>
                <c:pt idx="6">
                  <c:v> F3Q20E </c:v>
                </c:pt>
                <c:pt idx="7">
                  <c:v> F4Q20E </c:v>
                </c:pt>
              </c:strCache>
            </c:strRef>
          </c:cat>
          <c:val>
            <c:numRef>
              <c:f>('FedEx Earnings Model'!$S$155,'FedEx Earnings Model'!$T$155,'FedEx Earnings Model'!$U$155,'FedEx Earnings Model'!$V$155,'FedEx Earnings Model'!$X$155,'FedEx Earnings Model'!$Y$155,'FedEx Earnings Model'!$Z$155,'FedEx Earnings Model'!$AA$155)</c:f>
              <c:numCache>
                <c:formatCode>0.0%</c:formatCode>
                <c:ptCount val="8"/>
                <c:pt idx="0">
                  <c:v>0.13897121313204777</c:v>
                </c:pt>
                <c:pt idx="1">
                  <c:v>0.11393106116434905</c:v>
                </c:pt>
                <c:pt idx="2">
                  <c:v>0.1096626126916414</c:v>
                </c:pt>
                <c:pt idx="3">
                  <c:v>0.15219906591511281</c:v>
                </c:pt>
                <c:pt idx="4">
                  <c:v>0.12179941434266234</c:v>
                </c:pt>
                <c:pt idx="5">
                  <c:v>0.10765771464644414</c:v>
                </c:pt>
                <c:pt idx="6">
                  <c:v>0.11458762444916418</c:v>
                </c:pt>
                <c:pt idx="7">
                  <c:v>0.16887056200624251</c:v>
                </c:pt>
              </c:numCache>
            </c:numRef>
          </c:val>
          <c:smooth val="0"/>
          <c:extLst>
            <c:ext xmlns:c16="http://schemas.microsoft.com/office/drawing/2014/chart" uri="{C3380CC4-5D6E-409C-BE32-E72D297353CC}">
              <c16:uniqueId val="{00000012-4D4C-4EC4-9CAF-2FB973AC6CA5}"/>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9670875256031756E-2"/>
          <c:y val="0.8027516941995434"/>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a:t>
            </a:r>
            <a:r>
              <a:rPr lang="en-US" sz="1200" b="0" baseline="0"/>
              <a:t>  Revenue &amp; Margin Forecast</a:t>
            </a:r>
            <a:endParaRPr lang="en-US" sz="1200" b="0"/>
          </a:p>
        </c:rich>
      </c:tx>
      <c:layout>
        <c:manualLayout>
          <c:xMode val="edge"/>
          <c:yMode val="edge"/>
          <c:x val="0.23481738794463503"/>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Model'!$B$13:$C$13</c:f>
              <c:strCache>
                <c:ptCount val="2"/>
                <c:pt idx="0">
                  <c:v>Total Revenue</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B9EA-484B-8D09-104C99D2C10F}"/>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B9EA-484B-8D09-104C99D2C10F}"/>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B9EA-484B-8D09-104C99D2C10F}"/>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B9EA-484B-8D09-104C99D2C10F}"/>
              </c:ext>
            </c:extLst>
          </c:dPt>
          <c:dPt>
            <c:idx val="9"/>
            <c:invertIfNegative val="0"/>
            <c:bubble3D val="0"/>
            <c:extLst>
              <c:ext xmlns:c16="http://schemas.microsoft.com/office/drawing/2014/chart" uri="{C3380CC4-5D6E-409C-BE32-E72D297353CC}">
                <c16:uniqueId val="{00000008-B9EA-484B-8D09-104C99D2C10F}"/>
              </c:ext>
            </c:extLst>
          </c:dPt>
          <c:cat>
            <c:strRef>
              <c:f>('FedEx Earnings Model'!$S$12,'FedEx Earnings Model'!$T$12,'FedEx Earnings Model'!$U$12,'FedEx Earnings Model'!$V$12,'FedEx Earnings Model'!$X$12,'FedEx Earnings Model'!$Y$12,'FedEx Earnings Model'!$Z$12,'FedEx Earnings Model'!$AA$12)</c:f>
              <c:strCache>
                <c:ptCount val="8"/>
                <c:pt idx="0">
                  <c:v> F1Q19 </c:v>
                </c:pt>
                <c:pt idx="1">
                  <c:v> F2Q19 </c:v>
                </c:pt>
                <c:pt idx="2">
                  <c:v> F3Q19 </c:v>
                </c:pt>
                <c:pt idx="3">
                  <c:v> F4Q19 </c:v>
                </c:pt>
                <c:pt idx="4">
                  <c:v> F1Q20E </c:v>
                </c:pt>
                <c:pt idx="5">
                  <c:v> F2Q20E </c:v>
                </c:pt>
                <c:pt idx="6">
                  <c:v> F3Q20E </c:v>
                </c:pt>
                <c:pt idx="7">
                  <c:v> F4Q20E </c:v>
                </c:pt>
              </c:strCache>
            </c:strRef>
          </c:cat>
          <c:val>
            <c:numRef>
              <c:f>('FedEx Earnings Model'!$S$13,'FedEx Earnings Model'!$T$13,'FedEx Earnings Model'!$U$13,'FedEx Earnings Model'!$V$13,'FedEx Earnings Model'!$X$13,'FedEx Earnings Model'!$Y$13,'FedEx Earnings Model'!$Z$13,'FedEx Earnings Model'!$AA$13)</c:f>
              <c:numCache>
                <c:formatCode>_(* #,##0_);_(* \(#,##0\);_(* "-"??_);_(@_)</c:formatCode>
                <c:ptCount val="8"/>
                <c:pt idx="0">
                  <c:v>17052</c:v>
                </c:pt>
                <c:pt idx="1">
                  <c:v>17824</c:v>
                </c:pt>
                <c:pt idx="2">
                  <c:v>17010</c:v>
                </c:pt>
                <c:pt idx="3">
                  <c:v>17807</c:v>
                </c:pt>
                <c:pt idx="4">
                  <c:v>17100</c:v>
                </c:pt>
                <c:pt idx="5">
                  <c:v>18100.000000000004</c:v>
                </c:pt>
                <c:pt idx="6">
                  <c:v>17800</c:v>
                </c:pt>
                <c:pt idx="7">
                  <c:v>18300.000000000004</c:v>
                </c:pt>
              </c:numCache>
            </c:numRef>
          </c:val>
          <c:extLst>
            <c:ext xmlns:c16="http://schemas.microsoft.com/office/drawing/2014/chart" uri="{C3380CC4-5D6E-409C-BE32-E72D297353CC}">
              <c16:uniqueId val="{00000009-B9EA-484B-8D09-104C99D2C10F}"/>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Model'!$B$224:$C$224</c:f>
              <c:strCache>
                <c:ptCount val="2"/>
                <c:pt idx="0">
                  <c:v>Operating margin (Non-GAAP)</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B9EA-484B-8D09-104C99D2C10F}"/>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B9EA-484B-8D09-104C99D2C10F}"/>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B9EA-484B-8D09-104C99D2C10F}"/>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B9EA-484B-8D09-104C99D2C10F}"/>
              </c:ext>
            </c:extLst>
          </c:dPt>
          <c:cat>
            <c:strRef>
              <c:f>('FedEx Earnings Model'!$S$12,'FedEx Earnings Model'!$T$12,'FedEx Earnings Model'!$U$12,'FedEx Earnings Model'!$V$12,'FedEx Earnings Model'!$X$12,'FedEx Earnings Model'!$Y$12,'FedEx Earnings Model'!$Z$12,'FedEx Earnings Model'!$AA$12)</c:f>
              <c:strCache>
                <c:ptCount val="8"/>
                <c:pt idx="0">
                  <c:v> F1Q19 </c:v>
                </c:pt>
                <c:pt idx="1">
                  <c:v> F2Q19 </c:v>
                </c:pt>
                <c:pt idx="2">
                  <c:v> F3Q19 </c:v>
                </c:pt>
                <c:pt idx="3">
                  <c:v> F4Q19 </c:v>
                </c:pt>
                <c:pt idx="4">
                  <c:v> F1Q20E </c:v>
                </c:pt>
                <c:pt idx="5">
                  <c:v> F2Q20E </c:v>
                </c:pt>
                <c:pt idx="6">
                  <c:v> F3Q20E </c:v>
                </c:pt>
                <c:pt idx="7">
                  <c:v> F4Q20E </c:v>
                </c:pt>
              </c:strCache>
            </c:strRef>
          </c:cat>
          <c:val>
            <c:numRef>
              <c:f>('FedEx Earnings Model'!$S$224,'FedEx Earnings Model'!$T$224,'FedEx Earnings Model'!$U$224,'FedEx Earnings Model'!$V$224,'FedEx Earnings Model'!$X$224,'FedEx Earnings Model'!$Y$224,'FedEx Earnings Model'!$Z$224,'FedEx Earnings Model'!$AA$224)</c:f>
              <c:numCache>
                <c:formatCode>0.0%</c:formatCode>
                <c:ptCount val="8"/>
                <c:pt idx="0">
                  <c:v>6.9903823598404885E-2</c:v>
                </c:pt>
                <c:pt idx="1">
                  <c:v>7.4506283662477552E-2</c:v>
                </c:pt>
                <c:pt idx="2">
                  <c:v>5.7848324514991181E-2</c:v>
                </c:pt>
                <c:pt idx="3">
                  <c:v>9.636659740551469E-2</c:v>
                </c:pt>
                <c:pt idx="4">
                  <c:v>6.3208437324820801E-2</c:v>
                </c:pt>
                <c:pt idx="5">
                  <c:v>6.7371968694822496E-2</c:v>
                </c:pt>
                <c:pt idx="6">
                  <c:v>5.6182858804770169E-2</c:v>
                </c:pt>
                <c:pt idx="7">
                  <c:v>0.10036409487812678</c:v>
                </c:pt>
              </c:numCache>
            </c:numRef>
          </c:val>
          <c:smooth val="0"/>
          <c:extLst>
            <c:ext xmlns:c16="http://schemas.microsoft.com/office/drawing/2014/chart" uri="{C3380CC4-5D6E-409C-BE32-E72D297353CC}">
              <c16:uniqueId val="{00000012-B9EA-484B-8D09-104C99D2C10F}"/>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75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Capex to Revenue Forecast</a:t>
            </a:r>
          </a:p>
        </c:rich>
      </c:tx>
      <c:layout>
        <c:manualLayout>
          <c:xMode val="edge"/>
          <c:yMode val="edge"/>
          <c:x val="0.26813557664674015"/>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Model'!$B$13:$C$13</c:f>
              <c:strCache>
                <c:ptCount val="2"/>
                <c:pt idx="0">
                  <c:v>Total Revenue</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32C5-404C-9A9E-65A6B95DAF16}"/>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32C5-404C-9A9E-65A6B95DAF16}"/>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32C5-404C-9A9E-65A6B95DAF16}"/>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32C5-404C-9A9E-65A6B95DAF16}"/>
              </c:ext>
            </c:extLst>
          </c:dPt>
          <c:dPt>
            <c:idx val="9"/>
            <c:invertIfNegative val="0"/>
            <c:bubble3D val="0"/>
            <c:extLst>
              <c:ext xmlns:c16="http://schemas.microsoft.com/office/drawing/2014/chart" uri="{C3380CC4-5D6E-409C-BE32-E72D297353CC}">
                <c16:uniqueId val="{00000008-32C5-404C-9A9E-65A6B95DAF16}"/>
              </c:ext>
            </c:extLst>
          </c:dPt>
          <c:cat>
            <c:strRef>
              <c:f>('FedEx Earnings Model'!$S$12,'FedEx Earnings Model'!$T$12,'FedEx Earnings Model'!$U$12,'FedEx Earnings Model'!$V$12,'FedEx Earnings Model'!$X$12,'FedEx Earnings Model'!$Y$12,'FedEx Earnings Model'!$Z$12,'FedEx Earnings Model'!$AA$12)</c:f>
              <c:strCache>
                <c:ptCount val="8"/>
                <c:pt idx="0">
                  <c:v> F1Q19 </c:v>
                </c:pt>
                <c:pt idx="1">
                  <c:v> F2Q19 </c:v>
                </c:pt>
                <c:pt idx="2">
                  <c:v> F3Q19 </c:v>
                </c:pt>
                <c:pt idx="3">
                  <c:v> F4Q19 </c:v>
                </c:pt>
                <c:pt idx="4">
                  <c:v> F1Q20E </c:v>
                </c:pt>
                <c:pt idx="5">
                  <c:v> F2Q20E </c:v>
                </c:pt>
                <c:pt idx="6">
                  <c:v> F3Q20E </c:v>
                </c:pt>
                <c:pt idx="7">
                  <c:v> F4Q20E </c:v>
                </c:pt>
              </c:strCache>
            </c:strRef>
          </c:cat>
          <c:val>
            <c:numRef>
              <c:f>('FedEx Earnings Model'!$S$13,'FedEx Earnings Model'!$T$13,'FedEx Earnings Model'!$U$13,'FedEx Earnings Model'!$V$13,'FedEx Earnings Model'!$X$13,'FedEx Earnings Model'!$Y$13,'FedEx Earnings Model'!$Z$13,'FedEx Earnings Model'!$AA$13)</c:f>
              <c:numCache>
                <c:formatCode>_(* #,##0_);_(* \(#,##0\);_(* "-"??_);_(@_)</c:formatCode>
                <c:ptCount val="8"/>
                <c:pt idx="0">
                  <c:v>17052</c:v>
                </c:pt>
                <c:pt idx="1">
                  <c:v>17824</c:v>
                </c:pt>
                <c:pt idx="2">
                  <c:v>17010</c:v>
                </c:pt>
                <c:pt idx="3">
                  <c:v>17807</c:v>
                </c:pt>
                <c:pt idx="4">
                  <c:v>17100</c:v>
                </c:pt>
                <c:pt idx="5">
                  <c:v>18100.000000000004</c:v>
                </c:pt>
                <c:pt idx="6">
                  <c:v>17800</c:v>
                </c:pt>
                <c:pt idx="7">
                  <c:v>18300.000000000004</c:v>
                </c:pt>
              </c:numCache>
            </c:numRef>
          </c:val>
          <c:extLst>
            <c:ext xmlns:c16="http://schemas.microsoft.com/office/drawing/2014/chart" uri="{C3380CC4-5D6E-409C-BE32-E72D297353CC}">
              <c16:uniqueId val="{00000009-32C5-404C-9A9E-65A6B95DAF16}"/>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Model'!$B$368</c:f>
              <c:strCache>
                <c:ptCount val="1"/>
                <c:pt idx="0">
                  <c:v>Capex to revenue</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32C5-404C-9A9E-65A6B95DAF16}"/>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32C5-404C-9A9E-65A6B95DAF16}"/>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32C5-404C-9A9E-65A6B95DAF16}"/>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32C5-404C-9A9E-65A6B95DAF16}"/>
              </c:ext>
            </c:extLst>
          </c:dPt>
          <c:cat>
            <c:strRef>
              <c:f>('FedEx Earnings Model'!$S$12,'FedEx Earnings Model'!$T$12,'FedEx Earnings Model'!$U$12,'FedEx Earnings Model'!$V$12,'FedEx Earnings Model'!$X$12,'FedEx Earnings Model'!$Y$12,'FedEx Earnings Model'!$Z$12,'FedEx Earnings Model'!$AA$12)</c:f>
              <c:strCache>
                <c:ptCount val="8"/>
                <c:pt idx="0">
                  <c:v> F1Q19 </c:v>
                </c:pt>
                <c:pt idx="1">
                  <c:v> F2Q19 </c:v>
                </c:pt>
                <c:pt idx="2">
                  <c:v> F3Q19 </c:v>
                </c:pt>
                <c:pt idx="3">
                  <c:v> F4Q19 </c:v>
                </c:pt>
                <c:pt idx="4">
                  <c:v> F1Q20E </c:v>
                </c:pt>
                <c:pt idx="5">
                  <c:v> F2Q20E </c:v>
                </c:pt>
                <c:pt idx="6">
                  <c:v> F3Q20E </c:v>
                </c:pt>
                <c:pt idx="7">
                  <c:v> F4Q20E </c:v>
                </c:pt>
              </c:strCache>
            </c:strRef>
          </c:cat>
          <c:val>
            <c:numRef>
              <c:f>('FedEx Earnings Model'!$S$368,'FedEx Earnings Model'!$T$368,'FedEx Earnings Model'!$U$368,'FedEx Earnings Model'!$V$368,'FedEx Earnings Model'!$X$368,'FedEx Earnings Model'!$Y$368,'FedEx Earnings Model'!$Z$368,'FedEx Earnings Model'!$AA$368)</c:f>
              <c:numCache>
                <c:formatCode>0.0%</c:formatCode>
                <c:ptCount val="8"/>
                <c:pt idx="0">
                  <c:v>6.9141449683321601E-2</c:v>
                </c:pt>
                <c:pt idx="1">
                  <c:v>8.1631508078994608E-2</c:v>
                </c:pt>
                <c:pt idx="2">
                  <c:v>6.6019988242210462E-2</c:v>
                </c:pt>
                <c:pt idx="3">
                  <c:v>9.7321278149042512E-2</c:v>
                </c:pt>
                <c:pt idx="4">
                  <c:v>7.8528556038392289E-2</c:v>
                </c:pt>
                <c:pt idx="5">
                  <c:v>8.0875332627159957E-2</c:v>
                </c:pt>
                <c:pt idx="6">
                  <c:v>8.0686288764201308E-2</c:v>
                </c:pt>
                <c:pt idx="7">
                  <c:v>9.0552034491208314E-2</c:v>
                </c:pt>
              </c:numCache>
            </c:numRef>
          </c:val>
          <c:smooth val="0"/>
          <c:extLst>
            <c:ext xmlns:c16="http://schemas.microsoft.com/office/drawing/2014/chart" uri="{C3380CC4-5D6E-409C-BE32-E72D297353CC}">
              <c16:uniqueId val="{00000012-32C5-404C-9A9E-65A6B95DAF16}"/>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75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a:t>
            </a:r>
            <a:r>
              <a:rPr lang="en-US" sz="1200" b="0" baseline="0"/>
              <a:t> Fuel Expense Projections</a:t>
            </a:r>
            <a:endParaRPr lang="en-US" sz="1200" b="0"/>
          </a:p>
        </c:rich>
      </c:tx>
      <c:layout>
        <c:manualLayout>
          <c:xMode val="edge"/>
          <c:yMode val="edge"/>
          <c:x val="0.26813557664674015"/>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Model'!$B$19</c:f>
              <c:strCache>
                <c:ptCount val="1"/>
                <c:pt idx="0">
                  <c:v>Fuel expense</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1F4B-40FB-AE75-E89B082418EC}"/>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1F4B-40FB-AE75-E89B082418EC}"/>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1F4B-40FB-AE75-E89B082418EC}"/>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1F4B-40FB-AE75-E89B082418EC}"/>
              </c:ext>
            </c:extLst>
          </c:dPt>
          <c:dPt>
            <c:idx val="9"/>
            <c:invertIfNegative val="0"/>
            <c:bubble3D val="0"/>
            <c:extLst>
              <c:ext xmlns:c16="http://schemas.microsoft.com/office/drawing/2014/chart" uri="{C3380CC4-5D6E-409C-BE32-E72D297353CC}">
                <c16:uniqueId val="{00000008-1F4B-40FB-AE75-E89B082418EC}"/>
              </c:ext>
            </c:extLst>
          </c:dPt>
          <c:cat>
            <c:strRef>
              <c:f>('FedEx Earnings Model'!$S$12,'FedEx Earnings Model'!$T$12,'FedEx Earnings Model'!$U$12,'FedEx Earnings Model'!$V$12,'FedEx Earnings Model'!$X$12,'FedEx Earnings Model'!$Y$12,'FedEx Earnings Model'!$Z$12,'FedEx Earnings Model'!$AA$12)</c:f>
              <c:strCache>
                <c:ptCount val="8"/>
                <c:pt idx="0">
                  <c:v> F1Q19 </c:v>
                </c:pt>
                <c:pt idx="1">
                  <c:v> F2Q19 </c:v>
                </c:pt>
                <c:pt idx="2">
                  <c:v> F3Q19 </c:v>
                </c:pt>
                <c:pt idx="3">
                  <c:v> F4Q19 </c:v>
                </c:pt>
                <c:pt idx="4">
                  <c:v> F1Q20E </c:v>
                </c:pt>
                <c:pt idx="5">
                  <c:v> F2Q20E </c:v>
                </c:pt>
                <c:pt idx="6">
                  <c:v> F3Q20E </c:v>
                </c:pt>
                <c:pt idx="7">
                  <c:v> F4Q20E </c:v>
                </c:pt>
              </c:strCache>
            </c:strRef>
          </c:cat>
          <c:val>
            <c:numRef>
              <c:f>('FedEx Earnings Model'!$S$19,'FedEx Earnings Model'!$T$19,'FedEx Earnings Model'!$U$19,'FedEx Earnings Model'!$V$19,'FedEx Earnings Model'!$X$19,'FedEx Earnings Model'!$Y$19,'FedEx Earnings Model'!$Z$19,'FedEx Earnings Model'!$AA$19)</c:f>
              <c:numCache>
                <c:formatCode>_(* #,##0_);_(* \(#,##0\);_(* "-"??_);_(@_)</c:formatCode>
                <c:ptCount val="8"/>
                <c:pt idx="0">
                  <c:v>986</c:v>
                </c:pt>
                <c:pt idx="1">
                  <c:v>1052</c:v>
                </c:pt>
                <c:pt idx="2">
                  <c:v>907</c:v>
                </c:pt>
                <c:pt idx="3">
                  <c:v>944</c:v>
                </c:pt>
                <c:pt idx="4">
                  <c:v>951.07937466156147</c:v>
                </c:pt>
                <c:pt idx="5">
                  <c:v>992.46177777980267</c:v>
                </c:pt>
                <c:pt idx="6">
                  <c:v>973.27701426422072</c:v>
                </c:pt>
                <c:pt idx="7">
                  <c:v>937.32293300961555</c:v>
                </c:pt>
              </c:numCache>
            </c:numRef>
          </c:val>
          <c:extLst>
            <c:ext xmlns:c16="http://schemas.microsoft.com/office/drawing/2014/chart" uri="{C3380CC4-5D6E-409C-BE32-E72D297353CC}">
              <c16:uniqueId val="{00000009-1F4B-40FB-AE75-E89B082418EC}"/>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Model'!$B$228</c:f>
              <c:strCache>
                <c:ptCount val="1"/>
                <c:pt idx="0">
                  <c:v>Fuel expense as a % of revenue</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1F4B-40FB-AE75-E89B082418EC}"/>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1F4B-40FB-AE75-E89B082418EC}"/>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1F4B-40FB-AE75-E89B082418EC}"/>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1F4B-40FB-AE75-E89B082418EC}"/>
              </c:ext>
            </c:extLst>
          </c:dPt>
          <c:cat>
            <c:strRef>
              <c:f>('FedEx Earnings Model'!$S$12,'FedEx Earnings Model'!$T$12,'FedEx Earnings Model'!$U$12,'FedEx Earnings Model'!$V$12,'FedEx Earnings Model'!$X$12,'FedEx Earnings Model'!$Y$12,'FedEx Earnings Model'!$Z$12,'FedEx Earnings Model'!$AA$12)</c:f>
              <c:strCache>
                <c:ptCount val="8"/>
                <c:pt idx="0">
                  <c:v> F1Q19 </c:v>
                </c:pt>
                <c:pt idx="1">
                  <c:v> F2Q19 </c:v>
                </c:pt>
                <c:pt idx="2">
                  <c:v> F3Q19 </c:v>
                </c:pt>
                <c:pt idx="3">
                  <c:v> F4Q19 </c:v>
                </c:pt>
                <c:pt idx="4">
                  <c:v> F1Q20E </c:v>
                </c:pt>
                <c:pt idx="5">
                  <c:v> F2Q20E </c:v>
                </c:pt>
                <c:pt idx="6">
                  <c:v> F3Q20E </c:v>
                </c:pt>
                <c:pt idx="7">
                  <c:v> F4Q20E </c:v>
                </c:pt>
              </c:strCache>
            </c:strRef>
          </c:cat>
          <c:val>
            <c:numRef>
              <c:f>('FedEx Earnings Model'!$S$368,'FedEx Earnings Model'!$T$368,'FedEx Earnings Model'!$U$368,'FedEx Earnings Model'!$V$368,'FedEx Earnings Model'!$X$368,'FedEx Earnings Model'!$Y$368,'FedEx Earnings Model'!$Z$368,'FedEx Earnings Model'!$AA$368)</c:f>
              <c:numCache>
                <c:formatCode>0.0%</c:formatCode>
                <c:ptCount val="8"/>
                <c:pt idx="0">
                  <c:v>6.9141449683321601E-2</c:v>
                </c:pt>
                <c:pt idx="1">
                  <c:v>8.1631508078994608E-2</c:v>
                </c:pt>
                <c:pt idx="2">
                  <c:v>6.6019988242210462E-2</c:v>
                </c:pt>
                <c:pt idx="3">
                  <c:v>9.7321278149042512E-2</c:v>
                </c:pt>
                <c:pt idx="4">
                  <c:v>7.8528556038392289E-2</c:v>
                </c:pt>
                <c:pt idx="5">
                  <c:v>8.0875332627159957E-2</c:v>
                </c:pt>
                <c:pt idx="6">
                  <c:v>8.0686288764201308E-2</c:v>
                </c:pt>
                <c:pt idx="7">
                  <c:v>9.0552034491208314E-2</c:v>
                </c:pt>
              </c:numCache>
            </c:numRef>
          </c:val>
          <c:smooth val="0"/>
          <c:extLst>
            <c:ext xmlns:c16="http://schemas.microsoft.com/office/drawing/2014/chart" uri="{C3380CC4-5D6E-409C-BE32-E72D297353CC}">
              <c16:uniqueId val="{00000012-1F4B-40FB-AE75-E89B082418EC}"/>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a:t>
            </a:r>
            <a:r>
              <a:rPr lang="en-US" sz="1200" b="0" baseline="0"/>
              <a:t> Express Segment Fuel Efficiency Projections</a:t>
            </a:r>
            <a:endParaRPr lang="en-US" sz="1200" b="0"/>
          </a:p>
        </c:rich>
      </c:tx>
      <c:layout>
        <c:manualLayout>
          <c:xMode val="edge"/>
          <c:yMode val="edge"/>
          <c:x val="0.10938955211243753"/>
          <c:y val="0"/>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Model'!$B$66</c:f>
              <c:strCache>
                <c:ptCount val="1"/>
                <c:pt idx="0">
                  <c:v>Jet fuel expense ($ in millions)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805C-499A-A36A-970CE342AB2A}"/>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805C-499A-A36A-970CE342AB2A}"/>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805C-499A-A36A-970CE342AB2A}"/>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805C-499A-A36A-970CE342AB2A}"/>
              </c:ext>
            </c:extLst>
          </c:dPt>
          <c:dPt>
            <c:idx val="9"/>
            <c:invertIfNegative val="0"/>
            <c:bubble3D val="0"/>
            <c:extLst>
              <c:ext xmlns:c16="http://schemas.microsoft.com/office/drawing/2014/chart" uri="{C3380CC4-5D6E-409C-BE32-E72D297353CC}">
                <c16:uniqueId val="{00000008-805C-499A-A36A-970CE342AB2A}"/>
              </c:ext>
            </c:extLst>
          </c:dPt>
          <c:cat>
            <c:strRef>
              <c:f>('FedEx Earnings Model'!$S$12,'FedEx Earnings Model'!$T$12,'FedEx Earnings Model'!$U$12,'FedEx Earnings Model'!$V$12,'FedEx Earnings Model'!$X$12,'FedEx Earnings Model'!$Y$12,'FedEx Earnings Model'!$Z$12,'FedEx Earnings Model'!$AA$12)</c:f>
              <c:strCache>
                <c:ptCount val="8"/>
                <c:pt idx="0">
                  <c:v> F1Q19 </c:v>
                </c:pt>
                <c:pt idx="1">
                  <c:v> F2Q19 </c:v>
                </c:pt>
                <c:pt idx="2">
                  <c:v> F3Q19 </c:v>
                </c:pt>
                <c:pt idx="3">
                  <c:v> F4Q19 </c:v>
                </c:pt>
                <c:pt idx="4">
                  <c:v> F1Q20E </c:v>
                </c:pt>
                <c:pt idx="5">
                  <c:v> F2Q20E </c:v>
                </c:pt>
                <c:pt idx="6">
                  <c:v> F3Q20E </c:v>
                </c:pt>
                <c:pt idx="7">
                  <c:v> F4Q20E </c:v>
                </c:pt>
              </c:strCache>
            </c:strRef>
          </c:cat>
          <c:val>
            <c:numRef>
              <c:f>('FedEx Earnings Model'!$S$66,'FedEx Earnings Model'!$T$66,'FedEx Earnings Model'!$U$66,'FedEx Earnings Model'!$V$66,'FedEx Earnings Model'!$X$66,'FedEx Earnings Model'!$Y$66,'FedEx Earnings Model'!$Z$66,'FedEx Earnings Model'!$AA$66)</c:f>
              <c:numCache>
                <c:formatCode>_(* #,##0_);_(* \(#,##0\);_(* "-"_);_(@_)</c:formatCode>
                <c:ptCount val="8"/>
                <c:pt idx="0">
                  <c:v>726.40383599999996</c:v>
                </c:pt>
                <c:pt idx="1">
                  <c:v>781.14097600000002</c:v>
                </c:pt>
                <c:pt idx="2">
                  <c:v>659.78419400000007</c:v>
                </c:pt>
                <c:pt idx="3" formatCode="_(* #,##0_);_(* \(#,##0\);_(* &quot;-&quot;??_);_(@_)">
                  <c:v>679.45600000000002</c:v>
                </c:pt>
                <c:pt idx="4" formatCode="_(* #,##0_);_(* \(#,##0\);_(* &quot;-&quot;??_);_(@_)">
                  <c:v>675.52734448774049</c:v>
                </c:pt>
                <c:pt idx="5" formatCode="_(* #,##0_);_(* \(#,##0\);_(* &quot;-&quot;??_);_(@_)">
                  <c:v>703.39975568063244</c:v>
                </c:pt>
                <c:pt idx="6" formatCode="_(* #,##0_);_(* \(#,##0\);_(* &quot;-&quot;??_);_(@_)">
                  <c:v>706.66994007341384</c:v>
                </c:pt>
                <c:pt idx="7" formatCode="_(* #,##0_);_(* \(#,##0\);_(* &quot;-&quot;??_);_(@_)">
                  <c:v>663.55159680516385</c:v>
                </c:pt>
              </c:numCache>
            </c:numRef>
          </c:val>
          <c:extLst>
            <c:ext xmlns:c16="http://schemas.microsoft.com/office/drawing/2014/chart" uri="{C3380CC4-5D6E-409C-BE32-E72D297353CC}">
              <c16:uniqueId val="{00000009-805C-499A-A36A-970CE342AB2A}"/>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Model'!$B$64</c:f>
              <c:strCache>
                <c:ptCount val="1"/>
                <c:pt idx="0">
                  <c:v>Express segment revenue produced per gallon of jet fuel</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805C-499A-A36A-970CE342AB2A}"/>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805C-499A-A36A-970CE342AB2A}"/>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805C-499A-A36A-970CE342AB2A}"/>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805C-499A-A36A-970CE342AB2A}"/>
              </c:ext>
            </c:extLst>
          </c:dPt>
          <c:cat>
            <c:strRef>
              <c:f>('FedEx Earnings Model'!$S$12,'FedEx Earnings Model'!$T$12,'FedEx Earnings Model'!$U$12,'FedEx Earnings Model'!$V$12,'FedEx Earnings Model'!$X$12,'FedEx Earnings Model'!$Y$12,'FedEx Earnings Model'!$Z$12,'FedEx Earnings Model'!$AA$12)</c:f>
              <c:strCache>
                <c:ptCount val="8"/>
                <c:pt idx="0">
                  <c:v> F1Q19 </c:v>
                </c:pt>
                <c:pt idx="1">
                  <c:v> F2Q19 </c:v>
                </c:pt>
                <c:pt idx="2">
                  <c:v> F3Q19 </c:v>
                </c:pt>
                <c:pt idx="3">
                  <c:v> F4Q19 </c:v>
                </c:pt>
                <c:pt idx="4">
                  <c:v> F1Q20E </c:v>
                </c:pt>
                <c:pt idx="5">
                  <c:v> F2Q20E </c:v>
                </c:pt>
                <c:pt idx="6">
                  <c:v> F3Q20E </c:v>
                </c:pt>
                <c:pt idx="7">
                  <c:v> F4Q20E </c:v>
                </c:pt>
              </c:strCache>
            </c:strRef>
          </c:cat>
          <c:val>
            <c:numRef>
              <c:f>('FedEx Earnings Model'!$S$64,'FedEx Earnings Model'!$T$64,'FedEx Earnings Model'!$U$64,'FedEx Earnings Model'!$V$64,'FedEx Earnings Model'!$X$64,'FedEx Earnings Model'!$Y$64,'FedEx Earnings Model'!$Z$64,'FedEx Earnings Model'!$AA$64)</c:f>
              <c:numCache>
                <c:formatCode>_(* #,##0_);_(* \(#,##0\);_(* "-"??_);_(@_)</c:formatCode>
                <c:ptCount val="8"/>
                <c:pt idx="0">
                  <c:v>29.273403209780138</c:v>
                </c:pt>
                <c:pt idx="1">
                  <c:v>29.346553753941965</c:v>
                </c:pt>
                <c:pt idx="2">
                  <c:v>27.338773208094771</c:v>
                </c:pt>
                <c:pt idx="3">
                  <c:v>30.854063633376622</c:v>
                </c:pt>
                <c:pt idx="4">
                  <c:v>28.904558773245462</c:v>
                </c:pt>
                <c:pt idx="5">
                  <c:v>29.808596906189752</c:v>
                </c:pt>
                <c:pt idx="6">
                  <c:v>28.648592030627789</c:v>
                </c:pt>
                <c:pt idx="7">
                  <c:v>31.558111315425663</c:v>
                </c:pt>
              </c:numCache>
            </c:numRef>
          </c:val>
          <c:smooth val="0"/>
          <c:extLst>
            <c:ext xmlns:c16="http://schemas.microsoft.com/office/drawing/2014/chart" uri="{C3380CC4-5D6E-409C-BE32-E72D297353CC}">
              <c16:uniqueId val="{00000012-805C-499A-A36A-970CE342AB2A}"/>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quot;$&quot;#,##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Quarterly Consensus Revenue</a:t>
            </a:r>
            <a:r>
              <a:rPr lang="en-US" sz="1200" b="0" baseline="0"/>
              <a:t> &amp; Margin Estimates</a:t>
            </a:r>
            <a:endParaRPr lang="en-US" sz="1200" b="0"/>
          </a:p>
        </c:rich>
      </c:tx>
      <c:layout>
        <c:manualLayout>
          <c:xMode val="edge"/>
          <c:yMode val="edge"/>
          <c:x val="0.13812681309573144"/>
          <c:y val="6.0111912762497045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'Consensus (Before F3Q19)'!$B$7</c:f>
              <c:strCache>
                <c:ptCount val="1"/>
                <c:pt idx="0">
                  <c:v>Revenue ($M)</c:v>
                </c:pt>
              </c:strCache>
            </c:strRef>
          </c:tx>
          <c:spPr>
            <a:solidFill>
              <a:schemeClr val="bg1">
                <a:lumMod val="75000"/>
              </a:schemeClr>
            </a:solidFill>
            <a:ln>
              <a:solidFill>
                <a:schemeClr val="tx1">
                  <a:lumMod val="75000"/>
                  <a:lumOff val="25000"/>
                </a:schemeClr>
              </a:solidFill>
            </a:ln>
          </c:spPr>
          <c:invertIfNegative val="0"/>
          <c:dPt>
            <c:idx val="0"/>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01-DF4B-4C3A-B3D6-67EF9F0F9156}"/>
              </c:ext>
            </c:extLst>
          </c:dPt>
          <c:dPt>
            <c:idx val="1"/>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03-DF4B-4C3A-B3D6-67EF9F0F9156}"/>
              </c:ext>
            </c:extLst>
          </c:dPt>
          <c:dPt>
            <c:idx val="2"/>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05-DF4B-4C3A-B3D6-67EF9F0F9156}"/>
              </c:ext>
            </c:extLst>
          </c:dPt>
          <c:dPt>
            <c:idx val="3"/>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07-DF4B-4C3A-B3D6-67EF9F0F9156}"/>
              </c:ext>
            </c:extLst>
          </c:dPt>
          <c:dPt>
            <c:idx val="4"/>
            <c:invertIfNegative val="0"/>
            <c:bubble3D val="0"/>
            <c:extLst>
              <c:ext xmlns:c16="http://schemas.microsoft.com/office/drawing/2014/chart" uri="{C3380CC4-5D6E-409C-BE32-E72D297353CC}">
                <c16:uniqueId val="{00000008-DF4B-4C3A-B3D6-67EF9F0F9156}"/>
              </c:ext>
            </c:extLst>
          </c:dPt>
          <c:dPt>
            <c:idx val="5"/>
            <c:invertIfNegative val="0"/>
            <c:bubble3D val="0"/>
            <c:extLst>
              <c:ext xmlns:c16="http://schemas.microsoft.com/office/drawing/2014/chart" uri="{C3380CC4-5D6E-409C-BE32-E72D297353CC}">
                <c16:uniqueId val="{00000009-DF4B-4C3A-B3D6-67EF9F0F9156}"/>
              </c:ext>
            </c:extLst>
          </c:dPt>
          <c:dPt>
            <c:idx val="6"/>
            <c:invertIfNegative val="0"/>
            <c:bubble3D val="0"/>
            <c:extLst>
              <c:ext xmlns:c16="http://schemas.microsoft.com/office/drawing/2014/chart" uri="{C3380CC4-5D6E-409C-BE32-E72D297353CC}">
                <c16:uniqueId val="{0000000A-DF4B-4C3A-B3D6-67EF9F0F9156}"/>
              </c:ext>
            </c:extLst>
          </c:dPt>
          <c:dPt>
            <c:idx val="7"/>
            <c:invertIfNegative val="0"/>
            <c:bubble3D val="0"/>
            <c:extLst>
              <c:ext xmlns:c16="http://schemas.microsoft.com/office/drawing/2014/chart" uri="{C3380CC4-5D6E-409C-BE32-E72D297353CC}">
                <c16:uniqueId val="{0000000B-DF4B-4C3A-B3D6-67EF9F0F9156}"/>
              </c:ext>
            </c:extLst>
          </c:dPt>
          <c:dPt>
            <c:idx val="9"/>
            <c:invertIfNegative val="0"/>
            <c:bubble3D val="0"/>
            <c:extLst>
              <c:ext xmlns:c16="http://schemas.microsoft.com/office/drawing/2014/chart" uri="{C3380CC4-5D6E-409C-BE32-E72D297353CC}">
                <c16:uniqueId val="{0000000C-DF4B-4C3A-B3D6-67EF9F0F9156}"/>
              </c:ext>
            </c:extLst>
          </c:dPt>
          <c:cat>
            <c:strRef>
              <c:f>('Consensus (Before F3Q19)'!$C$6,'Consensus (Before F3Q19)'!$D$6,'Consensus (Before F3Q19)'!$E$6,'Consensus (Before F3Q19)'!$F$6,'Consensus (Before F3Q19)'!$H$5,'Consensus (Before F3Q19)'!$J$5,'Consensus (Before F3Q19)'!$L$5,'Consensus (Before F3Q19)'!$N$5)</c:f>
              <c:strCache>
                <c:ptCount val="8"/>
                <c:pt idx="0">
                  <c:v> F2Q18 </c:v>
                </c:pt>
                <c:pt idx="1">
                  <c:v> F3Q18 </c:v>
                </c:pt>
                <c:pt idx="2">
                  <c:v> F4Q18 </c:v>
                </c:pt>
                <c:pt idx="3">
                  <c:v> F1Q19 </c:v>
                </c:pt>
                <c:pt idx="4">
                  <c:v> F3Q19E </c:v>
                </c:pt>
                <c:pt idx="5">
                  <c:v> F4Q19E </c:v>
                </c:pt>
                <c:pt idx="6">
                  <c:v> F1Q20E </c:v>
                </c:pt>
                <c:pt idx="7">
                  <c:v> F2Q20E </c:v>
                </c:pt>
              </c:strCache>
            </c:strRef>
          </c:cat>
          <c:val>
            <c:numRef>
              <c:f>('Consensus (Before F3Q19)'!$C$7,'Consensus (Before F3Q19)'!$D$7,'Consensus (Before F3Q19)'!$E$7,'Consensus (Before F3Q19)'!$F$7,'Consensus (Before F3Q19)'!$I$7,'Consensus (Before F3Q19)'!$K$7,'Consensus (Before F3Q19)'!$M$7,'Consensus (Before F3Q19)'!$O$7)</c:f>
              <c:numCache>
                <c:formatCode>"$"#,##0</c:formatCode>
                <c:ptCount val="8"/>
                <c:pt idx="0">
                  <c:v>16313</c:v>
                </c:pt>
                <c:pt idx="1">
                  <c:v>16526</c:v>
                </c:pt>
                <c:pt idx="2">
                  <c:v>17314</c:v>
                </c:pt>
                <c:pt idx="3">
                  <c:v>17052</c:v>
                </c:pt>
                <c:pt idx="4" formatCode="&quot;$&quot;#,##0_);\(&quot;$&quot;#,##0\)">
                  <c:v>17704.368421052601</c:v>
                </c:pt>
                <c:pt idx="5" formatCode="&quot;$&quot;#,##0_);\(&quot;$&quot;#,##0\)">
                  <c:v>18454.7368421053</c:v>
                </c:pt>
                <c:pt idx="6" formatCode="&quot;$&quot;#,##0_);\(&quot;$&quot;#,##0\)">
                  <c:v>17777.25</c:v>
                </c:pt>
                <c:pt idx="7" formatCode="&quot;$&quot;#,##0_);\(&quot;$&quot;#,##0\)">
                  <c:v>18593.142857142899</c:v>
                </c:pt>
              </c:numCache>
            </c:numRef>
          </c:val>
          <c:extLst>
            <c:ext xmlns:c16="http://schemas.microsoft.com/office/drawing/2014/chart" uri="{C3380CC4-5D6E-409C-BE32-E72D297353CC}">
              <c16:uniqueId val="{0000000D-DF4B-4C3A-B3D6-67EF9F0F9156}"/>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'Consensus (Before F3Q19)'!$B$9</c:f>
              <c:strCache>
                <c:ptCount val="1"/>
                <c:pt idx="0">
                  <c:v>Implied Operating Margin (%, non-GAAP)</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olid"/>
              </a:ln>
            </c:spPr>
            <c:extLst>
              <c:ext xmlns:c16="http://schemas.microsoft.com/office/drawing/2014/chart" uri="{C3380CC4-5D6E-409C-BE32-E72D297353CC}">
                <c16:uniqueId val="{0000000F-DF4B-4C3A-B3D6-67EF9F0F9156}"/>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11-DF4B-4C3A-B3D6-67EF9F0F9156}"/>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13-DF4B-4C3A-B3D6-67EF9F0F9156}"/>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5-DF4B-4C3A-B3D6-67EF9F0F9156}"/>
              </c:ext>
            </c:extLst>
          </c:dPt>
          <c:cat>
            <c:strRef>
              <c:f>('FedEx Earnings Model'!$O$12,'FedEx Earnings Model'!$P$12,'FedEx Earnings Model'!$Q$12,'FedEx Earnings Model'!$S$12,'FedEx Earnings Model'!$T$12,'FedEx Earnings Model'!$U$12,'FedEx Earnings Model'!$V$12,'FedEx Earnings Model'!$X$12)</c:f>
              <c:strCache>
                <c:ptCount val="8"/>
                <c:pt idx="0">
                  <c:v> F2Q18 </c:v>
                </c:pt>
                <c:pt idx="1">
                  <c:v> F3Q18 </c:v>
                </c:pt>
                <c:pt idx="2">
                  <c:v> F4Q18 </c:v>
                </c:pt>
                <c:pt idx="3">
                  <c:v> F1Q19 </c:v>
                </c:pt>
                <c:pt idx="4">
                  <c:v> F2Q19 </c:v>
                </c:pt>
                <c:pt idx="5">
                  <c:v> F3Q19 </c:v>
                </c:pt>
                <c:pt idx="6">
                  <c:v> F4Q19 </c:v>
                </c:pt>
                <c:pt idx="7">
                  <c:v> F1Q20E </c:v>
                </c:pt>
              </c:strCache>
            </c:strRef>
          </c:cat>
          <c:val>
            <c:numRef>
              <c:f>('Consensus (Before F3Q19)'!$C$9,'Consensus (Before F3Q19)'!$D$9,'Consensus (Before F3Q19)'!$E$9,'Consensus (Before F3Q19)'!$F$9,'Consensus (Before F3Q19)'!$I$9,'Consensus (Before F3Q19)'!$K$9,'Consensus (Before F3Q19)'!$M$9,'Consensus (Before F3Q19)'!$O$9)</c:f>
              <c:numCache>
                <c:formatCode>0.0%</c:formatCode>
                <c:ptCount val="8"/>
                <c:pt idx="0">
                  <c:v>7.5829093361123034E-2</c:v>
                </c:pt>
                <c:pt idx="1">
                  <c:v>5.8332324821493406E-2</c:v>
                </c:pt>
                <c:pt idx="2">
                  <c:v>0.10598359708906088</c:v>
                </c:pt>
                <c:pt idx="3">
                  <c:v>6.9903823598404885E-2</c:v>
                </c:pt>
                <c:pt idx="4">
                  <c:v>6.5759519997695109E-2</c:v>
                </c:pt>
                <c:pt idx="5">
                  <c:v>0.10481361554256798</c:v>
                </c:pt>
                <c:pt idx="6">
                  <c:v>8.1992434150388829E-2</c:v>
                </c:pt>
                <c:pt idx="7">
                  <c:v>8.0137070502181884E-2</c:v>
                </c:pt>
              </c:numCache>
            </c:numRef>
          </c:val>
          <c:smooth val="0"/>
          <c:extLst>
            <c:ext xmlns:c16="http://schemas.microsoft.com/office/drawing/2014/chart" uri="{C3380CC4-5D6E-409C-BE32-E72D297353CC}">
              <c16:uniqueId val="{00000016-DF4B-4C3A-B3D6-67EF9F0F9156}"/>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egendEntry>
        <c:idx val="1"/>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Quarterly Consensus Revenue</a:t>
            </a:r>
            <a:r>
              <a:rPr lang="en-US" sz="1200" b="0" baseline="0"/>
              <a:t> &amp; Margin Estimates</a:t>
            </a:r>
            <a:endParaRPr lang="en-US" sz="1200" b="0"/>
          </a:p>
        </c:rich>
      </c:tx>
      <c:layout>
        <c:manualLayout>
          <c:xMode val="edge"/>
          <c:yMode val="edge"/>
          <c:x val="0.14115438058930416"/>
          <c:y val="6.0111912762497053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'Consensus (Before F2Q19)'!$B$7</c:f>
              <c:strCache>
                <c:ptCount val="1"/>
                <c:pt idx="0">
                  <c:v>Revenue ($M)</c:v>
                </c:pt>
              </c:strCache>
            </c:strRef>
          </c:tx>
          <c:spPr>
            <a:solidFill>
              <a:schemeClr val="bg1">
                <a:lumMod val="75000"/>
              </a:schemeClr>
            </a:solidFill>
            <a:ln>
              <a:solidFill>
                <a:schemeClr val="tx1">
                  <a:lumMod val="75000"/>
                  <a:lumOff val="25000"/>
                </a:schemeClr>
              </a:solidFill>
            </a:ln>
          </c:spPr>
          <c:invertIfNegative val="0"/>
          <c:dPt>
            <c:idx val="0"/>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4-7620-40BF-9AD1-D83C7ADDB36B}"/>
              </c:ext>
            </c:extLst>
          </c:dPt>
          <c:dPt>
            <c:idx val="1"/>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5-7620-40BF-9AD1-D83C7ADDB36B}"/>
              </c:ext>
            </c:extLst>
          </c:dPt>
          <c:dPt>
            <c:idx val="2"/>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6-7620-40BF-9AD1-D83C7ADDB36B}"/>
              </c:ext>
            </c:extLst>
          </c:dPt>
          <c:dPt>
            <c:idx val="3"/>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7-7620-40BF-9AD1-D83C7ADDB36B}"/>
              </c:ext>
            </c:extLst>
          </c:dPt>
          <c:dPt>
            <c:idx val="4"/>
            <c:invertIfNegative val="0"/>
            <c:bubble3D val="0"/>
            <c:extLst>
              <c:ext xmlns:c16="http://schemas.microsoft.com/office/drawing/2014/chart" uri="{C3380CC4-5D6E-409C-BE32-E72D297353CC}">
                <c16:uniqueId val="{00000001-7620-40BF-9AD1-D83C7ADDB36B}"/>
              </c:ext>
            </c:extLst>
          </c:dPt>
          <c:dPt>
            <c:idx val="5"/>
            <c:invertIfNegative val="0"/>
            <c:bubble3D val="0"/>
            <c:extLst>
              <c:ext xmlns:c16="http://schemas.microsoft.com/office/drawing/2014/chart" uri="{C3380CC4-5D6E-409C-BE32-E72D297353CC}">
                <c16:uniqueId val="{00000003-7620-40BF-9AD1-D83C7ADDB36B}"/>
              </c:ext>
            </c:extLst>
          </c:dPt>
          <c:dPt>
            <c:idx val="6"/>
            <c:invertIfNegative val="0"/>
            <c:bubble3D val="0"/>
            <c:extLst>
              <c:ext xmlns:c16="http://schemas.microsoft.com/office/drawing/2014/chart" uri="{C3380CC4-5D6E-409C-BE32-E72D297353CC}">
                <c16:uniqueId val="{00000005-7620-40BF-9AD1-D83C7ADDB36B}"/>
              </c:ext>
            </c:extLst>
          </c:dPt>
          <c:dPt>
            <c:idx val="7"/>
            <c:invertIfNegative val="0"/>
            <c:bubble3D val="0"/>
            <c:extLst>
              <c:ext xmlns:c16="http://schemas.microsoft.com/office/drawing/2014/chart" uri="{C3380CC4-5D6E-409C-BE32-E72D297353CC}">
                <c16:uniqueId val="{00000007-7620-40BF-9AD1-D83C7ADDB36B}"/>
              </c:ext>
            </c:extLst>
          </c:dPt>
          <c:dPt>
            <c:idx val="9"/>
            <c:invertIfNegative val="0"/>
            <c:bubble3D val="0"/>
            <c:extLst>
              <c:ext xmlns:c16="http://schemas.microsoft.com/office/drawing/2014/chart" uri="{C3380CC4-5D6E-409C-BE32-E72D297353CC}">
                <c16:uniqueId val="{00000008-7620-40BF-9AD1-D83C7ADDB36B}"/>
              </c:ext>
            </c:extLst>
          </c:dPt>
          <c:cat>
            <c:strRef>
              <c:f>('Consensus (Before F2Q19)'!$C$6,'Consensus (Before F2Q19)'!$D$6,'Consensus (Before F2Q19)'!$E$6,'Consensus (Before F2Q19)'!$F$6,'Consensus (Before F2Q19)'!$G$5,'Consensus (Before F2Q19)'!$I$5,'Consensus (Before F2Q19)'!$K$5,'Consensus (Before F2Q19)'!$M$5)</c:f>
              <c:strCache>
                <c:ptCount val="8"/>
                <c:pt idx="0">
                  <c:v> F2Q18 </c:v>
                </c:pt>
                <c:pt idx="1">
                  <c:v> F3Q18 </c:v>
                </c:pt>
                <c:pt idx="2">
                  <c:v> F4Q18 </c:v>
                </c:pt>
                <c:pt idx="3">
                  <c:v> F1Q19 </c:v>
                </c:pt>
                <c:pt idx="4">
                  <c:v> F2Q19E </c:v>
                </c:pt>
                <c:pt idx="5">
                  <c:v> F3Q19E </c:v>
                </c:pt>
                <c:pt idx="6">
                  <c:v> F4Q19E </c:v>
                </c:pt>
                <c:pt idx="7">
                  <c:v> F1Q20E </c:v>
                </c:pt>
              </c:strCache>
            </c:strRef>
          </c:cat>
          <c:val>
            <c:numRef>
              <c:f>('Consensus (Before F2Q19)'!$C$7,'Consensus (Before F2Q19)'!$D$7,'Consensus (Before F2Q19)'!$E$7,'Consensus (Before F2Q19)'!$F$7,'Consensus (Before F2Q19)'!$H$7,'Consensus (Before F2Q19)'!$J$7,'Consensus (Before F2Q19)'!$L$7,'Consensus (Before F2Q19)'!$N$7)</c:f>
              <c:numCache>
                <c:formatCode>"$"#,##0</c:formatCode>
                <c:ptCount val="8"/>
                <c:pt idx="0">
                  <c:v>16313</c:v>
                </c:pt>
                <c:pt idx="1">
                  <c:v>16526</c:v>
                </c:pt>
                <c:pt idx="2">
                  <c:v>17314</c:v>
                </c:pt>
                <c:pt idx="3">
                  <c:v>17052</c:v>
                </c:pt>
                <c:pt idx="4">
                  <c:v>17686.650000000001</c:v>
                </c:pt>
                <c:pt idx="5">
                  <c:v>17889</c:v>
                </c:pt>
                <c:pt idx="6">
                  <c:v>18692</c:v>
                </c:pt>
                <c:pt idx="7">
                  <c:v>18026</c:v>
                </c:pt>
              </c:numCache>
            </c:numRef>
          </c:val>
          <c:extLst>
            <c:ext xmlns:c16="http://schemas.microsoft.com/office/drawing/2014/chart" uri="{C3380CC4-5D6E-409C-BE32-E72D297353CC}">
              <c16:uniqueId val="{00000009-7620-40BF-9AD1-D83C7ADDB36B}"/>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'Consensus (Before F2Q19)'!$B$9</c:f>
              <c:strCache>
                <c:ptCount val="1"/>
                <c:pt idx="0">
                  <c:v>Implied Operating Margin (%, non-GAAP)</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olid"/>
              </a:ln>
            </c:spPr>
            <c:extLst>
              <c:ext xmlns:c16="http://schemas.microsoft.com/office/drawing/2014/chart" uri="{C3380CC4-5D6E-409C-BE32-E72D297353CC}">
                <c16:uniqueId val="{0000000B-7620-40BF-9AD1-D83C7ADDB36B}"/>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7620-40BF-9AD1-D83C7ADDB36B}"/>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7620-40BF-9AD1-D83C7ADDB36B}"/>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7620-40BF-9AD1-D83C7ADDB36B}"/>
              </c:ext>
            </c:extLst>
          </c:dPt>
          <c:cat>
            <c:strRef>
              <c:f>('FedEx Earnings Model'!$O$12,'FedEx Earnings Model'!$P$12,'FedEx Earnings Model'!$Q$12,'FedEx Earnings Model'!$S$12,'FedEx Earnings Model'!$T$12,'FedEx Earnings Model'!$U$12,'FedEx Earnings Model'!$V$12,'FedEx Earnings Model'!$X$12)</c:f>
              <c:strCache>
                <c:ptCount val="8"/>
                <c:pt idx="0">
                  <c:v> F2Q18 </c:v>
                </c:pt>
                <c:pt idx="1">
                  <c:v> F3Q18 </c:v>
                </c:pt>
                <c:pt idx="2">
                  <c:v> F4Q18 </c:v>
                </c:pt>
                <c:pt idx="3">
                  <c:v> F1Q19 </c:v>
                </c:pt>
                <c:pt idx="4">
                  <c:v> F2Q19 </c:v>
                </c:pt>
                <c:pt idx="5">
                  <c:v> F3Q19 </c:v>
                </c:pt>
                <c:pt idx="6">
                  <c:v> F4Q19 </c:v>
                </c:pt>
                <c:pt idx="7">
                  <c:v> F1Q20E </c:v>
                </c:pt>
              </c:strCache>
            </c:strRef>
          </c:cat>
          <c:val>
            <c:numRef>
              <c:f>('Consensus (Before F2Q19)'!$C$9,'Consensus (Before F2Q19)'!$D$9,'Consensus (Before F2Q19)'!$E$9,'Consensus (Before F2Q19)'!$F$9,'Consensus (Before F2Q19)'!$H$9,'Consensus (Before F2Q19)'!$J$9,'Consensus (Before F2Q19)'!$L$9,'Consensus (Before F2Q19)'!$N$9)</c:f>
              <c:numCache>
                <c:formatCode>0.0%</c:formatCode>
                <c:ptCount val="8"/>
                <c:pt idx="0">
                  <c:v>7.5829093361123034E-2</c:v>
                </c:pt>
                <c:pt idx="1">
                  <c:v>5.8332324821493406E-2</c:v>
                </c:pt>
                <c:pt idx="2">
                  <c:v>0.10598359708906088</c:v>
                </c:pt>
                <c:pt idx="3">
                  <c:v>6.9903823598404885E-2</c:v>
                </c:pt>
                <c:pt idx="4">
                  <c:v>8.1021561460197372E-2</c:v>
                </c:pt>
                <c:pt idx="5">
                  <c:v>7.7306183069722617E-2</c:v>
                </c:pt>
                <c:pt idx="6">
                  <c:v>0.11591675084731336</c:v>
                </c:pt>
                <c:pt idx="7">
                  <c:v>9.0559518148676438E-2</c:v>
                </c:pt>
              </c:numCache>
            </c:numRef>
          </c:val>
          <c:smooth val="0"/>
          <c:extLst>
            <c:ext xmlns:c16="http://schemas.microsoft.com/office/drawing/2014/chart" uri="{C3380CC4-5D6E-409C-BE32-E72D297353CC}">
              <c16:uniqueId val="{00000012-7620-40BF-9AD1-D83C7ADDB36B}"/>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egendEntry>
        <c:idx val="1"/>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1A1-432C-9629-C0B8399F17B9}"/>
            </c:ext>
          </c:extLst>
        </c:ser>
        <c:dLbls>
          <c:showLegendKey val="0"/>
          <c:showVal val="0"/>
          <c:showCatName val="0"/>
          <c:showSerName val="0"/>
          <c:showPercent val="0"/>
          <c:showBubbleSize val="0"/>
        </c:dLbls>
        <c:smooth val="0"/>
        <c:axId val="142949760"/>
        <c:axId val="142967936"/>
      </c:lineChart>
      <c:catAx>
        <c:axId val="142949760"/>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67936"/>
        <c:crosses val="autoZero"/>
        <c:auto val="1"/>
        <c:lblAlgn val="ctr"/>
        <c:lblOffset val="100"/>
        <c:tickLblSkip val="7"/>
        <c:noMultiLvlLbl val="1"/>
      </c:catAx>
      <c:valAx>
        <c:axId val="142967936"/>
        <c:scaling>
          <c:orientation val="minMax"/>
        </c:scaling>
        <c:delete val="0"/>
        <c:axPos val="l"/>
        <c:majorGridlines/>
        <c:numFmt formatCode="0.0\x" sourceLinked="0"/>
        <c:majorTickMark val="out"/>
        <c:minorTickMark val="none"/>
        <c:tickLblPos val="nextTo"/>
        <c:crossAx val="1429497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A3B3-4E7E-8C1B-5EC41782F9D8}"/>
            </c:ext>
          </c:extLst>
        </c:ser>
        <c:dLbls>
          <c:showLegendKey val="0"/>
          <c:showVal val="0"/>
          <c:showCatName val="0"/>
          <c:showSerName val="0"/>
          <c:showPercent val="0"/>
          <c:showBubbleSize val="0"/>
        </c:dLbls>
        <c:smooth val="0"/>
        <c:axId val="142977664"/>
        <c:axId val="142983552"/>
      </c:lineChart>
      <c:catAx>
        <c:axId val="142977664"/>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83552"/>
        <c:crosses val="autoZero"/>
        <c:auto val="1"/>
        <c:lblAlgn val="ctr"/>
        <c:lblOffset val="100"/>
        <c:tickLblSkip val="7"/>
        <c:noMultiLvlLbl val="1"/>
      </c:catAx>
      <c:valAx>
        <c:axId val="142983552"/>
        <c:scaling>
          <c:orientation val="minMax"/>
        </c:scaling>
        <c:delete val="0"/>
        <c:axPos val="l"/>
        <c:majorGridlines/>
        <c:numFmt formatCode="0.0\x" sourceLinked="0"/>
        <c:majorTickMark val="out"/>
        <c:minorTickMark val="none"/>
        <c:tickLblPos val="nextTo"/>
        <c:crossAx val="1429776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CA6E-4F65-ABFE-CF3C792E3A02}"/>
            </c:ext>
          </c:extLst>
        </c:ser>
        <c:dLbls>
          <c:showLegendKey val="0"/>
          <c:showVal val="0"/>
          <c:showCatName val="0"/>
          <c:showSerName val="0"/>
          <c:showPercent val="0"/>
          <c:showBubbleSize val="0"/>
        </c:dLbls>
        <c:smooth val="0"/>
        <c:axId val="142994432"/>
        <c:axId val="142996224"/>
      </c:lineChart>
      <c:catAx>
        <c:axId val="142994432"/>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96224"/>
        <c:crosses val="autoZero"/>
        <c:auto val="1"/>
        <c:lblAlgn val="ctr"/>
        <c:lblOffset val="100"/>
        <c:tickLblSkip val="7"/>
        <c:noMultiLvlLbl val="1"/>
      </c:catAx>
      <c:valAx>
        <c:axId val="142996224"/>
        <c:scaling>
          <c:orientation val="minMax"/>
        </c:scaling>
        <c:delete val="0"/>
        <c:axPos val="l"/>
        <c:majorGridlines/>
        <c:numFmt formatCode="0.0\x" sourceLinked="0"/>
        <c:majorTickMark val="out"/>
        <c:minorTickMark val="none"/>
        <c:tickLblPos val="nextTo"/>
        <c:crossAx val="1429944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358D-4E3E-9B28-09F3A256DAA2}"/>
            </c:ext>
          </c:extLst>
        </c:ser>
        <c:dLbls>
          <c:showLegendKey val="0"/>
          <c:showVal val="0"/>
          <c:showCatName val="0"/>
          <c:showSerName val="0"/>
          <c:showPercent val="0"/>
          <c:showBubbleSize val="0"/>
        </c:dLbls>
        <c:smooth val="0"/>
        <c:axId val="145511168"/>
        <c:axId val="145512704"/>
      </c:lineChart>
      <c:catAx>
        <c:axId val="14551116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5512704"/>
        <c:crosses val="autoZero"/>
        <c:auto val="1"/>
        <c:lblAlgn val="ctr"/>
        <c:lblOffset val="100"/>
        <c:tickLblSkip val="7"/>
        <c:noMultiLvlLbl val="1"/>
      </c:catAx>
      <c:valAx>
        <c:axId val="145512704"/>
        <c:scaling>
          <c:orientation val="minMax"/>
        </c:scaling>
        <c:delete val="0"/>
        <c:axPos val="l"/>
        <c:majorGridlines/>
        <c:numFmt formatCode="0.0\x" sourceLinked="0"/>
        <c:majorTickMark val="out"/>
        <c:minorTickMark val="none"/>
        <c:tickLblPos val="nextTo"/>
        <c:crossAx val="1455111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Express-Package</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Model'!$B$52</c:f>
              <c:strCache>
                <c:ptCount val="1"/>
                <c:pt idx="0">
                  <c:v>Packages: Total Average Daily Volume (ADV, in thousands)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9-5C55-4DB1-A25C-6A7A09C8C754}"/>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A-5C55-4DB1-A25C-6A7A09C8C754}"/>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E-2462-4DF9-A2F7-046938A175E7}"/>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F-2462-4DF9-A2F7-046938A175E7}"/>
              </c:ext>
            </c:extLst>
          </c:dPt>
          <c:dPt>
            <c:idx val="9"/>
            <c:invertIfNegative val="0"/>
            <c:bubble3D val="0"/>
            <c:extLst>
              <c:ext xmlns:c16="http://schemas.microsoft.com/office/drawing/2014/chart" uri="{C3380CC4-5D6E-409C-BE32-E72D297353CC}">
                <c16:uniqueId val="{00000000-2462-4DF9-A2F7-046938A175E7}"/>
              </c:ext>
            </c:extLst>
          </c:dPt>
          <c:cat>
            <c:strRef>
              <c:f>('FedEx Earnings Model'!$S$12,'FedEx Earnings Model'!$T$12,'FedEx Earnings Model'!$U$12,'FedEx Earnings Model'!$V$12,'FedEx Earnings Model'!$X$12,'FedEx Earnings Model'!$Y$12,'FedEx Earnings Model'!$Z$12,'FedEx Earnings Model'!$AA$12)</c:f>
              <c:strCache>
                <c:ptCount val="8"/>
                <c:pt idx="0">
                  <c:v> F1Q19 </c:v>
                </c:pt>
                <c:pt idx="1">
                  <c:v> F2Q19 </c:v>
                </c:pt>
                <c:pt idx="2">
                  <c:v> F3Q19 </c:v>
                </c:pt>
                <c:pt idx="3">
                  <c:v> F4Q19 </c:v>
                </c:pt>
                <c:pt idx="4">
                  <c:v> F1Q20E </c:v>
                </c:pt>
                <c:pt idx="5">
                  <c:v> F2Q20E </c:v>
                </c:pt>
                <c:pt idx="6">
                  <c:v> F3Q20E </c:v>
                </c:pt>
                <c:pt idx="7">
                  <c:v> F4Q20E </c:v>
                </c:pt>
              </c:strCache>
            </c:strRef>
          </c:cat>
          <c:val>
            <c:numRef>
              <c:f>('FedEx Earnings Model'!$S$52,'FedEx Earnings Model'!$T$52,'FedEx Earnings Model'!$U$52,'FedEx Earnings Model'!$V$52,'FedEx Earnings Model'!$X$52,'FedEx Earnings Model'!$Y$52,'FedEx Earnings Model'!$Z$52,'FedEx Earnings Model'!$AA$52)</c:f>
              <c:numCache>
                <c:formatCode>_(* #,##0_);_(* \(#,##0\);_(* "-"_);_(@_)</c:formatCode>
                <c:ptCount val="8"/>
                <c:pt idx="0">
                  <c:v>5886.7000000000007</c:v>
                </c:pt>
                <c:pt idx="1">
                  <c:v>6449.5</c:v>
                </c:pt>
                <c:pt idx="2">
                  <c:v>6283.4</c:v>
                </c:pt>
                <c:pt idx="3">
                  <c:v>6195.3444400000008</c:v>
                </c:pt>
                <c:pt idx="4">
                  <c:v>5967.306478881268</c:v>
                </c:pt>
                <c:pt idx="5">
                  <c:v>6671.9424515434584</c:v>
                </c:pt>
                <c:pt idx="6">
                  <c:v>6585.0109881200733</c:v>
                </c:pt>
                <c:pt idx="7">
                  <c:v>6510.9560615034807</c:v>
                </c:pt>
              </c:numCache>
            </c:numRef>
          </c:val>
          <c:extLst>
            <c:ext xmlns:c16="http://schemas.microsoft.com/office/drawing/2014/chart" uri="{C3380CC4-5D6E-409C-BE32-E72D297353CC}">
              <c16:uniqueId val="{00000001-2462-4DF9-A2F7-046938A175E7}"/>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Model'!$B$53</c:f>
              <c:strCache>
                <c:ptCount val="1"/>
                <c:pt idx="0">
                  <c:v>Packages: Composite Yield (Revenue per package, in $)</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5C55-4DB1-A25C-6A7A09C8C754}"/>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C-5C55-4DB1-A25C-6A7A09C8C754}"/>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10-2462-4DF9-A2F7-046938A175E7}"/>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2462-4DF9-A2F7-046938A175E7}"/>
              </c:ext>
            </c:extLst>
          </c:dPt>
          <c:cat>
            <c:strRef>
              <c:f>('FedEx Earnings Model'!$S$12,'FedEx Earnings Model'!$T$12,'FedEx Earnings Model'!$U$12,'FedEx Earnings Model'!$V$12,'FedEx Earnings Model'!$X$12,'FedEx Earnings Model'!$Y$12,'FedEx Earnings Model'!$Z$12,'FedEx Earnings Model'!$AA$12)</c:f>
              <c:strCache>
                <c:ptCount val="8"/>
                <c:pt idx="0">
                  <c:v> F1Q19 </c:v>
                </c:pt>
                <c:pt idx="1">
                  <c:v> F2Q19 </c:v>
                </c:pt>
                <c:pt idx="2">
                  <c:v> F3Q19 </c:v>
                </c:pt>
                <c:pt idx="3">
                  <c:v> F4Q19 </c:v>
                </c:pt>
                <c:pt idx="4">
                  <c:v> F1Q20E </c:v>
                </c:pt>
                <c:pt idx="5">
                  <c:v> F2Q20E </c:v>
                </c:pt>
                <c:pt idx="6">
                  <c:v> F3Q20E </c:v>
                </c:pt>
                <c:pt idx="7">
                  <c:v> F4Q20E </c:v>
                </c:pt>
              </c:strCache>
            </c:strRef>
          </c:cat>
          <c:val>
            <c:numRef>
              <c:f>('FedEx Earnings Model'!$S$53,'FedEx Earnings Model'!$T$53,'FedEx Earnings Model'!$U$53,'FedEx Earnings Model'!$V$53,'FedEx Earnings Model'!$X$53,'FedEx Earnings Model'!$Y$53,'FedEx Earnings Model'!$Z$53,'FedEx Earnings Model'!$AA$53)</c:f>
              <c:numCache>
                <c:formatCode>"$"#,##0.00_);\("$"#,##0.00\)</c:formatCode>
                <c:ptCount val="8"/>
                <c:pt idx="0">
                  <c:v>18.636935991302426</c:v>
                </c:pt>
                <c:pt idx="1">
                  <c:v>18.299246653228931</c:v>
                </c:pt>
                <c:pt idx="2">
                  <c:v>18.014202438170418</c:v>
                </c:pt>
                <c:pt idx="3">
                  <c:v>18.605940861565582</c:v>
                </c:pt>
                <c:pt idx="4">
                  <c:v>18.009436451921289</c:v>
                </c:pt>
                <c:pt idx="5">
                  <c:v>17.68154276361421</c:v>
                </c:pt>
                <c:pt idx="6">
                  <c:v>17.525685301735159</c:v>
                </c:pt>
                <c:pt idx="7">
                  <c:v>18.285495745597963</c:v>
                </c:pt>
              </c:numCache>
            </c:numRef>
          </c:val>
          <c:smooth val="0"/>
          <c:extLst>
            <c:ext xmlns:c16="http://schemas.microsoft.com/office/drawing/2014/chart" uri="{C3380CC4-5D6E-409C-BE32-E72D297353CC}">
              <c16:uniqueId val="{00000002-2462-4DF9-A2F7-046938A175E7}"/>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quot;$&quot;#,##0.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Express-Freight</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Model'!$B$55</c:f>
              <c:strCache>
                <c:ptCount val="1"/>
                <c:pt idx="0">
                  <c:v>Freight: Total Average Daily Freight LBS (ADV, in thousands)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4F9E-4ACC-AA79-DAD70449E7B9}"/>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4F9E-4ACC-AA79-DAD70449E7B9}"/>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4F9E-4ACC-AA79-DAD70449E7B9}"/>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4F9E-4ACC-AA79-DAD70449E7B9}"/>
              </c:ext>
            </c:extLst>
          </c:dPt>
          <c:dPt>
            <c:idx val="9"/>
            <c:invertIfNegative val="0"/>
            <c:bubble3D val="0"/>
            <c:extLst>
              <c:ext xmlns:c16="http://schemas.microsoft.com/office/drawing/2014/chart" uri="{C3380CC4-5D6E-409C-BE32-E72D297353CC}">
                <c16:uniqueId val="{00000008-4F9E-4ACC-AA79-DAD70449E7B9}"/>
              </c:ext>
            </c:extLst>
          </c:dPt>
          <c:cat>
            <c:strRef>
              <c:f>('FedEx Earnings Model'!$Q$12,'FedEx Earnings Model'!$S$12,'FedEx Earnings Model'!$T$12,'FedEx Earnings Model'!$U$12,'FedEx Earnings Model'!$V$12,'FedEx Earnings Model'!$X$12,'FedEx Earnings Model'!$Y$12,'FedEx Earnings Model'!$Z$12)</c:f>
              <c:strCache>
                <c:ptCount val="8"/>
                <c:pt idx="0">
                  <c:v> F4Q18 </c:v>
                </c:pt>
                <c:pt idx="1">
                  <c:v> F1Q19 </c:v>
                </c:pt>
                <c:pt idx="2">
                  <c:v> F2Q19 </c:v>
                </c:pt>
                <c:pt idx="3">
                  <c:v> F3Q19 </c:v>
                </c:pt>
                <c:pt idx="4">
                  <c:v> F4Q19 </c:v>
                </c:pt>
                <c:pt idx="5">
                  <c:v> F1Q20E </c:v>
                </c:pt>
                <c:pt idx="6">
                  <c:v> F2Q20E </c:v>
                </c:pt>
                <c:pt idx="7">
                  <c:v> F3Q20E </c:v>
                </c:pt>
              </c:strCache>
            </c:strRef>
          </c:cat>
          <c:val>
            <c:numRef>
              <c:f>('FedEx Earnings Model'!$Q$55,'FedEx Earnings Model'!$S$55,'FedEx Earnings Model'!$T$55,'FedEx Earnings Model'!$U$55,'FedEx Earnings Model'!$V$55,'FedEx Earnings Model'!$X$55,'FedEx Earnings Model'!$Y$55,'FedEx Earnings Model'!$Z$55)</c:f>
              <c:numCache>
                <c:formatCode>_(* #,##0_);_(* \(#,##0\);_(* "-"_);_(@_)</c:formatCode>
                <c:ptCount val="8"/>
                <c:pt idx="0">
                  <c:v>29576</c:v>
                </c:pt>
                <c:pt idx="1">
                  <c:v>28800</c:v>
                </c:pt>
                <c:pt idx="2">
                  <c:v>31733.699999999997</c:v>
                </c:pt>
                <c:pt idx="3">
                  <c:v>29617</c:v>
                </c:pt>
                <c:pt idx="4">
                  <c:v>29228</c:v>
                </c:pt>
                <c:pt idx="5">
                  <c:v>29623.743917216456</c:v>
                </c:pt>
                <c:pt idx="6">
                  <c:v>32597.184711609338</c:v>
                </c:pt>
                <c:pt idx="7">
                  <c:v>30265.936731197136</c:v>
                </c:pt>
              </c:numCache>
            </c:numRef>
          </c:val>
          <c:extLst>
            <c:ext xmlns:c16="http://schemas.microsoft.com/office/drawing/2014/chart" uri="{C3380CC4-5D6E-409C-BE32-E72D297353CC}">
              <c16:uniqueId val="{00000009-4F9E-4ACC-AA79-DAD70449E7B9}"/>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Model'!$B$56</c:f>
              <c:strCache>
                <c:ptCount val="1"/>
                <c:pt idx="0">
                  <c:v>Freight: Composite Freight Yield (Revenue per package, in $)</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4F9E-4ACC-AA79-DAD70449E7B9}"/>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4F9E-4ACC-AA79-DAD70449E7B9}"/>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4F9E-4ACC-AA79-DAD70449E7B9}"/>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4F9E-4ACC-AA79-DAD70449E7B9}"/>
              </c:ext>
            </c:extLst>
          </c:dPt>
          <c:cat>
            <c:strRef>
              <c:f>('FedEx Earnings Model'!$S$12,'FedEx Earnings Model'!$T$12,'FedEx Earnings Model'!$U$12,'FedEx Earnings Model'!$V$12,'FedEx Earnings Model'!$X$12,'FedEx Earnings Model'!$Y$12,'FedEx Earnings Model'!$Z$12,'FedEx Earnings Model'!$AA$12)</c:f>
              <c:strCache>
                <c:ptCount val="8"/>
                <c:pt idx="0">
                  <c:v> F1Q19 </c:v>
                </c:pt>
                <c:pt idx="1">
                  <c:v> F2Q19 </c:v>
                </c:pt>
                <c:pt idx="2">
                  <c:v> F3Q19 </c:v>
                </c:pt>
                <c:pt idx="3">
                  <c:v> F4Q19 </c:v>
                </c:pt>
                <c:pt idx="4">
                  <c:v> F1Q20E </c:v>
                </c:pt>
                <c:pt idx="5">
                  <c:v> F2Q20E </c:v>
                </c:pt>
                <c:pt idx="6">
                  <c:v> F3Q20E </c:v>
                </c:pt>
                <c:pt idx="7">
                  <c:v> F4Q20E </c:v>
                </c:pt>
              </c:strCache>
            </c:strRef>
          </c:cat>
          <c:val>
            <c:numRef>
              <c:f>('FedEx Earnings Model'!$S$56,'FedEx Earnings Model'!$T$56,'FedEx Earnings Model'!$U$56,'FedEx Earnings Model'!$V$56,'FedEx Earnings Model'!$X$56,'FedEx Earnings Model'!$Y$56,'FedEx Earnings Model'!$Z$56,'FedEx Earnings Model'!$AA$56)</c:f>
              <c:numCache>
                <c:formatCode>"$"#,##0.00_);\("$"#,##0.00\)</c:formatCode>
                <c:ptCount val="8"/>
                <c:pt idx="0">
                  <c:v>1.0062736805555557</c:v>
                </c:pt>
                <c:pt idx="1">
                  <c:v>0.99682650305511178</c:v>
                </c:pt>
                <c:pt idx="2">
                  <c:v>0.99170918729108282</c:v>
                </c:pt>
                <c:pt idx="3">
                  <c:v>0.9749597988230464</c:v>
                </c:pt>
                <c:pt idx="4">
                  <c:v>0.96952915438981691</c:v>
                </c:pt>
                <c:pt idx="5">
                  <c:v>0.95953716909415632</c:v>
                </c:pt>
                <c:pt idx="6">
                  <c:v>0.94953143056183342</c:v>
                </c:pt>
                <c:pt idx="7">
                  <c:v>0.93015513379312886</c:v>
                </c:pt>
              </c:numCache>
            </c:numRef>
          </c:val>
          <c:smooth val="0"/>
          <c:extLst>
            <c:ext xmlns:c16="http://schemas.microsoft.com/office/drawing/2014/chart" uri="{C3380CC4-5D6E-409C-BE32-E72D297353CC}">
              <c16:uniqueId val="{00000012-4F9E-4ACC-AA79-DAD70449E7B9}"/>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majorUnit val="1500"/>
      </c:valAx>
      <c:valAx>
        <c:axId val="145729792"/>
        <c:scaling>
          <c:orientation val="minMax"/>
        </c:scaling>
        <c:delete val="0"/>
        <c:axPos val="r"/>
        <c:numFmt formatCode="&quot;$&quot;#,##0.0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6.2568434224933517E-3"/>
          <c:y val="0.81986845873301006"/>
          <c:w val="0.91754933730421195"/>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Express</a:t>
            </a:r>
            <a:r>
              <a:rPr lang="en-US" sz="1200" b="0" baseline="0"/>
              <a:t> Segment-Revenue &amp; Margin Forecast</a:t>
            </a:r>
            <a:endParaRPr lang="en-US" sz="1200" b="0"/>
          </a:p>
        </c:rich>
      </c:tx>
      <c:layout>
        <c:manualLayout>
          <c:xMode val="edge"/>
          <c:yMode val="edge"/>
          <c:x val="0.12577604310138199"/>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Model'!$B$60</c:f>
              <c:strCache>
                <c:ptCount val="1"/>
                <c:pt idx="0">
                  <c:v>Express Segment Revenue ($M)</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2752-4AAF-A23C-0D86086CE154}"/>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2752-4AAF-A23C-0D86086CE154}"/>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2752-4AAF-A23C-0D86086CE154}"/>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2752-4AAF-A23C-0D86086CE154}"/>
              </c:ext>
            </c:extLst>
          </c:dPt>
          <c:dPt>
            <c:idx val="9"/>
            <c:invertIfNegative val="0"/>
            <c:bubble3D val="0"/>
            <c:extLst>
              <c:ext xmlns:c16="http://schemas.microsoft.com/office/drawing/2014/chart" uri="{C3380CC4-5D6E-409C-BE32-E72D297353CC}">
                <c16:uniqueId val="{00000008-2752-4AAF-A23C-0D86086CE154}"/>
              </c:ext>
            </c:extLst>
          </c:dPt>
          <c:cat>
            <c:strRef>
              <c:f>('FedEx Earnings Model'!$S$12,'FedEx Earnings Model'!$T$12,'FedEx Earnings Model'!$U$12,'FedEx Earnings Model'!$V$12,'FedEx Earnings Model'!$X$12,'FedEx Earnings Model'!$Y$12,'FedEx Earnings Model'!$Z$12,'FedEx Earnings Model'!$AA$12)</c:f>
              <c:strCache>
                <c:ptCount val="8"/>
                <c:pt idx="0">
                  <c:v> F1Q19 </c:v>
                </c:pt>
                <c:pt idx="1">
                  <c:v> F2Q19 </c:v>
                </c:pt>
                <c:pt idx="2">
                  <c:v> F3Q19 </c:v>
                </c:pt>
                <c:pt idx="3">
                  <c:v> F4Q19 </c:v>
                </c:pt>
                <c:pt idx="4">
                  <c:v> F1Q20E </c:v>
                </c:pt>
                <c:pt idx="5">
                  <c:v> F2Q20E </c:v>
                </c:pt>
                <c:pt idx="6">
                  <c:v> F3Q20E </c:v>
                </c:pt>
                <c:pt idx="7">
                  <c:v> F4Q20E </c:v>
                </c:pt>
              </c:strCache>
            </c:strRef>
          </c:cat>
          <c:val>
            <c:numRef>
              <c:f>('FedEx Earnings Model'!$S$60,'FedEx Earnings Model'!$T$60,'FedEx Earnings Model'!$U$60,'FedEx Earnings Model'!$V$60,'FedEx Earnings Model'!$X$60,'FedEx Earnings Model'!$Y$60,'FedEx Earnings Model'!$Z$60,'FedEx Earnings Model'!$AA$60)</c:f>
              <c:numCache>
                <c:formatCode>_(* #,##0_);_(* \(#,##0\);_(* "-"_);_(@_)</c:formatCode>
                <c:ptCount val="8"/>
                <c:pt idx="0">
                  <c:v>9221.2976515000009</c:v>
                </c:pt>
                <c:pt idx="1">
                  <c:v>9603.6010228699997</c:v>
                </c:pt>
                <c:pt idx="2">
                  <c:v>9005.3372172000018</c:v>
                </c:pt>
                <c:pt idx="3">
                  <c:v>9499.8119223984941</c:v>
                </c:pt>
                <c:pt idx="4">
                  <c:v>8875.3726507637857</c:v>
                </c:pt>
                <c:pt idx="5">
                  <c:v>9530.6180822710558</c:v>
                </c:pt>
                <c:pt idx="6">
                  <c:v>9202.3176424870089</c:v>
                </c:pt>
                <c:pt idx="7">
                  <c:v>9518.3796161390037</c:v>
                </c:pt>
              </c:numCache>
            </c:numRef>
          </c:val>
          <c:extLst>
            <c:ext xmlns:c16="http://schemas.microsoft.com/office/drawing/2014/chart" uri="{C3380CC4-5D6E-409C-BE32-E72D297353CC}">
              <c16:uniqueId val="{00000009-2752-4AAF-A23C-0D86086CE154}"/>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Model'!$B$73</c:f>
              <c:strCache>
                <c:ptCount val="1"/>
                <c:pt idx="0">
                  <c:v>Express operating margin</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2752-4AAF-A23C-0D86086CE154}"/>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2752-4AAF-A23C-0D86086CE154}"/>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2752-4AAF-A23C-0D86086CE154}"/>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2752-4AAF-A23C-0D86086CE154}"/>
              </c:ext>
            </c:extLst>
          </c:dPt>
          <c:cat>
            <c:strRef>
              <c:f>('FedEx Earnings Model'!$S$12,'FedEx Earnings Model'!$T$12,'FedEx Earnings Model'!$U$12,'FedEx Earnings Model'!$V$12,'FedEx Earnings Model'!$X$12,'FedEx Earnings Model'!$Y$12,'FedEx Earnings Model'!$Z$12,'FedEx Earnings Model'!$AA$12)</c:f>
              <c:strCache>
                <c:ptCount val="8"/>
                <c:pt idx="0">
                  <c:v> F1Q19 </c:v>
                </c:pt>
                <c:pt idx="1">
                  <c:v> F2Q19 </c:v>
                </c:pt>
                <c:pt idx="2">
                  <c:v> F3Q19 </c:v>
                </c:pt>
                <c:pt idx="3">
                  <c:v> F4Q19 </c:v>
                </c:pt>
                <c:pt idx="4">
                  <c:v> F1Q20E </c:v>
                </c:pt>
                <c:pt idx="5">
                  <c:v> F2Q20E </c:v>
                </c:pt>
                <c:pt idx="6">
                  <c:v> F3Q20E </c:v>
                </c:pt>
                <c:pt idx="7">
                  <c:v> F4Q20E </c:v>
                </c:pt>
              </c:strCache>
            </c:strRef>
          </c:cat>
          <c:val>
            <c:numRef>
              <c:f>('FedEx Earnings Model'!$S$73,'FedEx Earnings Model'!$T$73,'FedEx Earnings Model'!$U$73,'FedEx Earnings Model'!$V$73,'FedEx Earnings Model'!$X$73,'FedEx Earnings Model'!$Y$73,'FedEx Earnings Model'!$Z$73,'FedEx Earnings Model'!$AA$73)</c:f>
              <c:numCache>
                <c:formatCode>0.0%</c:formatCode>
                <c:ptCount val="8"/>
                <c:pt idx="0">
                  <c:v>3.9777227171528651E-2</c:v>
                </c:pt>
                <c:pt idx="1">
                  <c:v>6.4517572251750449E-2</c:v>
                </c:pt>
                <c:pt idx="2">
                  <c:v>4.1124192050539271E-2</c:v>
                </c:pt>
                <c:pt idx="3">
                  <c:v>8.0613377259909302E-2</c:v>
                </c:pt>
                <c:pt idx="4">
                  <c:v>3.4488555161126963E-2</c:v>
                </c:pt>
                <c:pt idx="5">
                  <c:v>5.9117779921947E-2</c:v>
                </c:pt>
                <c:pt idx="6">
                  <c:v>4.4089753211184364E-2</c:v>
                </c:pt>
                <c:pt idx="7">
                  <c:v>8.093484026061952E-2</c:v>
                </c:pt>
              </c:numCache>
            </c:numRef>
          </c:val>
          <c:smooth val="0"/>
          <c:extLst>
            <c:ext xmlns:c16="http://schemas.microsoft.com/office/drawing/2014/chart" uri="{C3380CC4-5D6E-409C-BE32-E72D297353CC}">
              <c16:uniqueId val="{00000012-2752-4AAF-A23C-0D86086CE154}"/>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40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553322088246E-2"/>
          <c:y val="0.78981135022684834"/>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Ground</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Model'!$B$141:$C$141</c:f>
              <c:strCache>
                <c:ptCount val="2"/>
                <c:pt idx="0">
                  <c:v>Ground Average Daily Freight LB (in thousands LBS)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2832-41C1-BD10-54F7E649F542}"/>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2832-41C1-BD10-54F7E649F542}"/>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2832-41C1-BD10-54F7E649F542}"/>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2832-41C1-BD10-54F7E649F542}"/>
              </c:ext>
            </c:extLst>
          </c:dPt>
          <c:dPt>
            <c:idx val="9"/>
            <c:invertIfNegative val="0"/>
            <c:bubble3D val="0"/>
            <c:extLst>
              <c:ext xmlns:c16="http://schemas.microsoft.com/office/drawing/2014/chart" uri="{C3380CC4-5D6E-409C-BE32-E72D297353CC}">
                <c16:uniqueId val="{00000008-2832-41C1-BD10-54F7E649F542}"/>
              </c:ext>
            </c:extLst>
          </c:dPt>
          <c:cat>
            <c:strRef>
              <c:f>('FedEx Earnings Model'!$S$12,'FedEx Earnings Model'!$T$12,'FedEx Earnings Model'!$U$12,'FedEx Earnings Model'!$V$12,'FedEx Earnings Model'!$X$12,'FedEx Earnings Model'!$Y$12,'FedEx Earnings Model'!$Z$12,'FedEx Earnings Model'!$AA$12)</c:f>
              <c:strCache>
                <c:ptCount val="8"/>
                <c:pt idx="0">
                  <c:v> F1Q19 </c:v>
                </c:pt>
                <c:pt idx="1">
                  <c:v> F2Q19 </c:v>
                </c:pt>
                <c:pt idx="2">
                  <c:v> F3Q19 </c:v>
                </c:pt>
                <c:pt idx="3">
                  <c:v> F4Q19 </c:v>
                </c:pt>
                <c:pt idx="4">
                  <c:v> F1Q20E </c:v>
                </c:pt>
                <c:pt idx="5">
                  <c:v> F2Q20E </c:v>
                </c:pt>
                <c:pt idx="6">
                  <c:v> F3Q20E </c:v>
                </c:pt>
                <c:pt idx="7">
                  <c:v> F4Q20E </c:v>
                </c:pt>
              </c:strCache>
            </c:strRef>
          </c:cat>
          <c:val>
            <c:numRef>
              <c:f>('FedEx Earnings Model'!$S$141,'FedEx Earnings Model'!$T$141,'FedEx Earnings Model'!$U$141,'FedEx Earnings Model'!$V$141,'FedEx Earnings Model'!$X$141,'FedEx Earnings Model'!$Y$141,'FedEx Earnings Model'!$Z$141,'FedEx Earnings Model'!$AA$141)</c:f>
              <c:numCache>
                <c:formatCode>_(* #,##0_);_(* \(#,##0\);_(* "-"_);_(@_)</c:formatCode>
                <c:ptCount val="8"/>
                <c:pt idx="0">
                  <c:v>8221</c:v>
                </c:pt>
                <c:pt idx="1">
                  <c:v>9237</c:v>
                </c:pt>
                <c:pt idx="2">
                  <c:v>9550</c:v>
                </c:pt>
                <c:pt idx="3">
                  <c:v>8836</c:v>
                </c:pt>
                <c:pt idx="4">
                  <c:v>8664.1992532946388</c:v>
                </c:pt>
                <c:pt idx="5">
                  <c:v>9699.4964453560842</c:v>
                </c:pt>
                <c:pt idx="6">
                  <c:v>10059.312473887672</c:v>
                </c:pt>
                <c:pt idx="7">
                  <c:v>9376.6879066125512</c:v>
                </c:pt>
              </c:numCache>
            </c:numRef>
          </c:val>
          <c:extLst>
            <c:ext xmlns:c16="http://schemas.microsoft.com/office/drawing/2014/chart" uri="{C3380CC4-5D6E-409C-BE32-E72D297353CC}">
              <c16:uniqueId val="{00000009-2832-41C1-BD10-54F7E649F542}"/>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Model'!$B$143</c:f>
              <c:strCache>
                <c:ptCount val="1"/>
                <c:pt idx="0">
                  <c:v>Ground Yield (Revenue per Freight LB, in $)</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2832-41C1-BD10-54F7E649F542}"/>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2832-41C1-BD10-54F7E649F542}"/>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2832-41C1-BD10-54F7E649F542}"/>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2832-41C1-BD10-54F7E649F542}"/>
              </c:ext>
            </c:extLst>
          </c:dPt>
          <c:cat>
            <c:strRef>
              <c:f>('FedEx Earnings Model'!$S$12,'FedEx Earnings Model'!$T$12,'FedEx Earnings Model'!$U$12,'FedEx Earnings Model'!$V$12,'FedEx Earnings Model'!$X$12,'FedEx Earnings Model'!$Y$12,'FedEx Earnings Model'!$Z$12,'FedEx Earnings Model'!$AA$12)</c:f>
              <c:strCache>
                <c:ptCount val="8"/>
                <c:pt idx="0">
                  <c:v> F1Q19 </c:v>
                </c:pt>
                <c:pt idx="1">
                  <c:v> F2Q19 </c:v>
                </c:pt>
                <c:pt idx="2">
                  <c:v> F3Q19 </c:v>
                </c:pt>
                <c:pt idx="3">
                  <c:v> F4Q19 </c:v>
                </c:pt>
                <c:pt idx="4">
                  <c:v> F1Q20E </c:v>
                </c:pt>
                <c:pt idx="5">
                  <c:v> F2Q20E </c:v>
                </c:pt>
                <c:pt idx="6">
                  <c:v> F3Q20E </c:v>
                </c:pt>
                <c:pt idx="7">
                  <c:v> F4Q20E </c:v>
                </c:pt>
              </c:strCache>
            </c:strRef>
          </c:cat>
          <c:val>
            <c:numRef>
              <c:f>('FedEx Earnings Model'!$S$143,'FedEx Earnings Model'!$T$143,'FedEx Earnings Model'!$U$143,'FedEx Earnings Model'!$V$143,'FedEx Earnings Model'!$X$143,'FedEx Earnings Model'!$Y$143,'FedEx Earnings Model'!$Z$143,'FedEx Earnings Model'!$AA$143)</c:f>
              <c:numCache>
                <c:formatCode>"$"#,##0.00_);\("$"#,##0.00\)</c:formatCode>
                <c:ptCount val="8"/>
                <c:pt idx="0">
                  <c:v>8.9600000000000009</c:v>
                </c:pt>
                <c:pt idx="1">
                  <c:v>8.81</c:v>
                </c:pt>
                <c:pt idx="2">
                  <c:v>8.8699999999999992</c:v>
                </c:pt>
                <c:pt idx="3">
                  <c:v>9.25</c:v>
                </c:pt>
                <c:pt idx="4">
                  <c:v>9.1387780090056321</c:v>
                </c:pt>
                <c:pt idx="5">
                  <c:v>8.9036885690949266</c:v>
                </c:pt>
                <c:pt idx="6">
                  <c:v>8.9558467670796436</c:v>
                </c:pt>
                <c:pt idx="7">
                  <c:v>9.3942191130793589</c:v>
                </c:pt>
              </c:numCache>
            </c:numRef>
          </c:val>
          <c:smooth val="0"/>
          <c:extLst>
            <c:ext xmlns:c16="http://schemas.microsoft.com/office/drawing/2014/chart" uri="{C3380CC4-5D6E-409C-BE32-E72D297353CC}">
              <c16:uniqueId val="{00000012-2832-41C1-BD10-54F7E649F542}"/>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quot;$&quot;#,##0.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5.xml.rels><?xml version="1.0" encoding="UTF-8" standalone="yes"?>
<Relationships xmlns="http://schemas.openxmlformats.org/package/2006/relationships"><Relationship Id="rId1" Type="http://schemas.openxmlformats.org/officeDocument/2006/relationships/image" Target="../media/image1.jpg"/></Relationships>
</file>

<file path=xl/drawings/_rels/drawing1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236802</xdr:colOff>
      <xdr:row>255</xdr:row>
      <xdr:rowOff>0</xdr:rowOff>
    </xdr:from>
    <xdr:to>
      <xdr:col>6</xdr:col>
      <xdr:colOff>718343</xdr:colOff>
      <xdr:row>255</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236802</xdr:colOff>
      <xdr:row>317</xdr:row>
      <xdr:rowOff>0</xdr:rowOff>
    </xdr:from>
    <xdr:to>
      <xdr:col>6</xdr:col>
      <xdr:colOff>718343</xdr:colOff>
      <xdr:row>317</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236802</xdr:colOff>
      <xdr:row>362</xdr:row>
      <xdr:rowOff>0</xdr:rowOff>
    </xdr:from>
    <xdr:to>
      <xdr:col>6</xdr:col>
      <xdr:colOff>718343</xdr:colOff>
      <xdr:row>362</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236802</xdr:colOff>
      <xdr:row>49</xdr:row>
      <xdr:rowOff>0</xdr:rowOff>
    </xdr:from>
    <xdr:to>
      <xdr:col>6</xdr:col>
      <xdr:colOff>718343</xdr:colOff>
      <xdr:row>49</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236802</xdr:colOff>
      <xdr:row>300</xdr:row>
      <xdr:rowOff>0</xdr:rowOff>
    </xdr:from>
    <xdr:to>
      <xdr:col>6</xdr:col>
      <xdr:colOff>718343</xdr:colOff>
      <xdr:row>300</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2.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3.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twoCellAnchor>
    <xdr:from>
      <xdr:col>5</xdr:col>
      <xdr:colOff>245745</xdr:colOff>
      <xdr:row>15</xdr:row>
      <xdr:rowOff>171450</xdr:rowOff>
    </xdr:from>
    <xdr:to>
      <xdr:col>10</xdr:col>
      <xdr:colOff>481965</xdr:colOff>
      <xdr:row>27</xdr:row>
      <xdr:rowOff>93345</xdr:rowOff>
    </xdr:to>
    <xdr:graphicFrame macro="">
      <xdr:nvGraphicFramePr>
        <xdr:cNvPr id="2" name="Chart 1">
          <a:extLst>
            <a:ext uri="{FF2B5EF4-FFF2-40B4-BE49-F238E27FC236}">
              <a16:creationId xmlns:a16="http://schemas.microsoft.com/office/drawing/2014/main" id="{FA7010D3-3059-44AA-8CAF-004655119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6.xml><?xml version="1.0" encoding="utf-8"?>
<xdr:wsDr xmlns:xdr="http://schemas.openxmlformats.org/drawingml/2006/spreadsheetDrawing" xmlns:a="http://schemas.openxmlformats.org/drawingml/2006/main">
  <xdr:twoCellAnchor>
    <xdr:from>
      <xdr:col>5</xdr:col>
      <xdr:colOff>245745</xdr:colOff>
      <xdr:row>16</xdr:row>
      <xdr:rowOff>20955</xdr:rowOff>
    </xdr:from>
    <xdr:to>
      <xdr:col>10</xdr:col>
      <xdr:colOff>729615</xdr:colOff>
      <xdr:row>25</xdr:row>
      <xdr:rowOff>247650</xdr:rowOff>
    </xdr:to>
    <xdr:graphicFrame macro="">
      <xdr:nvGraphicFramePr>
        <xdr:cNvPr id="4" name="Chart 3">
          <a:extLst>
            <a:ext uri="{FF2B5EF4-FFF2-40B4-BE49-F238E27FC236}">
              <a16:creationId xmlns:a16="http://schemas.microsoft.com/office/drawing/2014/main" id="{EC22233B-26C4-4673-B47F-AD01A6B56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xdr:from>
      <xdr:col>1</xdr:col>
      <xdr:colOff>59055</xdr:colOff>
      <xdr:row>3</xdr:row>
      <xdr:rowOff>127635</xdr:rowOff>
    </xdr:from>
    <xdr:to>
      <xdr:col>5</xdr:col>
      <xdr:colOff>160020</xdr:colOff>
      <xdr:row>12</xdr:row>
      <xdr:rowOff>30480</xdr:rowOff>
    </xdr:to>
    <xdr:graphicFrame macro="">
      <xdr:nvGraphicFramePr>
        <xdr:cNvPr id="2" name="Chart 1">
          <a:extLst>
            <a:ext uri="{FF2B5EF4-FFF2-40B4-BE49-F238E27FC236}">
              <a16:creationId xmlns:a16="http://schemas.microsoft.com/office/drawing/2014/main" id="{822A172C-7B75-4C02-A74C-56608478D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320040</xdr:colOff>
      <xdr:row>3</xdr:row>
      <xdr:rowOff>144780</xdr:rowOff>
    </xdr:from>
    <xdr:to>
      <xdr:col>11</xdr:col>
      <xdr:colOff>207645</xdr:colOff>
      <xdr:row>12</xdr:row>
      <xdr:rowOff>47625</xdr:rowOff>
    </xdr:to>
    <xdr:graphicFrame macro="">
      <xdr:nvGraphicFramePr>
        <xdr:cNvPr id="9" name="Chart 8">
          <a:extLst>
            <a:ext uri="{FF2B5EF4-FFF2-40B4-BE49-F238E27FC236}">
              <a16:creationId xmlns:a16="http://schemas.microsoft.com/office/drawing/2014/main" id="{85BA668F-E677-4692-80D9-486D07A95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350520</xdr:colOff>
      <xdr:row>3</xdr:row>
      <xdr:rowOff>137160</xdr:rowOff>
    </xdr:from>
    <xdr:to>
      <xdr:col>15</xdr:col>
      <xdr:colOff>451485</xdr:colOff>
      <xdr:row>12</xdr:row>
      <xdr:rowOff>40005</xdr:rowOff>
    </xdr:to>
    <xdr:graphicFrame macro="">
      <xdr:nvGraphicFramePr>
        <xdr:cNvPr id="10" name="Chart 9">
          <a:extLst>
            <a:ext uri="{FF2B5EF4-FFF2-40B4-BE49-F238E27FC236}">
              <a16:creationId xmlns:a16="http://schemas.microsoft.com/office/drawing/2014/main" id="{571F820B-8C79-45BB-8C87-EFAF93396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38100</xdr:colOff>
      <xdr:row>14</xdr:row>
      <xdr:rowOff>45720</xdr:rowOff>
    </xdr:from>
    <xdr:to>
      <xdr:col>5</xdr:col>
      <xdr:colOff>139065</xdr:colOff>
      <xdr:row>24</xdr:row>
      <xdr:rowOff>161925</xdr:rowOff>
    </xdr:to>
    <xdr:graphicFrame macro="">
      <xdr:nvGraphicFramePr>
        <xdr:cNvPr id="11" name="Chart 10">
          <a:extLst>
            <a:ext uri="{FF2B5EF4-FFF2-40B4-BE49-F238E27FC236}">
              <a16:creationId xmlns:a16="http://schemas.microsoft.com/office/drawing/2014/main" id="{DDC05A7B-34F3-475A-AB09-B6BE27051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320040</xdr:colOff>
      <xdr:row>14</xdr:row>
      <xdr:rowOff>45720</xdr:rowOff>
    </xdr:from>
    <xdr:to>
      <xdr:col>11</xdr:col>
      <xdr:colOff>207645</xdr:colOff>
      <xdr:row>24</xdr:row>
      <xdr:rowOff>161925</xdr:rowOff>
    </xdr:to>
    <xdr:graphicFrame macro="">
      <xdr:nvGraphicFramePr>
        <xdr:cNvPr id="12" name="Chart 11">
          <a:extLst>
            <a:ext uri="{FF2B5EF4-FFF2-40B4-BE49-F238E27FC236}">
              <a16:creationId xmlns:a16="http://schemas.microsoft.com/office/drawing/2014/main" id="{C815B346-C5C4-43B2-BDE7-BE29A1573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60960</xdr:colOff>
      <xdr:row>27</xdr:row>
      <xdr:rowOff>60960</xdr:rowOff>
    </xdr:from>
    <xdr:to>
      <xdr:col>5</xdr:col>
      <xdr:colOff>161925</xdr:colOff>
      <xdr:row>38</xdr:row>
      <xdr:rowOff>161925</xdr:rowOff>
    </xdr:to>
    <xdr:graphicFrame macro="">
      <xdr:nvGraphicFramePr>
        <xdr:cNvPr id="13" name="Chart 12">
          <a:extLst>
            <a:ext uri="{FF2B5EF4-FFF2-40B4-BE49-F238E27FC236}">
              <a16:creationId xmlns:a16="http://schemas.microsoft.com/office/drawing/2014/main" id="{5DDEF399-0C93-4589-8A57-1A8106A7D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342900</xdr:colOff>
      <xdr:row>27</xdr:row>
      <xdr:rowOff>60960</xdr:rowOff>
    </xdr:from>
    <xdr:to>
      <xdr:col>11</xdr:col>
      <xdr:colOff>230505</xdr:colOff>
      <xdr:row>38</xdr:row>
      <xdr:rowOff>161925</xdr:rowOff>
    </xdr:to>
    <xdr:graphicFrame macro="">
      <xdr:nvGraphicFramePr>
        <xdr:cNvPr id="14" name="Chart 13">
          <a:extLst>
            <a:ext uri="{FF2B5EF4-FFF2-40B4-BE49-F238E27FC236}">
              <a16:creationId xmlns:a16="http://schemas.microsoft.com/office/drawing/2014/main" id="{F2E23934-9C31-43DE-81A8-E8674DDF4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41</xdr:row>
      <xdr:rowOff>0</xdr:rowOff>
    </xdr:from>
    <xdr:to>
      <xdr:col>5</xdr:col>
      <xdr:colOff>100965</xdr:colOff>
      <xdr:row>52</xdr:row>
      <xdr:rowOff>100965</xdr:rowOff>
    </xdr:to>
    <xdr:graphicFrame macro="">
      <xdr:nvGraphicFramePr>
        <xdr:cNvPr id="15" name="Chart 14">
          <a:extLst>
            <a:ext uri="{FF2B5EF4-FFF2-40B4-BE49-F238E27FC236}">
              <a16:creationId xmlns:a16="http://schemas.microsoft.com/office/drawing/2014/main" id="{71CF30AC-62E0-4E64-A938-CCECAAEB4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274320</xdr:colOff>
      <xdr:row>41</xdr:row>
      <xdr:rowOff>0</xdr:rowOff>
    </xdr:from>
    <xdr:to>
      <xdr:col>11</xdr:col>
      <xdr:colOff>161925</xdr:colOff>
      <xdr:row>52</xdr:row>
      <xdr:rowOff>100965</xdr:rowOff>
    </xdr:to>
    <xdr:graphicFrame macro="">
      <xdr:nvGraphicFramePr>
        <xdr:cNvPr id="17" name="Chart 16">
          <a:extLst>
            <a:ext uri="{FF2B5EF4-FFF2-40B4-BE49-F238E27FC236}">
              <a16:creationId xmlns:a16="http://schemas.microsoft.com/office/drawing/2014/main" id="{E91E359A-B9F4-4C26-99B7-6066C375A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7620</xdr:colOff>
      <xdr:row>53</xdr:row>
      <xdr:rowOff>129540</xdr:rowOff>
    </xdr:from>
    <xdr:to>
      <xdr:col>5</xdr:col>
      <xdr:colOff>108585</xdr:colOff>
      <xdr:row>65</xdr:row>
      <xdr:rowOff>47625</xdr:rowOff>
    </xdr:to>
    <xdr:graphicFrame macro="">
      <xdr:nvGraphicFramePr>
        <xdr:cNvPr id="18" name="Chart 17">
          <a:extLst>
            <a:ext uri="{FF2B5EF4-FFF2-40B4-BE49-F238E27FC236}">
              <a16:creationId xmlns:a16="http://schemas.microsoft.com/office/drawing/2014/main" id="{A106D42E-971B-4F41-9081-21D4CAB8A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525780</xdr:colOff>
      <xdr:row>3</xdr:row>
      <xdr:rowOff>144780</xdr:rowOff>
    </xdr:from>
    <xdr:to>
      <xdr:col>20</xdr:col>
      <xdr:colOff>489585</xdr:colOff>
      <xdr:row>12</xdr:row>
      <xdr:rowOff>47625</xdr:rowOff>
    </xdr:to>
    <xdr:graphicFrame macro="">
      <xdr:nvGraphicFramePr>
        <xdr:cNvPr id="19" name="Chart 18">
          <a:extLst>
            <a:ext uri="{FF2B5EF4-FFF2-40B4-BE49-F238E27FC236}">
              <a16:creationId xmlns:a16="http://schemas.microsoft.com/office/drawing/2014/main" id="{41FBF684-A623-42BF-B78F-07DB57503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0.89232</cdr:x>
      <cdr:y>0.91975</cdr:y>
    </cdr:from>
    <cdr:to>
      <cdr:x>0.99455</cdr:x>
      <cdr:y>0.99413</cdr:y>
    </cdr:to>
    <cdr:pic>
      <cdr:nvPicPr>
        <cdr:cNvPr id="7" name="Picture 6">
          <a:extLst xmlns:a="http://schemas.openxmlformats.org/drawingml/2006/main">
            <a:ext uri="{FF2B5EF4-FFF2-40B4-BE49-F238E27FC236}">
              <a16:creationId xmlns:a16="http://schemas.microsoft.com/office/drawing/2014/main" id="{C37BFA11-7AA4-4942-B117-535411DB10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41420" y="1943101"/>
          <a:ext cx="428625" cy="157146"/>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0.89172</cdr:x>
      <cdr:y>0.91674</cdr:y>
    </cdr:from>
    <cdr:to>
      <cdr:x>0.99394</cdr:x>
      <cdr:y>0.99113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38880" y="1936750"/>
          <a:ext cx="428625" cy="157146"/>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0.89232</cdr:x>
      <cdr:y>0.91975</cdr:y>
    </cdr:from>
    <cdr:to>
      <cdr:x>0.99455</cdr:x>
      <cdr:y>0.99413</cdr:y>
    </cdr:to>
    <cdr:pic>
      <cdr:nvPicPr>
        <cdr:cNvPr id="7" name="Picture 6">
          <a:extLst xmlns:a="http://schemas.openxmlformats.org/drawingml/2006/main">
            <a:ext uri="{FF2B5EF4-FFF2-40B4-BE49-F238E27FC236}">
              <a16:creationId xmlns:a16="http://schemas.microsoft.com/office/drawing/2014/main" id="{C37BFA11-7AA4-4942-B117-535411DB10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41420" y="1943101"/>
          <a:ext cx="428625" cy="157146"/>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8.xml><?xml version="1.0" encoding="utf-8"?>
<c:userShapes xmlns:c="http://schemas.openxmlformats.org/drawingml/2006/chart">
  <cdr:relSizeAnchor xmlns:cdr="http://schemas.openxmlformats.org/drawingml/2006/chartDrawing">
    <cdr:from>
      <cdr:x>0.89232</cdr:x>
      <cdr:y>0.91975</cdr:y>
    </cdr:from>
    <cdr:to>
      <cdr:x>0.99455</cdr:x>
      <cdr:y>0.99413</cdr:y>
    </cdr:to>
    <cdr:pic>
      <cdr:nvPicPr>
        <cdr:cNvPr id="7" name="Picture 6">
          <a:extLst xmlns:a="http://schemas.openxmlformats.org/drawingml/2006/main">
            <a:ext uri="{FF2B5EF4-FFF2-40B4-BE49-F238E27FC236}">
              <a16:creationId xmlns:a16="http://schemas.microsoft.com/office/drawing/2014/main" id="{C37BFA11-7AA4-4942-B117-535411DB10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41420" y="1943101"/>
          <a:ext cx="428625" cy="157146"/>
        </a:xfrm>
        <a:prstGeom xmlns:a="http://schemas.openxmlformats.org/drawingml/2006/main" prst="rect">
          <a:avLst/>
        </a:prstGeom>
      </cdr:spPr>
    </cdr:pic>
  </cdr:relSizeAnchor>
</c:userShapes>
</file>

<file path=xl/drawings/drawing9.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BS413"/>
  <sheetViews>
    <sheetView showGridLines="0" tabSelected="1" zoomScaleNormal="100" workbookViewId="0">
      <selection activeCell="B2" sqref="B2:C2"/>
    </sheetView>
  </sheetViews>
  <sheetFormatPr defaultColWidth="8.85546875" defaultRowHeight="15" outlineLevelRow="2" outlineLevelCol="1" x14ac:dyDescent="0.25"/>
  <cols>
    <col min="1" max="1" width="3.7109375" style="4" customWidth="1"/>
    <col min="2" max="2" width="34.7109375" style="4" customWidth="1"/>
    <col min="3" max="3" width="21.140625" style="4" customWidth="1"/>
    <col min="4" max="5" width="11.5703125" style="3" customWidth="1" outlineLevel="1"/>
    <col min="6" max="7" width="11.5703125" style="28" customWidth="1" outlineLevel="1"/>
    <col min="8" max="8" width="11.5703125" style="28" customWidth="1"/>
    <col min="9" max="10" width="11.5703125" style="3" customWidth="1" outlineLevel="1"/>
    <col min="11" max="12" width="11.5703125" style="28" customWidth="1" outlineLevel="1"/>
    <col min="13" max="13" width="11.5703125" style="28" customWidth="1"/>
    <col min="14" max="15" width="11.5703125" style="3" customWidth="1" outlineLevel="1"/>
    <col min="16" max="17" width="11.5703125" style="28" customWidth="1" outlineLevel="1"/>
    <col min="18" max="18" width="11.5703125" style="28" customWidth="1"/>
    <col min="19" max="20" width="11.5703125" style="3" customWidth="1" outlineLevel="1"/>
    <col min="21" max="22" width="11.5703125" style="28" customWidth="1" outlineLevel="1"/>
    <col min="23" max="23" width="11.5703125" style="28" customWidth="1"/>
    <col min="24" max="25" width="11.5703125" style="3" customWidth="1" outlineLevel="1"/>
    <col min="26" max="27" width="11.5703125" style="28" customWidth="1" outlineLevel="1"/>
    <col min="28" max="28" width="11.5703125" style="28" customWidth="1"/>
    <col min="29" max="30" width="11.5703125" style="3" customWidth="1" outlineLevel="1"/>
    <col min="31" max="32" width="11.5703125" style="28" customWidth="1" outlineLevel="1"/>
    <col min="33" max="33" width="11.5703125" style="28" customWidth="1"/>
    <col min="34" max="35" width="11.5703125" style="3" customWidth="1" outlineLevel="1"/>
    <col min="36" max="37" width="11.5703125" style="28" customWidth="1" outlineLevel="1"/>
    <col min="38" max="38" width="11.5703125" style="28" customWidth="1"/>
    <col min="39" max="40" width="11.5703125" style="3" customWidth="1" outlineLevel="1"/>
    <col min="41" max="42" width="11.5703125" style="28" customWidth="1" outlineLevel="1"/>
    <col min="43" max="43" width="11.5703125" style="28" customWidth="1"/>
    <col min="44" max="45" width="11.5703125" style="3" customWidth="1" outlineLevel="1"/>
    <col min="46" max="47" width="11.5703125" style="28" customWidth="1" outlineLevel="1"/>
    <col min="48" max="48" width="11.5703125" style="28" customWidth="1"/>
    <col min="49" max="16384" width="8.85546875" style="4"/>
  </cols>
  <sheetData>
    <row r="1" spans="1:71" ht="9" customHeight="1" x14ac:dyDescent="0.25">
      <c r="T1" s="64"/>
    </row>
    <row r="2" spans="1:71" ht="45" customHeight="1" x14ac:dyDescent="0.25">
      <c r="B2" s="747" t="s">
        <v>70</v>
      </c>
      <c r="C2" s="748"/>
      <c r="K2" s="29"/>
      <c r="T2" s="64"/>
    </row>
    <row r="3" spans="1:71" x14ac:dyDescent="0.25">
      <c r="B3" s="733" t="s">
        <v>786</v>
      </c>
      <c r="C3" s="734"/>
      <c r="D3" s="30"/>
      <c r="G3" s="31"/>
      <c r="H3" s="31"/>
      <c r="T3" s="64"/>
    </row>
    <row r="4" spans="1:71" x14ac:dyDescent="0.25">
      <c r="B4" s="735" t="s">
        <v>769</v>
      </c>
      <c r="C4" s="736"/>
      <c r="D4" s="30"/>
      <c r="G4" s="31"/>
      <c r="H4" s="31"/>
      <c r="T4" s="64"/>
      <c r="BS4" s="4" t="s">
        <v>71</v>
      </c>
    </row>
    <row r="5" spans="1:71" x14ac:dyDescent="0.25">
      <c r="B5" s="737" t="s">
        <v>770</v>
      </c>
      <c r="C5" s="738"/>
      <c r="D5" s="32"/>
      <c r="E5" s="30"/>
      <c r="F5" s="30"/>
      <c r="G5" s="31"/>
      <c r="H5" s="31"/>
      <c r="I5" s="31"/>
      <c r="J5" s="31"/>
      <c r="K5" s="31"/>
      <c r="L5" s="31"/>
      <c r="M5" s="30"/>
      <c r="N5" s="30"/>
      <c r="O5" s="30"/>
      <c r="P5" s="30"/>
      <c r="Q5" s="30"/>
      <c r="R5" s="30"/>
      <c r="S5" s="30"/>
      <c r="T5" s="34"/>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row>
    <row r="6" spans="1:71" ht="14.45" customHeight="1" x14ac:dyDescent="0.25">
      <c r="B6" s="500" t="s">
        <v>63</v>
      </c>
      <c r="C6" s="501">
        <f>C378</f>
        <v>164.54399825208429</v>
      </c>
      <c r="D6" s="30"/>
      <c r="E6" s="30"/>
      <c r="F6" s="30"/>
      <c r="G6" s="33"/>
      <c r="H6" s="33"/>
      <c r="I6" s="30"/>
      <c r="J6" s="30"/>
      <c r="K6" s="30"/>
      <c r="L6" s="34"/>
      <c r="M6" s="35"/>
      <c r="N6" s="30"/>
      <c r="O6" s="30"/>
      <c r="P6" s="30"/>
      <c r="Q6" s="30"/>
      <c r="R6" s="30"/>
      <c r="S6" s="30"/>
      <c r="T6" s="559"/>
      <c r="U6" s="558"/>
      <c r="V6" s="34"/>
      <c r="W6" s="559"/>
      <c r="X6" s="34"/>
      <c r="Y6" s="34"/>
      <c r="Z6" s="30"/>
      <c r="AA6" s="30"/>
      <c r="AB6" s="30"/>
      <c r="AC6" s="30"/>
      <c r="AD6" s="30"/>
      <c r="AE6" s="30"/>
      <c r="AF6" s="30"/>
      <c r="AG6" s="30"/>
      <c r="AH6" s="30"/>
      <c r="AI6" s="30"/>
      <c r="AJ6" s="30"/>
      <c r="AK6" s="30"/>
      <c r="AL6" s="30"/>
      <c r="AM6" s="30"/>
      <c r="AN6" s="30"/>
      <c r="AO6" s="30"/>
      <c r="AP6" s="30"/>
      <c r="AQ6" s="30"/>
      <c r="AR6" s="30"/>
      <c r="AS6" s="30"/>
      <c r="AT6" s="30"/>
      <c r="AU6" s="30"/>
      <c r="AV6" s="30"/>
    </row>
    <row r="7" spans="1:71" ht="14.45" customHeight="1" x14ac:dyDescent="0.25">
      <c r="B7" s="297" t="s">
        <v>64</v>
      </c>
      <c r="C7" s="481">
        <f>C405</f>
        <v>160.46886053447901</v>
      </c>
      <c r="D7" s="30"/>
      <c r="E7" s="30"/>
      <c r="F7" s="30"/>
      <c r="G7" s="34"/>
      <c r="H7" s="489"/>
      <c r="I7" s="489"/>
      <c r="J7" s="489"/>
      <c r="K7" s="489"/>
      <c r="L7" s="489"/>
      <c r="M7" s="489"/>
      <c r="N7" s="489"/>
      <c r="O7" s="489"/>
      <c r="P7" s="489"/>
      <c r="Q7" s="489"/>
      <c r="R7" s="489"/>
      <c r="S7" s="489"/>
      <c r="T7" s="559"/>
      <c r="U7" s="558"/>
      <c r="V7" s="489"/>
      <c r="W7" s="559"/>
      <c r="X7" s="489"/>
      <c r="Y7" s="489"/>
      <c r="Z7" s="489"/>
      <c r="AA7" s="489"/>
      <c r="AB7" s="489"/>
      <c r="AC7" s="489"/>
      <c r="AD7" s="489"/>
      <c r="AE7" s="489"/>
      <c r="AF7" s="489"/>
      <c r="AG7" s="489"/>
      <c r="AH7" s="489"/>
      <c r="AI7" s="489"/>
      <c r="AJ7" s="489"/>
      <c r="AK7" s="489"/>
      <c r="AL7" s="489"/>
      <c r="AM7" s="489"/>
      <c r="AN7" s="489"/>
      <c r="AO7" s="489"/>
      <c r="AP7" s="489"/>
      <c r="AQ7" s="491"/>
      <c r="AR7" s="489"/>
      <c r="AS7" s="489"/>
      <c r="AT7" s="489"/>
      <c r="AU7" s="489"/>
      <c r="AV7" s="491"/>
    </row>
    <row r="8" spans="1:71" ht="14.45" customHeight="1" x14ac:dyDescent="0.25">
      <c r="B8" s="297" t="s">
        <v>103</v>
      </c>
      <c r="C8" s="497">
        <f>(0.5*C6)+(0.5*C7)</f>
        <v>162.50642939328165</v>
      </c>
      <c r="D8" s="30"/>
      <c r="E8" s="30"/>
      <c r="F8" s="36"/>
      <c r="G8" s="34"/>
      <c r="H8" s="489"/>
      <c r="I8" s="489"/>
      <c r="J8" s="489"/>
      <c r="K8" s="489"/>
      <c r="L8" s="489"/>
      <c r="M8" s="489"/>
      <c r="N8" s="489"/>
      <c r="O8" s="493"/>
      <c r="P8" s="489"/>
      <c r="Q8" s="489"/>
      <c r="R8" s="489"/>
      <c r="S8" s="490"/>
      <c r="T8" s="559"/>
      <c r="U8" s="655"/>
      <c r="V8" s="655"/>
      <c r="W8" s="490"/>
      <c r="X8" s="655"/>
      <c r="Y8" s="655"/>
      <c r="Z8" s="491"/>
      <c r="AA8" s="490"/>
      <c r="AB8" s="490"/>
      <c r="AC8" s="490"/>
      <c r="AD8" s="490"/>
      <c r="AE8" s="490"/>
      <c r="AF8" s="491"/>
      <c r="AG8" s="490"/>
      <c r="AH8" s="490"/>
      <c r="AI8" s="490"/>
      <c r="AJ8" s="490"/>
      <c r="AK8" s="490"/>
      <c r="AL8" s="490"/>
      <c r="AM8" s="490"/>
      <c r="AN8" s="490"/>
      <c r="AO8" s="490"/>
      <c r="AP8" s="490"/>
      <c r="AQ8" s="494"/>
      <c r="AR8" s="490"/>
      <c r="AS8" s="490"/>
      <c r="AT8" s="490"/>
      <c r="AU8" s="490"/>
      <c r="AV8" s="494"/>
    </row>
    <row r="9" spans="1:71" ht="14.45" customHeight="1" x14ac:dyDescent="0.25">
      <c r="B9" s="498" t="s">
        <v>104</v>
      </c>
      <c r="C9" s="499" t="str">
        <f>TEXT(C412,"$0")&amp;" to "&amp;TEXT(C411,"$0")</f>
        <v>$131 to $202</v>
      </c>
      <c r="D9" s="30"/>
      <c r="E9" s="30"/>
      <c r="F9" s="36"/>
      <c r="G9" s="34"/>
      <c r="H9" s="491"/>
      <c r="I9" s="491"/>
      <c r="J9" s="491"/>
      <c r="K9" s="491"/>
      <c r="L9" s="491"/>
      <c r="M9" s="491"/>
      <c r="N9" s="491"/>
      <c r="O9" s="491"/>
      <c r="P9" s="491"/>
      <c r="Q9" s="491"/>
      <c r="R9" s="491"/>
      <c r="S9" s="526"/>
      <c r="T9" s="490"/>
      <c r="U9" s="657"/>
      <c r="V9" s="658"/>
      <c r="W9" s="492"/>
      <c r="X9" s="560"/>
      <c r="Y9" s="492"/>
      <c r="Z9" s="492"/>
      <c r="AA9" s="492"/>
      <c r="AB9" s="491"/>
      <c r="AC9" s="491"/>
      <c r="AD9" s="491"/>
      <c r="AE9" s="491"/>
      <c r="AF9" s="491"/>
      <c r="AG9" s="491"/>
      <c r="AH9" s="491"/>
      <c r="AI9" s="491"/>
      <c r="AJ9" s="491"/>
      <c r="AK9" s="491"/>
      <c r="AL9" s="491"/>
      <c r="AM9" s="491"/>
      <c r="AN9" s="491"/>
      <c r="AO9" s="491"/>
      <c r="AP9" s="491"/>
      <c r="AQ9" s="491"/>
      <c r="AR9" s="491"/>
      <c r="AS9" s="491"/>
      <c r="AT9" s="491"/>
      <c r="AU9" s="491"/>
      <c r="AV9" s="491"/>
    </row>
    <row r="10" spans="1:71" ht="18" customHeight="1" x14ac:dyDescent="0.25">
      <c r="D10" s="38"/>
      <c r="E10" s="38"/>
      <c r="F10" s="38"/>
      <c r="G10" s="38"/>
      <c r="H10" s="39"/>
      <c r="I10" s="38"/>
      <c r="J10" s="38"/>
      <c r="K10" s="38"/>
      <c r="L10" s="34"/>
      <c r="M10" s="34"/>
      <c r="N10" s="38"/>
      <c r="O10" s="40"/>
      <c r="P10" s="38"/>
      <c r="Q10" s="34"/>
      <c r="R10" s="34"/>
      <c r="S10" s="38"/>
      <c r="T10" s="38"/>
      <c r="U10" s="38"/>
      <c r="V10" s="34"/>
      <c r="W10" s="479"/>
      <c r="X10" s="70"/>
      <c r="Y10" s="70"/>
      <c r="Z10" s="70"/>
      <c r="AA10" s="30"/>
      <c r="AB10" s="30"/>
      <c r="AC10" s="70"/>
      <c r="AD10" s="70"/>
      <c r="AE10" s="70"/>
      <c r="AF10" s="30"/>
      <c r="AG10" s="30"/>
      <c r="AH10" s="70"/>
      <c r="AI10" s="70"/>
      <c r="AJ10" s="70"/>
      <c r="AK10" s="30"/>
      <c r="AL10" s="30"/>
      <c r="AM10" s="70"/>
      <c r="AN10" s="70"/>
      <c r="AO10" s="70"/>
      <c r="AP10" s="30"/>
      <c r="AQ10" s="489"/>
      <c r="AR10" s="70"/>
      <c r="AS10" s="70"/>
      <c r="AT10" s="70"/>
      <c r="AU10" s="30"/>
      <c r="AV10" s="489"/>
    </row>
    <row r="11" spans="1:71" ht="15.75" x14ac:dyDescent="0.25">
      <c r="A11" s="755"/>
      <c r="B11" s="691" t="s">
        <v>106</v>
      </c>
      <c r="C11" s="692"/>
      <c r="D11" s="89" t="s">
        <v>116</v>
      </c>
      <c r="E11" s="89" t="s">
        <v>117</v>
      </c>
      <c r="F11" s="89" t="s">
        <v>118</v>
      </c>
      <c r="G11" s="89" t="s">
        <v>119</v>
      </c>
      <c r="H11" s="396" t="s">
        <v>119</v>
      </c>
      <c r="I11" s="89" t="s">
        <v>120</v>
      </c>
      <c r="J11" s="89" t="s">
        <v>121</v>
      </c>
      <c r="K11" s="89" t="s">
        <v>122</v>
      </c>
      <c r="L11" s="89" t="s">
        <v>123</v>
      </c>
      <c r="M11" s="396" t="s">
        <v>123</v>
      </c>
      <c r="N11" s="89" t="s">
        <v>124</v>
      </c>
      <c r="O11" s="89" t="s">
        <v>125</v>
      </c>
      <c r="P11" s="89" t="s">
        <v>126</v>
      </c>
      <c r="Q11" s="89" t="s">
        <v>127</v>
      </c>
      <c r="R11" s="396" t="s">
        <v>127</v>
      </c>
      <c r="S11" s="89" t="s">
        <v>128</v>
      </c>
      <c r="T11" s="89" t="s">
        <v>129</v>
      </c>
      <c r="U11" s="89" t="s">
        <v>130</v>
      </c>
      <c r="V11" s="89" t="s">
        <v>131</v>
      </c>
      <c r="W11" s="396" t="s">
        <v>131</v>
      </c>
      <c r="X11" s="91" t="s">
        <v>132</v>
      </c>
      <c r="Y11" s="91" t="s">
        <v>133</v>
      </c>
      <c r="Z11" s="91" t="s">
        <v>134</v>
      </c>
      <c r="AA11" s="91" t="s">
        <v>135</v>
      </c>
      <c r="AB11" s="400" t="s">
        <v>135</v>
      </c>
      <c r="AC11" s="91" t="s">
        <v>136</v>
      </c>
      <c r="AD11" s="91" t="s">
        <v>137</v>
      </c>
      <c r="AE11" s="91" t="s">
        <v>138</v>
      </c>
      <c r="AF11" s="91" t="s">
        <v>139</v>
      </c>
      <c r="AG11" s="400" t="s">
        <v>139</v>
      </c>
      <c r="AH11" s="91" t="s">
        <v>140</v>
      </c>
      <c r="AI11" s="91" t="s">
        <v>141</v>
      </c>
      <c r="AJ11" s="91" t="s">
        <v>142</v>
      </c>
      <c r="AK11" s="91" t="s">
        <v>143</v>
      </c>
      <c r="AL11" s="400" t="s">
        <v>143</v>
      </c>
      <c r="AM11" s="91" t="s">
        <v>144</v>
      </c>
      <c r="AN11" s="91" t="s">
        <v>145</v>
      </c>
      <c r="AO11" s="91" t="s">
        <v>146</v>
      </c>
      <c r="AP11" s="91" t="s">
        <v>147</v>
      </c>
      <c r="AQ11" s="400" t="s">
        <v>147</v>
      </c>
      <c r="AR11" s="91" t="s">
        <v>777</v>
      </c>
      <c r="AS11" s="91" t="s">
        <v>778</v>
      </c>
      <c r="AT11" s="91" t="s">
        <v>779</v>
      </c>
      <c r="AU11" s="91" t="s">
        <v>780</v>
      </c>
      <c r="AV11" s="400" t="s">
        <v>780</v>
      </c>
    </row>
    <row r="12" spans="1:71" ht="17.45" customHeight="1" x14ac:dyDescent="0.4">
      <c r="A12" s="756"/>
      <c r="B12" s="715" t="s">
        <v>3</v>
      </c>
      <c r="C12" s="716"/>
      <c r="D12" s="90" t="s">
        <v>69</v>
      </c>
      <c r="E12" s="90" t="s">
        <v>72</v>
      </c>
      <c r="F12" s="90" t="s">
        <v>73</v>
      </c>
      <c r="G12" s="90" t="s">
        <v>76</v>
      </c>
      <c r="H12" s="397" t="s">
        <v>77</v>
      </c>
      <c r="I12" s="90" t="s">
        <v>78</v>
      </c>
      <c r="J12" s="90" t="s">
        <v>89</v>
      </c>
      <c r="K12" s="90" t="s">
        <v>105</v>
      </c>
      <c r="L12" s="90" t="s">
        <v>109</v>
      </c>
      <c r="M12" s="397" t="s">
        <v>110</v>
      </c>
      <c r="N12" s="90" t="s">
        <v>111</v>
      </c>
      <c r="O12" s="90" t="s">
        <v>112</v>
      </c>
      <c r="P12" s="90" t="s">
        <v>113</v>
      </c>
      <c r="Q12" s="90" t="s">
        <v>114</v>
      </c>
      <c r="R12" s="397" t="s">
        <v>115</v>
      </c>
      <c r="S12" s="90" t="s">
        <v>492</v>
      </c>
      <c r="T12" s="90" t="s">
        <v>734</v>
      </c>
      <c r="U12" s="90" t="s">
        <v>753</v>
      </c>
      <c r="V12" s="90" t="s">
        <v>771</v>
      </c>
      <c r="W12" s="397" t="s">
        <v>773</v>
      </c>
      <c r="X12" s="88" t="s">
        <v>371</v>
      </c>
      <c r="Y12" s="88" t="s">
        <v>372</v>
      </c>
      <c r="Z12" s="88" t="s">
        <v>373</v>
      </c>
      <c r="AA12" s="88" t="s">
        <v>374</v>
      </c>
      <c r="AB12" s="401" t="s">
        <v>375</v>
      </c>
      <c r="AC12" s="88" t="s">
        <v>376</v>
      </c>
      <c r="AD12" s="88" t="s">
        <v>377</v>
      </c>
      <c r="AE12" s="88" t="s">
        <v>378</v>
      </c>
      <c r="AF12" s="88" t="s">
        <v>379</v>
      </c>
      <c r="AG12" s="401" t="s">
        <v>380</v>
      </c>
      <c r="AH12" s="88" t="s">
        <v>381</v>
      </c>
      <c r="AI12" s="88" t="s">
        <v>382</v>
      </c>
      <c r="AJ12" s="88" t="s">
        <v>383</v>
      </c>
      <c r="AK12" s="88" t="s">
        <v>384</v>
      </c>
      <c r="AL12" s="401" t="s">
        <v>385</v>
      </c>
      <c r="AM12" s="88" t="s">
        <v>386</v>
      </c>
      <c r="AN12" s="88" t="s">
        <v>387</v>
      </c>
      <c r="AO12" s="88" t="s">
        <v>388</v>
      </c>
      <c r="AP12" s="88" t="s">
        <v>389</v>
      </c>
      <c r="AQ12" s="401" t="s">
        <v>390</v>
      </c>
      <c r="AR12" s="88" t="s">
        <v>781</v>
      </c>
      <c r="AS12" s="88" t="s">
        <v>782</v>
      </c>
      <c r="AT12" s="88" t="s">
        <v>783</v>
      </c>
      <c r="AU12" s="88" t="s">
        <v>784</v>
      </c>
      <c r="AV12" s="401" t="s">
        <v>785</v>
      </c>
    </row>
    <row r="13" spans="1:71" x14ac:dyDescent="0.25">
      <c r="B13" s="701" t="s">
        <v>148</v>
      </c>
      <c r="C13" s="702"/>
      <c r="D13" s="99">
        <v>12279</v>
      </c>
      <c r="E13" s="99">
        <v>12453</v>
      </c>
      <c r="F13" s="99">
        <v>12654</v>
      </c>
      <c r="G13" s="99">
        <v>12979</v>
      </c>
      <c r="H13" s="111">
        <f>SUM(D13:G13)</f>
        <v>50365</v>
      </c>
      <c r="I13" s="99">
        <v>14663</v>
      </c>
      <c r="J13" s="99">
        <v>14931</v>
      </c>
      <c r="K13" s="99">
        <v>14997</v>
      </c>
      <c r="L13" s="99">
        <v>15728</v>
      </c>
      <c r="M13" s="111">
        <f>SUM(I13:L13)</f>
        <v>60319</v>
      </c>
      <c r="N13" s="99">
        <v>15297</v>
      </c>
      <c r="O13" s="99">
        <v>16313</v>
      </c>
      <c r="P13" s="99">
        <v>16526</v>
      </c>
      <c r="Q13" s="99">
        <f>Q54+Q57+Q58+Q148+Q165+Q174+Q177</f>
        <v>17314.125785999997</v>
      </c>
      <c r="R13" s="111">
        <f>SUM(N13:Q13)</f>
        <v>65450.125785999997</v>
      </c>
      <c r="S13" s="99">
        <v>17052</v>
      </c>
      <c r="T13" s="99">
        <v>17824</v>
      </c>
      <c r="U13" s="99">
        <v>17010</v>
      </c>
      <c r="V13" s="99">
        <v>17807</v>
      </c>
      <c r="W13" s="111">
        <f>SUM(S13:V13)</f>
        <v>69693</v>
      </c>
      <c r="X13" s="838">
        <f>X54+X57+X58+X148+X165+X174+X177</f>
        <v>17100</v>
      </c>
      <c r="Y13" s="838">
        <f>Y54+Y57+Y58+Y148+Y165+Y174+Y177</f>
        <v>18100.000000000004</v>
      </c>
      <c r="Z13" s="838">
        <f>Z54+Z57+Z58+Z148+Z165+Z174+Z177</f>
        <v>17800</v>
      </c>
      <c r="AA13" s="838">
        <f>AA54+AA57+AA58+AA148+AA165+AA174+AA177</f>
        <v>18300.000000000004</v>
      </c>
      <c r="AB13" s="111">
        <f>SUM(X13:AA13)</f>
        <v>71300</v>
      </c>
      <c r="AC13" s="99">
        <f>AC54+AC57+AC58+AC148+AC165+AC174+AC177</f>
        <v>18007.025884148388</v>
      </c>
      <c r="AD13" s="99">
        <f>AD54+AD57+AD58+AD148+AD165+AD174+AD177</f>
        <v>18871.911462269698</v>
      </c>
      <c r="AE13" s="99">
        <f>AE54+AE57+AE58+AE148+AE165+AE174+AE177</f>
        <v>18442.270438704199</v>
      </c>
      <c r="AF13" s="99">
        <f>AF54+AF57+AF58+AF148+AF165+AF174+AF177</f>
        <v>19578.792210337204</v>
      </c>
      <c r="AG13" s="843">
        <f>SUM(AC13:AF13)</f>
        <v>74899.999995459482</v>
      </c>
      <c r="AH13" s="99">
        <f>AH54+AH57+AH58+AH148+AH165+AH174+AH177</f>
        <v>18795.121922933246</v>
      </c>
      <c r="AI13" s="99">
        <f>AI54+AI57+AI58+AI148+AI165+AI174+AI177</f>
        <v>19730.659175158224</v>
      </c>
      <c r="AJ13" s="99">
        <f>AJ54+AJ57+AJ58+AJ148+AJ165+AJ174+AJ177</f>
        <v>19301.520987515898</v>
      </c>
      <c r="AK13" s="99">
        <f>AK54+AK57+AK58+AK148+AK165+AK174+AK177</f>
        <v>20472.697914354369</v>
      </c>
      <c r="AL13" s="843">
        <f>SUM(AH13:AK13)</f>
        <v>78299.999999961728</v>
      </c>
      <c r="AM13" s="99">
        <f>AM54+AM57+AM58+AM148+AM165+AM174+AM177</f>
        <v>19567.276966827012</v>
      </c>
      <c r="AN13" s="99">
        <f>AN54+AN57+AN58+AN148+AN165+AN174+AN177</f>
        <v>20534.430999674922</v>
      </c>
      <c r="AO13" s="99">
        <f>AO54+AO57+AO58+AO148+AO165+AO174+AO177</f>
        <v>20072.68525672724</v>
      </c>
      <c r="AP13" s="99">
        <f>AP54+AP57+AP58+AP148+AP165+AP174+AP177</f>
        <v>21253.620737644706</v>
      </c>
      <c r="AQ13" s="93">
        <f>SUM(AM13:AP13)</f>
        <v>81428.013960873883</v>
      </c>
      <c r="AR13" s="99">
        <f>AR54+AR57+AR58+AR148+AR165+AR174+AR177</f>
        <v>20263.724682427051</v>
      </c>
      <c r="AS13" s="99">
        <f>AS54+AS57+AS58+AS148+AS165+AS174+AS177</f>
        <v>21242.962875767789</v>
      </c>
      <c r="AT13" s="99">
        <f>AT54+AT57+AT58+AT148+AT165+AT174+AT177</f>
        <v>20742.352442494612</v>
      </c>
      <c r="AU13" s="99">
        <f>AU54+AU57+AU58+AU148+AU165+AU174+AU177</f>
        <v>21924.205598651159</v>
      </c>
      <c r="AV13" s="93">
        <f>SUM(AR13:AU13)</f>
        <v>84173.245599340604</v>
      </c>
    </row>
    <row r="14" spans="1:71" x14ac:dyDescent="0.25">
      <c r="B14" s="94" t="s">
        <v>149</v>
      </c>
      <c r="C14" s="283"/>
      <c r="D14" s="41"/>
      <c r="E14" s="41"/>
      <c r="F14" s="41"/>
      <c r="G14" s="41"/>
      <c r="H14" s="111"/>
      <c r="I14" s="41"/>
      <c r="J14" s="41"/>
      <c r="K14" s="41"/>
      <c r="L14" s="41"/>
      <c r="M14" s="111"/>
      <c r="N14" s="41"/>
      <c r="O14" s="41"/>
      <c r="P14" s="41"/>
      <c r="Q14" s="58"/>
      <c r="R14" s="54"/>
      <c r="S14" s="138"/>
      <c r="T14" s="138"/>
      <c r="U14" s="138"/>
      <c r="V14" s="138"/>
      <c r="W14" s="413"/>
      <c r="X14" s="138"/>
      <c r="Y14" s="138"/>
      <c r="Z14" s="138"/>
      <c r="AA14" s="138"/>
      <c r="AB14" s="111"/>
      <c r="AC14" s="138"/>
      <c r="AD14" s="138"/>
      <c r="AE14" s="138"/>
      <c r="AF14" s="138"/>
      <c r="AG14" s="93"/>
      <c r="AH14" s="138"/>
      <c r="AI14" s="138"/>
      <c r="AJ14" s="138"/>
      <c r="AK14" s="138"/>
      <c r="AL14" s="93"/>
      <c r="AM14" s="138"/>
      <c r="AN14" s="138"/>
      <c r="AO14" s="138"/>
      <c r="AP14" s="138"/>
      <c r="AQ14" s="93"/>
      <c r="AR14" s="138"/>
      <c r="AS14" s="138"/>
      <c r="AT14" s="138"/>
      <c r="AU14" s="138"/>
      <c r="AV14" s="93"/>
    </row>
    <row r="15" spans="1:71" outlineLevel="1" x14ac:dyDescent="0.25">
      <c r="A15" s="228"/>
      <c r="B15" s="299" t="s">
        <v>150</v>
      </c>
      <c r="C15" s="283"/>
      <c r="D15" s="99">
        <v>4525</v>
      </c>
      <c r="E15" s="99">
        <v>4570</v>
      </c>
      <c r="F15" s="99">
        <v>4712</v>
      </c>
      <c r="G15" s="99">
        <v>4774</v>
      </c>
      <c r="H15" s="111">
        <f t="shared" ref="H15:H23" si="0">SUM(D15:G15)</f>
        <v>18581</v>
      </c>
      <c r="I15" s="99">
        <v>5311</v>
      </c>
      <c r="J15" s="99">
        <v>5353</v>
      </c>
      <c r="K15" s="99">
        <v>5395</v>
      </c>
      <c r="L15" s="99">
        <v>5483</v>
      </c>
      <c r="M15" s="111">
        <f t="shared" ref="M15:M23" si="1">SUM(I15:L15)</f>
        <v>21542</v>
      </c>
      <c r="N15" s="99">
        <v>5518</v>
      </c>
      <c r="O15" s="99">
        <v>5742</v>
      </c>
      <c r="P15" s="99">
        <v>5981</v>
      </c>
      <c r="Q15" s="138">
        <v>5966</v>
      </c>
      <c r="R15" s="111">
        <f t="shared" ref="R15:R23" si="2">SUM(N15:Q15)</f>
        <v>23207</v>
      </c>
      <c r="S15" s="138">
        <v>6260</v>
      </c>
      <c r="T15" s="138">
        <v>6260</v>
      </c>
      <c r="U15" s="138">
        <v>6069</v>
      </c>
      <c r="V15" s="138">
        <v>6187</v>
      </c>
      <c r="W15" s="93">
        <f t="shared" ref="W15:W23" si="3">SUM(S15:V15)</f>
        <v>24776</v>
      </c>
      <c r="X15" s="138">
        <f>(X70+X152+X169+X179+X183)*(S15/(S15+S16+S17+S20+S23))</f>
        <v>6351.6744054831897</v>
      </c>
      <c r="Y15" s="138">
        <f>(Y70+Y152+Y169+Y179+Y183)*(T15/(T15+T16+T17+T20+T23))</f>
        <v>6415.9726750954442</v>
      </c>
      <c r="Z15" s="138">
        <f>(Z70+Z152+Z169+Z179+Z183)*(U15/(U15+U16+U17+U20+U23))</f>
        <v>6350.4856224463692</v>
      </c>
      <c r="AA15" s="138">
        <f>(AA70+AA152+AA169+AA179+AA183)*(V15/(V15+V16+V17+V20+V23))</f>
        <v>6319.8822673149498</v>
      </c>
      <c r="AB15" s="111">
        <f t="shared" ref="AB15:AB23" si="4">SUM(X15:AA15)</f>
        <v>25438.014970339951</v>
      </c>
      <c r="AC15" s="138">
        <f>(AC70+AC152+AC169+AC179+AC183)*(X15/(X15+X16+X17+X20+X23))</f>
        <v>6612.0818283836752</v>
      </c>
      <c r="AD15" s="138">
        <f>(AD70+AD152+AD169+AD179+AD183)*(Y15/(Y15+Y16+Y17+Y20+Y23))</f>
        <v>6609.0052271645236</v>
      </c>
      <c r="AE15" s="138">
        <f>(AE70+AE152+AE169+AE179+AE183)*(Z15/(Z15+Z16+Z17+Z20+Z23))</f>
        <v>6497.1364954502124</v>
      </c>
      <c r="AF15" s="138">
        <f>(AF70+AF152+AF169+AF179+AF183)*(AA15/(AA15+AA16+AA17+AA20+AA23))</f>
        <v>6675.4496788302395</v>
      </c>
      <c r="AG15" s="93">
        <f t="shared" ref="AG15:AG23" si="5">SUM(AC15:AF15)</f>
        <v>26393.673229828652</v>
      </c>
      <c r="AH15" s="138">
        <f>(AH70+AH152+AH169+AH179+AH183)*(AC15/(AC15+AC16+AC17+AC20+AC23))</f>
        <v>6834.0454574474925</v>
      </c>
      <c r="AI15" s="138">
        <f>(AI70+AI152+AI169+AI179+AI183)*(AD15/(AD15+AD16+AD17+AD20+AD23))</f>
        <v>6829.6935513173066</v>
      </c>
      <c r="AJ15" s="138">
        <f>(AJ70+AJ152+AJ169+AJ179+AJ183)*(AE15/(AE15+AE16+AE17+AE20+AE23))</f>
        <v>6719.6931334553656</v>
      </c>
      <c r="AK15" s="138">
        <f>(AK70+AK152+AK169+AK179+AK183)*(AF15/(AF15+AF16+AF17+AF20+AF23))</f>
        <v>6881.5732261794619</v>
      </c>
      <c r="AL15" s="93">
        <f t="shared" ref="AL15:AL23" si="6">SUM(AH15:AK15)</f>
        <v>27265.005368399627</v>
      </c>
      <c r="AM15" s="138">
        <f>(AM70+AM152+AM169+AM179+AM183)*(AH15/(AH15+AH16+AH17+AH20+AH23))</f>
        <v>7083.8223444807809</v>
      </c>
      <c r="AN15" s="138">
        <f>(AN70+AN152+AN169+AN179+AN183)*(AI15/(AI15+AI16+AI17+AI20+AI23))</f>
        <v>7078.0090542714415</v>
      </c>
      <c r="AO15" s="138">
        <f>(AO70+AO152+AO169+AO179+AO183)*(AJ15/(AJ15+AJ16+AJ17+AJ20+AJ23))</f>
        <v>6958.5127925165125</v>
      </c>
      <c r="AP15" s="138">
        <f>(AP70+AP152+AP169+AP179+AP183)*(AK15/(AK15+AK16+AK17+AK20+AK23))</f>
        <v>7111.7753927560198</v>
      </c>
      <c r="AQ15" s="93">
        <f t="shared" ref="AQ15:AQ23" si="7">SUM(AM15:AP15)</f>
        <v>28232.119584024753</v>
      </c>
      <c r="AR15" s="138">
        <f>(AR70+AR152+AR169+AR179+AR183)*(AM15/(AM15+AM16+AM17+AM20+AM23))</f>
        <v>7304.5705408675494</v>
      </c>
      <c r="AS15" s="138">
        <f>(AS70+AS152+AS169+AS179+AS183)*(AN15/(AN15+AN16+AN17+AN20+AN23))</f>
        <v>7292.0818853620358</v>
      </c>
      <c r="AT15" s="138">
        <f>(AT70+AT152+AT169+AT179+AT183)*(AO15/(AO15+AO16+AO17+AO20+AO23))</f>
        <v>7160.6576495874615</v>
      </c>
      <c r="AU15" s="138">
        <f>(AU70+AU152+AU169+AU179+AU183)*(AP15/(AP15+AP16+AP17+AP20+AP23))</f>
        <v>7304.4575457063575</v>
      </c>
      <c r="AV15" s="93">
        <f t="shared" ref="AV15:AV23" si="8">SUM(AR15:AU15)</f>
        <v>29061.767621523406</v>
      </c>
    </row>
    <row r="16" spans="1:71" outlineLevel="1" x14ac:dyDescent="0.25">
      <c r="B16" s="299" t="s">
        <v>151</v>
      </c>
      <c r="C16" s="283"/>
      <c r="D16" s="99">
        <v>2344</v>
      </c>
      <c r="E16" s="99">
        <v>2538</v>
      </c>
      <c r="F16" s="99">
        <v>2623</v>
      </c>
      <c r="G16" s="99">
        <v>2461</v>
      </c>
      <c r="H16" s="111">
        <f t="shared" si="0"/>
        <v>9966</v>
      </c>
      <c r="I16" s="99">
        <v>3240</v>
      </c>
      <c r="J16" s="99">
        <v>3431</v>
      </c>
      <c r="K16" s="99">
        <v>3498</v>
      </c>
      <c r="L16" s="99">
        <v>3461</v>
      </c>
      <c r="M16" s="111">
        <f t="shared" si="1"/>
        <v>13630</v>
      </c>
      <c r="N16" s="99">
        <v>3445</v>
      </c>
      <c r="O16" s="99">
        <v>3840</v>
      </c>
      <c r="P16" s="99">
        <v>3935</v>
      </c>
      <c r="Q16" s="99">
        <v>3881</v>
      </c>
      <c r="R16" s="111">
        <f t="shared" si="2"/>
        <v>15101</v>
      </c>
      <c r="S16" s="99">
        <v>3967</v>
      </c>
      <c r="T16" s="99">
        <v>4346</v>
      </c>
      <c r="U16" s="99">
        <v>4253</v>
      </c>
      <c r="V16" s="99">
        <v>4088</v>
      </c>
      <c r="W16" s="93">
        <f t="shared" si="3"/>
        <v>16654</v>
      </c>
      <c r="X16" s="99">
        <f>(X70+X152+X169+X179+X183)*(S16/(S15+S16+S17+S20+S23))</f>
        <v>4025.094627244699</v>
      </c>
      <c r="Y16" s="99">
        <f>(Y70+Y152+Y169+Y179+Y183)*(T16/(T15+T16+T17+T20+T23))</f>
        <v>4454.2839051061983</v>
      </c>
      <c r="Z16" s="99">
        <f>(Z70+Z152+Z169+Z179+Z183)*(U16/(U15+U16+U17+U20+U23))</f>
        <v>4450.2579258962614</v>
      </c>
      <c r="AA16" s="99">
        <f>(AA70+AA152+AA169+AA179+AA183)*(V16/(V15+V16+V17+V20+V23))</f>
        <v>4175.8006640994854</v>
      </c>
      <c r="AB16" s="111">
        <f t="shared" si="4"/>
        <v>17105.437122346644</v>
      </c>
      <c r="AC16" s="99">
        <f>(AC70+AC152+AC169+AC179+AC183)*(X16/(X15+X16+X17+X20+X23))</f>
        <v>4190.1163918846714</v>
      </c>
      <c r="AD16" s="99">
        <f>(AD70+AD152+AD169+AD179+AD183)*(Y16/(Y15+Y16+Y17+Y20+Y23))</f>
        <v>4588.2966002008015</v>
      </c>
      <c r="AE16" s="99">
        <f>(AE70+AE152+AE169+AE179+AE183)*(Z16/(Z15+Z16+Z17+Z20+Z23))</f>
        <v>4553.0271074558832</v>
      </c>
      <c r="AF16" s="99">
        <f>(AF70+AF152+AF169+AF179+AF183)*(AA16/(AA15+AA16+AA17+AA20+AA23))</f>
        <v>4410.7383686856347</v>
      </c>
      <c r="AG16" s="93">
        <f t="shared" si="5"/>
        <v>17742.17846822699</v>
      </c>
      <c r="AH16" s="99">
        <f>(AH70+AH152+AH169+AH179+AH183)*(AC16/(AC15+AC16+AC17+AC20+AC23))</f>
        <v>4330.776091005464</v>
      </c>
      <c r="AI16" s="99">
        <f>(AI70+AI152+AI169+AI179+AI183)*(AD16/(AD15+AD16+AD17+AD20+AD23))</f>
        <v>4741.5092929752418</v>
      </c>
      <c r="AJ16" s="99">
        <f>(AJ70+AJ152+AJ169+AJ179+AJ183)*(AE16/(AE15+AE16+AE17+AE20+AE23))</f>
        <v>4708.989108022025</v>
      </c>
      <c r="AK16" s="99">
        <f>(AK70+AK152+AK169+AK179+AK183)*(AF16/(AF15+AF16+AF17+AF20+AF23))</f>
        <v>4546.9324953324131</v>
      </c>
      <c r="AL16" s="93">
        <f t="shared" si="6"/>
        <v>18328.206987335147</v>
      </c>
      <c r="AM16" s="99">
        <f>(AM70+AM152+AM169+AM179+AM183)*(AH16/(AH15+AH16+AH17+AH20+AH23))</f>
        <v>4489.0612205359848</v>
      </c>
      <c r="AN16" s="99">
        <f>(AN70+AN152+AN169+AN179+AN183)*(AI16/(AI15+AI16+AI17+AI20+AI23))</f>
        <v>4913.9021325660833</v>
      </c>
      <c r="AO16" s="99">
        <f>(AO70+AO152+AO169+AO179+AO183)*(AJ16/(AJ15+AJ16+AJ17+AJ20+AJ23))</f>
        <v>4876.3478178567684</v>
      </c>
      <c r="AP16" s="99">
        <f>(AP70+AP152+AP169+AP179+AP183)*(AK16/(AK15+AK16+AK17+AK20+AK23))</f>
        <v>4699.0363351521919</v>
      </c>
      <c r="AQ16" s="93">
        <f t="shared" si="7"/>
        <v>18978.347506111029</v>
      </c>
      <c r="AR16" s="99">
        <f>(AR70+AR152+AR169+AR179+AR183)*(AM16/(AM15+AM16+AM17+AM20+AM23))</f>
        <v>4628.9506925913056</v>
      </c>
      <c r="AS16" s="99">
        <f>(AS70+AS152+AS169+AS179+AS183)*(AN16/(AN15+AN16+AN17+AN20+AN23))</f>
        <v>5062.5220245660394</v>
      </c>
      <c r="AT16" s="99">
        <f>(AT70+AT152+AT169+AT179+AT183)*(AO16/(AO15+AO16+AO17+AO20+AO23))</f>
        <v>5018.0057643261607</v>
      </c>
      <c r="AU16" s="99">
        <f>(AU70+AU152+AU169+AU179+AU183)*(AP16/(AP15+AP16+AP17+AP20+AP23))</f>
        <v>4826.3491913443659</v>
      </c>
      <c r="AV16" s="93">
        <f t="shared" si="8"/>
        <v>19535.827672827872</v>
      </c>
    </row>
    <row r="17" spans="1:48" outlineLevel="1" x14ac:dyDescent="0.25">
      <c r="B17" s="299" t="s">
        <v>152</v>
      </c>
      <c r="C17" s="283"/>
      <c r="D17" s="99">
        <v>695</v>
      </c>
      <c r="E17" s="99">
        <v>682</v>
      </c>
      <c r="F17" s="99">
        <v>744</v>
      </c>
      <c r="G17" s="99">
        <v>733</v>
      </c>
      <c r="H17" s="111">
        <f t="shared" si="0"/>
        <v>2854</v>
      </c>
      <c r="I17" s="99">
        <v>790</v>
      </c>
      <c r="J17" s="99">
        <v>802</v>
      </c>
      <c r="K17" s="99">
        <v>834</v>
      </c>
      <c r="L17" s="99">
        <v>814</v>
      </c>
      <c r="M17" s="111">
        <f t="shared" si="1"/>
        <v>3240</v>
      </c>
      <c r="N17" s="99">
        <v>818</v>
      </c>
      <c r="O17" s="99">
        <v>835</v>
      </c>
      <c r="P17" s="99">
        <v>873</v>
      </c>
      <c r="Q17" s="99">
        <v>835</v>
      </c>
      <c r="R17" s="111">
        <f t="shared" si="2"/>
        <v>3361</v>
      </c>
      <c r="S17" s="99">
        <v>823</v>
      </c>
      <c r="T17" s="99">
        <v>836</v>
      </c>
      <c r="U17" s="99">
        <v>874</v>
      </c>
      <c r="V17" s="99">
        <v>827</v>
      </c>
      <c r="W17" s="93">
        <f t="shared" si="3"/>
        <v>3360</v>
      </c>
      <c r="X17" s="99">
        <f>(X70+X152+X169+X179+X183)*(S17/(S15+S16+S17+S20+S23))</f>
        <v>835.05240187103288</v>
      </c>
      <c r="Y17" s="99">
        <f>(Y70+Y152+Y169+Y179+Y183)*(T17/(T15+T16+T17+T20+T23))</f>
        <v>856.82957769645236</v>
      </c>
      <c r="Z17" s="99">
        <f>(Z70+Z152+Z169+Z179+Z183)*(U17/(U15+U16+U17+U20+U23))</f>
        <v>914.53689800924815</v>
      </c>
      <c r="AA17" s="99">
        <f>(AA70+AA152+AA169+AA179+AA183)*(V17/(V15+V16+V17+V20+V23))</f>
        <v>844.76202280094765</v>
      </c>
      <c r="AB17" s="111">
        <f t="shared" si="4"/>
        <v>3451.1809003776812</v>
      </c>
      <c r="AC17" s="99">
        <f>(AC70+AC152+AC169+AC179+AC183)*(X17/(X15+X16+X17+X20+X23))</f>
        <v>869.28807424277409</v>
      </c>
      <c r="AD17" s="99">
        <f>(AD70+AD152+AD169+AD179+AD183)*(Y17/(Y15+Y16+Y17+Y20+Y23))</f>
        <v>882.60836580024625</v>
      </c>
      <c r="AE17" s="99">
        <f>(AE70+AE152+AE169+AE179+AE183)*(Z17/(Z15+Z16+Z17+Z20+Z23))</f>
        <v>935.65617021312983</v>
      </c>
      <c r="AF17" s="99">
        <f>(AF70+AF152+AF169+AF179+AF183)*(AA17/(AA15+AA16+AA17+AA20+AA23))</f>
        <v>892.28978251052342</v>
      </c>
      <c r="AG17" s="93">
        <f t="shared" si="5"/>
        <v>3579.8423927666736</v>
      </c>
      <c r="AH17" s="99">
        <f>(AH70+AH152+AH169+AH179+AH183)*(AC17/(AC15+AC16+AC17+AC20+AC23))</f>
        <v>898.46955454940689</v>
      </c>
      <c r="AI17" s="99">
        <f>(AI70+AI152+AI169+AI179+AI183)*(AD17/(AD15+AD16+AD17+AD20+AD23))</f>
        <v>912.0804806551547</v>
      </c>
      <c r="AJ17" s="99">
        <f>(AJ70+AJ152+AJ169+AJ179+AJ183)*(AE17/(AE15+AE16+AE17+AE20+AE23))</f>
        <v>967.7066730334468</v>
      </c>
      <c r="AK17" s="99">
        <f>(AK70+AK152+AK169+AK179+AK183)*(AF17/(AF15+AF16+AF17+AF20+AF23))</f>
        <v>919.84177437375388</v>
      </c>
      <c r="AL17" s="93">
        <f t="shared" si="6"/>
        <v>3698.0984826117619</v>
      </c>
      <c r="AM17" s="99">
        <f>(AM70+AM152+AM169+AM179+AM183)*(AH17/(AH15+AH16+AH17+AH20+AH23))</f>
        <v>931.30763410665884</v>
      </c>
      <c r="AN17" s="99">
        <f>(AN70+AN152+AN169+AN179+AN183)*(AI17/(AI15+AI16+AI17+AI20+AI23))</f>
        <v>945.24210373337473</v>
      </c>
      <c r="AO17" s="99">
        <f>(AO70+AO152+AO169+AO179+AO183)*(AJ17/(AJ15+AJ16+AJ17+AJ20+AJ23))</f>
        <v>1002.0992223858018</v>
      </c>
      <c r="AP17" s="99">
        <f>(AP70+AP152+AP169+AP179+AP183)*(AK17/(AK15+AK16+AK17+AK20+AK23))</f>
        <v>950.61229187154174</v>
      </c>
      <c r="AQ17" s="93">
        <f t="shared" si="7"/>
        <v>3829.2612520973771</v>
      </c>
      <c r="AR17" s="99">
        <f>(AR70+AR152+AR169+AR179+AR183)*(AM17/(AM15+AM16+AM17+AM20+AM23))</f>
        <v>960.32932190638883</v>
      </c>
      <c r="AS17" s="99">
        <f>(AS70+AS152+AS169+AS179+AS183)*(AN17/(AN15+AN16+AN17+AN20+AN23))</f>
        <v>973.83074379595246</v>
      </c>
      <c r="AT17" s="99">
        <f>(AT70+AT152+AT169+AT179+AT183)*(AO17/(AO15+AO16+AO17+AO20+AO23))</f>
        <v>1031.2102135013083</v>
      </c>
      <c r="AU17" s="99">
        <f>(AU70+AU152+AU169+AU179+AU183)*(AP17/(AP15+AP16+AP17+AP20+AP23))</f>
        <v>976.3676079358587</v>
      </c>
      <c r="AV17" s="93">
        <f t="shared" si="8"/>
        <v>3941.7378871395085</v>
      </c>
    </row>
    <row r="18" spans="1:48" outlineLevel="1" x14ac:dyDescent="0.25">
      <c r="B18" s="299" t="s">
        <v>153</v>
      </c>
      <c r="C18" s="283"/>
      <c r="D18" s="99">
        <v>648</v>
      </c>
      <c r="E18" s="99">
        <v>653</v>
      </c>
      <c r="F18" s="99">
        <v>663</v>
      </c>
      <c r="G18" s="99">
        <v>667</v>
      </c>
      <c r="H18" s="111">
        <f t="shared" si="0"/>
        <v>2631</v>
      </c>
      <c r="I18" s="99">
        <v>739</v>
      </c>
      <c r="J18" s="99">
        <v>740</v>
      </c>
      <c r="K18" s="99">
        <v>762</v>
      </c>
      <c r="L18" s="99">
        <v>754</v>
      </c>
      <c r="M18" s="111">
        <f t="shared" si="1"/>
        <v>2995</v>
      </c>
      <c r="N18" s="99">
        <v>751</v>
      </c>
      <c r="O18" s="99">
        <v>756</v>
      </c>
      <c r="P18" s="99">
        <v>786</v>
      </c>
      <c r="Q18" s="99">
        <v>802</v>
      </c>
      <c r="R18" s="111">
        <f t="shared" si="2"/>
        <v>3095</v>
      </c>
      <c r="S18" s="99">
        <v>808</v>
      </c>
      <c r="T18" s="99">
        <v>828</v>
      </c>
      <c r="U18" s="99">
        <v>851</v>
      </c>
      <c r="V18" s="99">
        <v>866</v>
      </c>
      <c r="W18" s="111">
        <f t="shared" si="3"/>
        <v>3353</v>
      </c>
      <c r="X18" s="99">
        <f>+X321</f>
        <v>885.79519842744958</v>
      </c>
      <c r="Y18" s="99">
        <f>+Y321</f>
        <v>906.45027778795793</v>
      </c>
      <c r="Z18" s="99">
        <f>+Z321</f>
        <v>917.01975307193845</v>
      </c>
      <c r="AA18" s="99">
        <f>+AA321</f>
        <v>939.98757989163221</v>
      </c>
      <c r="AB18" s="111">
        <f t="shared" si="4"/>
        <v>3649.2528091789782</v>
      </c>
      <c r="AC18" s="99">
        <f>+AC321</f>
        <v>973.70611974523081</v>
      </c>
      <c r="AD18" s="99">
        <f>+AD321</f>
        <v>996.28377574020885</v>
      </c>
      <c r="AE18" s="99">
        <f>+AE321</f>
        <v>1007.7383981490506</v>
      </c>
      <c r="AF18" s="99">
        <f>+AF321</f>
        <v>1031.6562513483832</v>
      </c>
      <c r="AG18" s="93">
        <f t="shared" si="5"/>
        <v>4009.3845449828736</v>
      </c>
      <c r="AH18" s="99">
        <f>+AH321</f>
        <v>1067.0265245276471</v>
      </c>
      <c r="AI18" s="99">
        <f>+AI321</f>
        <v>1090.8971646842717</v>
      </c>
      <c r="AJ18" s="99">
        <f>+AJ321</f>
        <v>1102.9036067070829</v>
      </c>
      <c r="AK18" s="99">
        <f>+AK321</f>
        <v>1127.892601451759</v>
      </c>
      <c r="AL18" s="93">
        <f t="shared" si="6"/>
        <v>4388.7198973707609</v>
      </c>
      <c r="AM18" s="99">
        <f>+AM321</f>
        <v>1164.787508674098</v>
      </c>
      <c r="AN18" s="99">
        <f>+AN321</f>
        <v>1189.6984323962929</v>
      </c>
      <c r="AO18" s="99">
        <f>+AO321</f>
        <v>1202.1771166029212</v>
      </c>
      <c r="AP18" s="99">
        <f>+AP321</f>
        <v>1228.1502199058589</v>
      </c>
      <c r="AQ18" s="93">
        <f t="shared" si="7"/>
        <v>4784.813277579171</v>
      </c>
      <c r="AR18" s="99">
        <f>+AR321</f>
        <v>1266.4317959744017</v>
      </c>
      <c r="AS18" s="99">
        <f>+AS321</f>
        <v>1292.2272148499605</v>
      </c>
      <c r="AT18" s="99">
        <f>+AT321</f>
        <v>1305.1196557139592</v>
      </c>
      <c r="AU18" s="99">
        <f>+AU321</f>
        <v>1331.9493981210237</v>
      </c>
      <c r="AV18" s="93">
        <f t="shared" si="8"/>
        <v>5195.7280646593454</v>
      </c>
    </row>
    <row r="19" spans="1:48" outlineLevel="1" x14ac:dyDescent="0.25">
      <c r="B19" s="299" t="s">
        <v>265</v>
      </c>
      <c r="C19" s="95"/>
      <c r="D19" s="99">
        <v>712</v>
      </c>
      <c r="E19" s="99">
        <v>615</v>
      </c>
      <c r="F19" s="99">
        <v>537</v>
      </c>
      <c r="G19" s="99">
        <v>535</v>
      </c>
      <c r="H19" s="111">
        <f t="shared" si="0"/>
        <v>2399</v>
      </c>
      <c r="I19" s="99">
        <v>650</v>
      </c>
      <c r="J19" s="99">
        <v>658</v>
      </c>
      <c r="K19" s="99">
        <v>735</v>
      </c>
      <c r="L19" s="99">
        <v>730</v>
      </c>
      <c r="M19" s="111">
        <f t="shared" si="1"/>
        <v>2773</v>
      </c>
      <c r="N19" s="99">
        <v>703</v>
      </c>
      <c r="O19" s="99">
        <v>818</v>
      </c>
      <c r="P19" s="99">
        <v>914</v>
      </c>
      <c r="Q19" s="99">
        <v>939</v>
      </c>
      <c r="R19" s="111">
        <f t="shared" si="2"/>
        <v>3374</v>
      </c>
      <c r="S19" s="99">
        <v>986</v>
      </c>
      <c r="T19" s="99">
        <v>1052</v>
      </c>
      <c r="U19" s="99">
        <v>907</v>
      </c>
      <c r="V19" s="99">
        <v>944</v>
      </c>
      <c r="W19" s="93">
        <f t="shared" si="3"/>
        <v>3889</v>
      </c>
      <c r="X19" s="99">
        <f>+X68+X150+X167+X181</f>
        <v>951.07937466156147</v>
      </c>
      <c r="Y19" s="99">
        <f>+Y68+Y150+Y167+Y181</f>
        <v>992.46177777980267</v>
      </c>
      <c r="Z19" s="99">
        <f>+Z68+Z150+Z167+Z181</f>
        <v>973.27701426422072</v>
      </c>
      <c r="AA19" s="99">
        <f>+AA68+AA150+AA167+AA181</f>
        <v>937.32293300961555</v>
      </c>
      <c r="AB19" s="111">
        <f t="shared" si="4"/>
        <v>3854.1410997152007</v>
      </c>
      <c r="AC19" s="99">
        <f>+AC68+AC150+AC167+AC181</f>
        <v>960.54051934803454</v>
      </c>
      <c r="AD19" s="99">
        <f>+AD68+AD150+AD167+AD181</f>
        <v>1008.3359857643532</v>
      </c>
      <c r="AE19" s="99">
        <f>+AE68+AE150+AE167+AE181</f>
        <v>991.87819384115619</v>
      </c>
      <c r="AF19" s="99">
        <f>+AF68+AF150+AF167+AF181</f>
        <v>963.37235231348257</v>
      </c>
      <c r="AG19" s="93">
        <f t="shared" si="5"/>
        <v>3924.1270512670267</v>
      </c>
      <c r="AH19" s="99">
        <f>+AH68+AH150+AH167+AH181</f>
        <v>1048.3646018940531</v>
      </c>
      <c r="AI19" s="99">
        <f>+AI68+AI150+AI167+AI181</f>
        <v>1104.0321757892279</v>
      </c>
      <c r="AJ19" s="99">
        <f>+AJ68+AJ150+AJ167+AJ181</f>
        <v>1087.2217063515041</v>
      </c>
      <c r="AK19" s="99">
        <f>+AK68+AK150+AK167+AK181</f>
        <v>1057.1252360869553</v>
      </c>
      <c r="AL19" s="93">
        <f t="shared" si="6"/>
        <v>4296.7437201217399</v>
      </c>
      <c r="AM19" s="99">
        <f>+AM68+AM150+AM167+AM181</f>
        <v>1110.597226608128</v>
      </c>
      <c r="AN19" s="99">
        <f>+AN68+AN150+AN167+AN181</f>
        <v>1172.1002166303181</v>
      </c>
      <c r="AO19" s="99">
        <f>+AO68+AO150+AO167+AO181</f>
        <v>1153.436813921049</v>
      </c>
      <c r="AP19" s="99">
        <f>+AP68+AP150+AP167+AP181</f>
        <v>1122.4999843514979</v>
      </c>
      <c r="AQ19" s="93">
        <f t="shared" si="7"/>
        <v>4558.634241510993</v>
      </c>
      <c r="AR19" s="99">
        <f>+AR68+AR150+AR167+AR181</f>
        <v>1177.9439962194729</v>
      </c>
      <c r="AS19" s="99">
        <f>+AS68+AS150+AS167+AS181</f>
        <v>1245.3423997388661</v>
      </c>
      <c r="AT19" s="99">
        <f>+AT68+AT150+AT167+AT181</f>
        <v>1224.4915380055288</v>
      </c>
      <c r="AU19" s="99">
        <f>+AU68+AU150+AU167+AU181</f>
        <v>1192.4920050583999</v>
      </c>
      <c r="AV19" s="93">
        <f t="shared" si="8"/>
        <v>4840.2699390222679</v>
      </c>
    </row>
    <row r="20" spans="1:48" outlineLevel="1" x14ac:dyDescent="0.25">
      <c r="B20" s="299" t="s">
        <v>155</v>
      </c>
      <c r="C20" s="95"/>
      <c r="D20" s="99">
        <v>548</v>
      </c>
      <c r="E20" s="99">
        <v>529</v>
      </c>
      <c r="F20" s="99">
        <v>504</v>
      </c>
      <c r="G20" s="99">
        <v>527</v>
      </c>
      <c r="H20" s="111">
        <f t="shared" si="0"/>
        <v>2108</v>
      </c>
      <c r="I20" s="99">
        <v>598</v>
      </c>
      <c r="J20" s="99">
        <v>579</v>
      </c>
      <c r="K20" s="99">
        <v>588</v>
      </c>
      <c r="L20" s="99">
        <v>609</v>
      </c>
      <c r="M20" s="111">
        <f t="shared" si="1"/>
        <v>2374</v>
      </c>
      <c r="N20" s="99">
        <v>675</v>
      </c>
      <c r="O20" s="99">
        <v>665</v>
      </c>
      <c r="P20" s="99">
        <v>628</v>
      </c>
      <c r="Q20" s="99">
        <v>654</v>
      </c>
      <c r="R20" s="111">
        <f t="shared" si="2"/>
        <v>2622</v>
      </c>
      <c r="S20" s="99">
        <v>735</v>
      </c>
      <c r="T20" s="99">
        <v>751</v>
      </c>
      <c r="U20" s="99">
        <v>658</v>
      </c>
      <c r="V20" s="99">
        <v>690</v>
      </c>
      <c r="W20" s="93">
        <f t="shared" si="3"/>
        <v>2834</v>
      </c>
      <c r="X20" s="99">
        <f>(X70+X152+X169+X179+X183)*(S20/(S15+S16+S17+S20+S23))</f>
        <v>745.76368818372919</v>
      </c>
      <c r="Y20" s="99">
        <f>(Y70+Y152+Y169+Y179+Y183)*(T20/(T15+T16+T17+T20+T23))</f>
        <v>769.71173785889437</v>
      </c>
      <c r="Z20" s="99">
        <f>(Z70+Z152+Z169+Z179+Z183)*(U20/(U15+U16+U17+U20+U23))</f>
        <v>688.51862573236303</v>
      </c>
      <c r="AA20" s="99">
        <f>(AA70+AA152+AA169+AA179+AA183)*(V20/(V15+V16+V17+V20+V23))</f>
        <v>704.81958371542191</v>
      </c>
      <c r="AB20" s="111">
        <f t="shared" si="4"/>
        <v>2908.8136354904082</v>
      </c>
      <c r="AC20" s="99">
        <f>(AC70+AC152+AC169+AC179+AC183)*(X20/(X15+X16+X17+X20+X23))</f>
        <v>776.33868112811535</v>
      </c>
      <c r="AD20" s="99">
        <f>(AD70+AD152+AD169+AD179+AD183)*(Y20/(Y15+Y16+Y17+Y20+Y23))</f>
        <v>792.86947693299635</v>
      </c>
      <c r="AE20" s="99">
        <f>(AE70+AE152+AE169+AE179+AE183)*(Z20/(Z15+Z16+Z17+Z20+Z23))</f>
        <v>704.41848970279125</v>
      </c>
      <c r="AF20" s="99">
        <f>(AF70+AF152+AF169+AF179+AF183)*(AA20/(AA15+AA16+AA17+AA20+AA23))</f>
        <v>744.47394187697842</v>
      </c>
      <c r="AG20" s="93">
        <f t="shared" si="5"/>
        <v>3018.1005896408815</v>
      </c>
      <c r="AH20" s="99">
        <f>(AH70+AH152+AH169+AH179+AH183)*(AC20/(AC15+AC16+AC17+AC20+AC23))</f>
        <v>802.39990594631115</v>
      </c>
      <c r="AI20" s="99">
        <f>(AI70+AI152+AI169+AI179+AI183)*(AD20/(AD15+AD16+AD17+AD20+AD23))</f>
        <v>819.3450250861498</v>
      </c>
      <c r="AJ20" s="99">
        <f>(AJ70+AJ152+AJ169+AJ179+AJ183)*(AE20/(AE15+AE16+AE17+AE20+AE23))</f>
        <v>728.54804445767513</v>
      </c>
      <c r="AK20" s="99">
        <f>(AK70+AK152+AK169+AK179+AK183)*(AF20/(AF15+AF16+AF17+AF20+AF23))</f>
        <v>767.46169808692889</v>
      </c>
      <c r="AL20" s="93">
        <f t="shared" si="6"/>
        <v>3117.7546735770648</v>
      </c>
      <c r="AM20" s="99">
        <f>(AM70+AM152+AM169+AM179+AM183)*(AH20/(AH15+AH16+AH17+AH20+AH23))</f>
        <v>831.72674491906946</v>
      </c>
      <c r="AN20" s="99">
        <f>(AN70+AN152+AN169+AN179+AN183)*(AI20/(AI15+AI16+AI17+AI20+AI23))</f>
        <v>849.13495203799562</v>
      </c>
      <c r="AO20" s="99">
        <f>(AO70+AO152+AO169+AO179+AO183)*(AJ20/(AJ15+AJ16+AJ17+AJ20+AJ23))</f>
        <v>754.44083332935656</v>
      </c>
      <c r="AP20" s="99">
        <f>(AP70+AP152+AP169+AP179+AP183)*(AK20/(AK15+AK16+AK17+AK20+AK23))</f>
        <v>793.13480216609901</v>
      </c>
      <c r="AQ20" s="93">
        <f t="shared" si="7"/>
        <v>3228.4373324525204</v>
      </c>
      <c r="AR20" s="99">
        <f>(AR70+AR152+AR169+AR179+AR183)*(AM20/(AM15+AM16+AM17+AM20+AM23))</f>
        <v>857.64526318492801</v>
      </c>
      <c r="AS20" s="99">
        <f>(AS70+AS152+AS169+AS179+AS183)*(AN20/(AN15+AN16+AN17+AN20+AN23))</f>
        <v>874.81685238129205</v>
      </c>
      <c r="AT20" s="99">
        <f>(AT70+AT152+AT169+AT179+AT183)*(AO20/(AO15+AO16+AO17+AO20+AO23))</f>
        <v>776.3573460913741</v>
      </c>
      <c r="AU20" s="99">
        <f>(AU70+AU152+AU169+AU179+AU183)*(AP20/(AP15+AP16+AP17+AP20+AP23))</f>
        <v>814.62351810851578</v>
      </c>
      <c r="AV20" s="93">
        <f t="shared" si="8"/>
        <v>3323.4429797661101</v>
      </c>
    </row>
    <row r="21" spans="1:48" outlineLevel="1" x14ac:dyDescent="0.25">
      <c r="B21" s="299" t="s">
        <v>156</v>
      </c>
      <c r="C21" s="95"/>
      <c r="D21" s="99"/>
      <c r="E21" s="99"/>
      <c r="F21" s="99"/>
      <c r="G21" s="99"/>
      <c r="H21" s="111">
        <f t="shared" si="0"/>
        <v>0</v>
      </c>
      <c r="I21" s="99"/>
      <c r="J21" s="99"/>
      <c r="K21" s="99">
        <v>0</v>
      </c>
      <c r="L21" s="99">
        <v>0</v>
      </c>
      <c r="M21" s="111">
        <f t="shared" si="1"/>
        <v>0</v>
      </c>
      <c r="N21" s="99">
        <v>0</v>
      </c>
      <c r="O21" s="99">
        <v>0</v>
      </c>
      <c r="P21" s="99">
        <v>0</v>
      </c>
      <c r="Q21" s="99">
        <v>380</v>
      </c>
      <c r="R21" s="111">
        <f t="shared" si="2"/>
        <v>380</v>
      </c>
      <c r="S21" s="99">
        <v>0</v>
      </c>
      <c r="T21" s="99">
        <v>0</v>
      </c>
      <c r="U21" s="99">
        <v>0</v>
      </c>
      <c r="V21" s="99">
        <f>316</f>
        <v>316</v>
      </c>
      <c r="W21" s="93">
        <f t="shared" si="3"/>
        <v>316</v>
      </c>
      <c r="X21" s="241">
        <v>0</v>
      </c>
      <c r="Y21" s="241">
        <v>0</v>
      </c>
      <c r="Z21" s="241">
        <v>0</v>
      </c>
      <c r="AA21" s="241">
        <v>0</v>
      </c>
      <c r="AB21" s="111">
        <f t="shared" si="4"/>
        <v>0</v>
      </c>
      <c r="AC21" s="241">
        <v>0</v>
      </c>
      <c r="AD21" s="241">
        <v>0</v>
      </c>
      <c r="AE21" s="241">
        <v>0</v>
      </c>
      <c r="AF21" s="241">
        <v>0</v>
      </c>
      <c r="AG21" s="93">
        <f t="shared" si="5"/>
        <v>0</v>
      </c>
      <c r="AH21" s="241">
        <v>0</v>
      </c>
      <c r="AI21" s="241">
        <v>0</v>
      </c>
      <c r="AJ21" s="241">
        <v>0</v>
      </c>
      <c r="AK21" s="241">
        <v>0</v>
      </c>
      <c r="AL21" s="93">
        <f t="shared" si="6"/>
        <v>0</v>
      </c>
      <c r="AM21" s="241">
        <v>0</v>
      </c>
      <c r="AN21" s="241">
        <v>0</v>
      </c>
      <c r="AO21" s="241">
        <v>0</v>
      </c>
      <c r="AP21" s="241">
        <v>0</v>
      </c>
      <c r="AQ21" s="93">
        <f t="shared" si="7"/>
        <v>0</v>
      </c>
      <c r="AR21" s="241">
        <v>0</v>
      </c>
      <c r="AS21" s="241">
        <v>0</v>
      </c>
      <c r="AT21" s="241">
        <v>0</v>
      </c>
      <c r="AU21" s="241">
        <v>0</v>
      </c>
      <c r="AV21" s="93">
        <f t="shared" si="8"/>
        <v>0</v>
      </c>
    </row>
    <row r="22" spans="1:48" outlineLevel="1" x14ac:dyDescent="0.25">
      <c r="B22" s="299" t="s">
        <v>772</v>
      </c>
      <c r="C22" s="95"/>
      <c r="D22" s="99">
        <v>0</v>
      </c>
      <c r="E22" s="99">
        <v>0</v>
      </c>
      <c r="F22" s="99">
        <v>0</v>
      </c>
      <c r="G22" s="99">
        <v>1498</v>
      </c>
      <c r="H22" s="111">
        <f t="shared" si="0"/>
        <v>1498</v>
      </c>
      <c r="I22" s="99">
        <v>0</v>
      </c>
      <c r="J22" s="99">
        <v>0</v>
      </c>
      <c r="K22" s="99">
        <v>0</v>
      </c>
      <c r="L22" s="99">
        <v>-24</v>
      </c>
      <c r="M22" s="111">
        <f t="shared" si="1"/>
        <v>-24</v>
      </c>
      <c r="N22" s="99">
        <v>0</v>
      </c>
      <c r="O22" s="99">
        <v>0</v>
      </c>
      <c r="P22" s="99">
        <v>0</v>
      </c>
      <c r="Q22" s="99">
        <v>-10</v>
      </c>
      <c r="R22" s="111">
        <f t="shared" si="2"/>
        <v>-10</v>
      </c>
      <c r="S22" s="99">
        <v>0</v>
      </c>
      <c r="T22" s="99">
        <f>+T211</f>
        <v>0</v>
      </c>
      <c r="U22" s="99">
        <f>+U211</f>
        <v>0</v>
      </c>
      <c r="V22" s="99">
        <v>0</v>
      </c>
      <c r="W22" s="93">
        <f t="shared" si="3"/>
        <v>0</v>
      </c>
      <c r="X22" s="99">
        <f>+X211</f>
        <v>0</v>
      </c>
      <c r="Y22" s="99">
        <f>+Y211</f>
        <v>0</v>
      </c>
      <c r="Z22" s="99">
        <f>+Z211</f>
        <v>0</v>
      </c>
      <c r="AA22" s="99">
        <v>0</v>
      </c>
      <c r="AB22" s="111">
        <f t="shared" si="4"/>
        <v>0</v>
      </c>
      <c r="AC22" s="99">
        <f>+AC211</f>
        <v>0</v>
      </c>
      <c r="AD22" s="99">
        <f>+AD211</f>
        <v>0</v>
      </c>
      <c r="AE22" s="99">
        <f>+AE211</f>
        <v>0</v>
      </c>
      <c r="AF22" s="99">
        <v>0</v>
      </c>
      <c r="AG22" s="93">
        <f t="shared" si="5"/>
        <v>0</v>
      </c>
      <c r="AH22" s="99">
        <f>+AH211</f>
        <v>0</v>
      </c>
      <c r="AI22" s="99">
        <f>+AI211</f>
        <v>0</v>
      </c>
      <c r="AJ22" s="99">
        <f>+AJ211</f>
        <v>0</v>
      </c>
      <c r="AK22" s="99">
        <v>0</v>
      </c>
      <c r="AL22" s="93">
        <f t="shared" si="6"/>
        <v>0</v>
      </c>
      <c r="AM22" s="99">
        <f>+AM211</f>
        <v>0</v>
      </c>
      <c r="AN22" s="99">
        <f>+AN211</f>
        <v>0</v>
      </c>
      <c r="AO22" s="99">
        <f>+AO211</f>
        <v>0</v>
      </c>
      <c r="AP22" s="99">
        <v>0</v>
      </c>
      <c r="AQ22" s="93">
        <f t="shared" si="7"/>
        <v>0</v>
      </c>
      <c r="AR22" s="99">
        <f>+AR211</f>
        <v>0</v>
      </c>
      <c r="AS22" s="99">
        <f>+AS211</f>
        <v>0</v>
      </c>
      <c r="AT22" s="99">
        <f>+AT211</f>
        <v>0</v>
      </c>
      <c r="AU22" s="99">
        <v>0</v>
      </c>
      <c r="AV22" s="93">
        <f t="shared" si="8"/>
        <v>0</v>
      </c>
    </row>
    <row r="23" spans="1:48" ht="17.25" customHeight="1" outlineLevel="1" x14ac:dyDescent="0.4">
      <c r="B23" s="299" t="s">
        <v>158</v>
      </c>
      <c r="C23" s="95"/>
      <c r="D23" s="100">
        <v>1663</v>
      </c>
      <c r="E23" s="100">
        <v>1729</v>
      </c>
      <c r="F23" s="100">
        <v>2007</v>
      </c>
      <c r="G23" s="100">
        <v>1852</v>
      </c>
      <c r="H23" s="152">
        <f t="shared" si="0"/>
        <v>7251</v>
      </c>
      <c r="I23" s="100">
        <f>2071+112</f>
        <v>2183</v>
      </c>
      <c r="J23" s="100">
        <f>2201+112</f>
        <v>2313</v>
      </c>
      <c r="K23" s="100">
        <f>2160+113</f>
        <v>2273</v>
      </c>
      <c r="L23" s="100">
        <f>2320+134</f>
        <v>2454</v>
      </c>
      <c r="M23" s="152">
        <f t="shared" si="1"/>
        <v>9223</v>
      </c>
      <c r="N23" s="100">
        <f>2270+146</f>
        <v>2416</v>
      </c>
      <c r="O23" s="100">
        <f>2395+147</f>
        <v>2542</v>
      </c>
      <c r="P23" s="100">
        <f>2408+143</f>
        <v>2551</v>
      </c>
      <c r="Q23" s="100">
        <f>2377+162</f>
        <v>2539</v>
      </c>
      <c r="R23" s="152">
        <f t="shared" si="2"/>
        <v>10048</v>
      </c>
      <c r="S23" s="100">
        <v>2402</v>
      </c>
      <c r="T23" s="100">
        <v>2583</v>
      </c>
      <c r="U23" s="100">
        <f>2483+4</f>
        <v>2487</v>
      </c>
      <c r="V23" s="100">
        <v>2573</v>
      </c>
      <c r="W23" s="98">
        <f t="shared" si="3"/>
        <v>10045</v>
      </c>
      <c r="X23" s="100">
        <f>(X70+X152+X169+X179+X183)*(S23/(S15+S16+S17+S20+S23))</f>
        <v>2437.1760258739014</v>
      </c>
      <c r="Y23" s="100">
        <f>(Y70+Y152+Y169+Y179+Y183)*(T23/(T15+T16+T17+T20+T23))</f>
        <v>2647.3574152989672</v>
      </c>
      <c r="Z23" s="100">
        <f>(Z70+Z152+Z169+Z179+Z183)*(U23/(U15+U16+U17+U20+U23))</f>
        <v>2602.3492738546911</v>
      </c>
      <c r="AA23" s="100">
        <f>(AA70+AA152+AA169+AA179+AA183)*(V23/(V15+V16+V17+V20+V23))</f>
        <v>2628.262012898233</v>
      </c>
      <c r="AB23" s="152">
        <f t="shared" si="4"/>
        <v>10315.144727925794</v>
      </c>
      <c r="AC23" s="100">
        <f>(AC70+AC152+AC169+AC179+AC183)*(X23/(X15+X16+X17+X20+X23))</f>
        <v>2537.0959347887524</v>
      </c>
      <c r="AD23" s="100">
        <f>(AD70+AD152+AD169+AD179+AD183)*(Y23/(Y15+Y16+Y17+Y20+Y23))</f>
        <v>2727.0064699306654</v>
      </c>
      <c r="AE23" s="100">
        <f>(AE70+AE152+AE169+AE179+AE183)*(Z23/(Z15+Z16+Z17+Z20+Z23))</f>
        <v>2662.4449603204275</v>
      </c>
      <c r="AF23" s="100">
        <f>(AF70+AF152+AF169+AF179+AF183)*(AA23/(AA15+AA16+AA17+AA20+AA23))</f>
        <v>2776.1325397818341</v>
      </c>
      <c r="AG23" s="98">
        <f t="shared" si="5"/>
        <v>10702.67990482168</v>
      </c>
      <c r="AH23" s="100">
        <f>(AH70+AH152+AH169+AH179+AH183)*(AC23/(AC15+AC16+AC17+AC20+AC23))</f>
        <v>2622.2647266435906</v>
      </c>
      <c r="AI23" s="100">
        <f>(AI70+AI152+AI169+AI179+AI183)*(AD23/(AD15+AD16+AD17+AD20+AD23))</f>
        <v>2818.0668439381157</v>
      </c>
      <c r="AJ23" s="100">
        <f>(AJ70+AJ152+AJ169+AJ179+AJ183)*(AE23/(AE15+AE16+AE17+AE20+AE23))</f>
        <v>2753.6458762404827</v>
      </c>
      <c r="AK23" s="100">
        <f>(AK70+AK152+AK169+AK179+AK183)*(AF23/(AF15+AF16+AF17+AF20+AF23))</f>
        <v>2861.8535495328524</v>
      </c>
      <c r="AL23" s="98">
        <f t="shared" si="6"/>
        <v>11055.83099635504</v>
      </c>
      <c r="AM23" s="100">
        <f>(AM70+AM152+AM169+AM179+AM183)*(AH23/(AH15+AH16+AH17+AH20+AH23))</f>
        <v>2718.1056344157887</v>
      </c>
      <c r="AN23" s="100">
        <f>(AN70+AN152+AN169+AN179+AN183)*(AI23/(AI15+AI16+AI17+AI20+AI23))</f>
        <v>2920.5267391666348</v>
      </c>
      <c r="AO23" s="100">
        <f>(AO70+AO152+AO169+AO179+AO183)*(AJ23/(AJ15+AJ16+AJ17+AJ20+AJ23))</f>
        <v>2851.5111739971267</v>
      </c>
      <c r="AP23" s="100">
        <f>(AP70+AP152+AP169+AP179+AP183)*(AK23/(AK15+AK16+AK17+AK20+AK23))</f>
        <v>2957.5881825701053</v>
      </c>
      <c r="AQ23" s="98">
        <f t="shared" si="7"/>
        <v>11447.731730149655</v>
      </c>
      <c r="AR23" s="100">
        <f>(AR70+AR152+AR169+AR179+AR183)*(AM23/(AM15+AM16+AM17+AM20+AM23))</f>
        <v>2802.8080573744173</v>
      </c>
      <c r="AS23" s="100">
        <f>(AS70+AS152+AS169+AS179+AS183)*(AN23/(AN15+AN16+AN17+AN20+AN23))</f>
        <v>3008.8574296949105</v>
      </c>
      <c r="AT23" s="100">
        <f>(AT70+AT152+AT169+AT179+AT183)*(AO23/(AO15+AO16+AO17+AO20+AO23))</f>
        <v>2934.3475983727158</v>
      </c>
      <c r="AU23" s="100">
        <f>(AU70+AU152+AU169+AU179+AU183)*(AP23/(AP15+AP16+AP17+AP20+AP23))</f>
        <v>3037.7192928887116</v>
      </c>
      <c r="AV23" s="98">
        <f t="shared" si="8"/>
        <v>11783.732378330755</v>
      </c>
    </row>
    <row r="24" spans="1:48" s="105" customFormat="1" ht="17.25" customHeight="1" x14ac:dyDescent="0.4">
      <c r="B24" s="291" t="s">
        <v>65</v>
      </c>
      <c r="C24" s="101"/>
      <c r="D24" s="103">
        <f t="shared" ref="D24:AQ24" si="9">SUM(D15:D23)</f>
        <v>11135</v>
      </c>
      <c r="E24" s="103">
        <f t="shared" si="9"/>
        <v>11316</v>
      </c>
      <c r="F24" s="103">
        <f t="shared" si="9"/>
        <v>11790</v>
      </c>
      <c r="G24" s="103">
        <f t="shared" si="9"/>
        <v>13047</v>
      </c>
      <c r="H24" s="104">
        <f t="shared" si="9"/>
        <v>47288</v>
      </c>
      <c r="I24" s="103">
        <f t="shared" si="9"/>
        <v>13511</v>
      </c>
      <c r="J24" s="103">
        <f t="shared" si="9"/>
        <v>13876</v>
      </c>
      <c r="K24" s="103">
        <f t="shared" si="9"/>
        <v>14085</v>
      </c>
      <c r="L24" s="103">
        <f t="shared" si="9"/>
        <v>14281</v>
      </c>
      <c r="M24" s="104">
        <f t="shared" si="9"/>
        <v>55753</v>
      </c>
      <c r="N24" s="103">
        <f t="shared" si="9"/>
        <v>14326</v>
      </c>
      <c r="O24" s="103">
        <f t="shared" si="9"/>
        <v>15198</v>
      </c>
      <c r="P24" s="103">
        <f t="shared" si="9"/>
        <v>15668</v>
      </c>
      <c r="Q24" s="103">
        <f t="shared" si="9"/>
        <v>15986</v>
      </c>
      <c r="R24" s="104">
        <f t="shared" si="9"/>
        <v>61178</v>
      </c>
      <c r="S24" s="103">
        <f>SUM(S15:S23)</f>
        <v>15981</v>
      </c>
      <c r="T24" s="103">
        <f t="shared" si="9"/>
        <v>16656</v>
      </c>
      <c r="U24" s="103">
        <f t="shared" si="9"/>
        <v>16099</v>
      </c>
      <c r="V24" s="103">
        <f t="shared" si="9"/>
        <v>16491</v>
      </c>
      <c r="W24" s="102">
        <f t="shared" si="9"/>
        <v>65227</v>
      </c>
      <c r="X24" s="103">
        <f t="shared" si="9"/>
        <v>16231.635721745564</v>
      </c>
      <c r="Y24" s="103">
        <f t="shared" si="9"/>
        <v>17043.067366623716</v>
      </c>
      <c r="Z24" s="103">
        <f t="shared" si="9"/>
        <v>16896.445113275091</v>
      </c>
      <c r="AA24" s="103">
        <f t="shared" si="9"/>
        <v>16550.837063730283</v>
      </c>
      <c r="AB24" s="104">
        <f t="shared" si="9"/>
        <v>66721.985265374649</v>
      </c>
      <c r="AC24" s="103">
        <f t="shared" si="9"/>
        <v>16919.167549521255</v>
      </c>
      <c r="AD24" s="103">
        <f t="shared" si="9"/>
        <v>17604.405901533795</v>
      </c>
      <c r="AE24" s="103">
        <f t="shared" si="9"/>
        <v>17352.29981513265</v>
      </c>
      <c r="AF24" s="103">
        <f t="shared" si="9"/>
        <v>17494.112915347076</v>
      </c>
      <c r="AG24" s="102">
        <f t="shared" si="9"/>
        <v>69369.986181534783</v>
      </c>
      <c r="AH24" s="103">
        <f t="shared" si="9"/>
        <v>17603.346862013968</v>
      </c>
      <c r="AI24" s="103">
        <f t="shared" si="9"/>
        <v>18315.624534445466</v>
      </c>
      <c r="AJ24" s="103">
        <f t="shared" si="9"/>
        <v>18068.708148267582</v>
      </c>
      <c r="AK24" s="103">
        <f t="shared" si="9"/>
        <v>18162.680581044122</v>
      </c>
      <c r="AL24" s="102">
        <f t="shared" si="9"/>
        <v>72150.360125771142</v>
      </c>
      <c r="AM24" s="103">
        <f t="shared" si="9"/>
        <v>18329.40831374051</v>
      </c>
      <c r="AN24" s="103">
        <f t="shared" si="9"/>
        <v>19068.613630802145</v>
      </c>
      <c r="AO24" s="103">
        <f t="shared" si="9"/>
        <v>18798.525770609536</v>
      </c>
      <c r="AP24" s="103">
        <f t="shared" si="9"/>
        <v>18862.797208773314</v>
      </c>
      <c r="AQ24" s="102">
        <f t="shared" si="9"/>
        <v>75059.344923925499</v>
      </c>
      <c r="AR24" s="103">
        <f t="shared" ref="AR24:AV24" si="10">SUM(AR15:AR23)</f>
        <v>18998.679668118464</v>
      </c>
      <c r="AS24" s="103">
        <f t="shared" si="10"/>
        <v>19749.678550389057</v>
      </c>
      <c r="AT24" s="103">
        <f t="shared" si="10"/>
        <v>19450.189765598509</v>
      </c>
      <c r="AU24" s="103">
        <f t="shared" si="10"/>
        <v>19483.958559163235</v>
      </c>
      <c r="AV24" s="102">
        <f t="shared" si="10"/>
        <v>77682.506543269265</v>
      </c>
    </row>
    <row r="25" spans="1:48" x14ac:dyDescent="0.25">
      <c r="A25" s="53"/>
      <c r="B25" s="291" t="s">
        <v>159</v>
      </c>
      <c r="C25" s="96"/>
      <c r="D25" s="108">
        <f t="shared" ref="D25:AQ25" si="11">D13-D24</f>
        <v>1144</v>
      </c>
      <c r="E25" s="108">
        <f t="shared" si="11"/>
        <v>1137</v>
      </c>
      <c r="F25" s="108">
        <f t="shared" si="11"/>
        <v>864</v>
      </c>
      <c r="G25" s="108">
        <f t="shared" si="11"/>
        <v>-68</v>
      </c>
      <c r="H25" s="109">
        <f t="shared" si="11"/>
        <v>3077</v>
      </c>
      <c r="I25" s="108">
        <f>I13-I24</f>
        <v>1152</v>
      </c>
      <c r="J25" s="108">
        <f t="shared" si="11"/>
        <v>1055</v>
      </c>
      <c r="K25" s="108">
        <f t="shared" si="11"/>
        <v>912</v>
      </c>
      <c r="L25" s="108">
        <f t="shared" si="11"/>
        <v>1447</v>
      </c>
      <c r="M25" s="109">
        <f t="shared" si="11"/>
        <v>4566</v>
      </c>
      <c r="N25" s="108">
        <f t="shared" si="11"/>
        <v>971</v>
      </c>
      <c r="O25" s="108">
        <f t="shared" si="11"/>
        <v>1115</v>
      </c>
      <c r="P25" s="108">
        <f t="shared" si="11"/>
        <v>858</v>
      </c>
      <c r="Q25" s="108">
        <f t="shared" si="11"/>
        <v>1328.1257859999969</v>
      </c>
      <c r="R25" s="109">
        <f t="shared" si="11"/>
        <v>4272.1257859999969</v>
      </c>
      <c r="S25" s="108">
        <f>S13-S24</f>
        <v>1071</v>
      </c>
      <c r="T25" s="108">
        <f t="shared" si="11"/>
        <v>1168</v>
      </c>
      <c r="U25" s="108">
        <f t="shared" si="11"/>
        <v>911</v>
      </c>
      <c r="V25" s="108">
        <f t="shared" si="11"/>
        <v>1316</v>
      </c>
      <c r="W25" s="109">
        <f t="shared" si="11"/>
        <v>4466</v>
      </c>
      <c r="X25" s="108">
        <f t="shared" si="11"/>
        <v>868.3642782544357</v>
      </c>
      <c r="Y25" s="108">
        <f t="shared" si="11"/>
        <v>1056.9326333762874</v>
      </c>
      <c r="Z25" s="108">
        <f t="shared" si="11"/>
        <v>903.55488672490901</v>
      </c>
      <c r="AA25" s="108">
        <f t="shared" si="11"/>
        <v>1749.1629362697204</v>
      </c>
      <c r="AB25" s="109">
        <f t="shared" si="11"/>
        <v>4578.0147346253507</v>
      </c>
      <c r="AC25" s="108">
        <f t="shared" si="11"/>
        <v>1087.8583346271334</v>
      </c>
      <c r="AD25" s="108">
        <f t="shared" si="11"/>
        <v>1267.5055607359027</v>
      </c>
      <c r="AE25" s="108">
        <f t="shared" si="11"/>
        <v>1089.9706235715494</v>
      </c>
      <c r="AF25" s="108">
        <f t="shared" si="11"/>
        <v>2084.6792949901283</v>
      </c>
      <c r="AG25" s="107">
        <f t="shared" si="11"/>
        <v>5530.0138139246992</v>
      </c>
      <c r="AH25" s="108">
        <f t="shared" si="11"/>
        <v>1191.7750609192772</v>
      </c>
      <c r="AI25" s="108">
        <f t="shared" si="11"/>
        <v>1415.0346407127581</v>
      </c>
      <c r="AJ25" s="108">
        <f t="shared" si="11"/>
        <v>1232.8128392483159</v>
      </c>
      <c r="AK25" s="108">
        <f t="shared" si="11"/>
        <v>2310.0173333102466</v>
      </c>
      <c r="AL25" s="107">
        <f t="shared" si="11"/>
        <v>6149.6398741905869</v>
      </c>
      <c r="AM25" s="108">
        <f t="shared" si="11"/>
        <v>1237.8686530865016</v>
      </c>
      <c r="AN25" s="108">
        <f t="shared" si="11"/>
        <v>1465.8173688727766</v>
      </c>
      <c r="AO25" s="108">
        <f t="shared" si="11"/>
        <v>1274.1594861177036</v>
      </c>
      <c r="AP25" s="108">
        <f t="shared" si="11"/>
        <v>2390.8235288713913</v>
      </c>
      <c r="AQ25" s="107">
        <f t="shared" si="11"/>
        <v>6368.669036948384</v>
      </c>
      <c r="AR25" s="108">
        <f t="shared" ref="AR25:AV25" si="12">AR13-AR24</f>
        <v>1265.0450143085873</v>
      </c>
      <c r="AS25" s="108">
        <f t="shared" si="12"/>
        <v>1493.2843253787323</v>
      </c>
      <c r="AT25" s="108">
        <f t="shared" si="12"/>
        <v>1292.1626768961032</v>
      </c>
      <c r="AU25" s="108">
        <f t="shared" si="12"/>
        <v>2440.2470394879238</v>
      </c>
      <c r="AV25" s="107">
        <f t="shared" si="12"/>
        <v>6490.7390560713393</v>
      </c>
    </row>
    <row r="26" spans="1:48" s="537" customFormat="1" ht="17.25" outlineLevel="1" x14ac:dyDescent="0.4">
      <c r="A26" s="527"/>
      <c r="B26" s="532" t="s">
        <v>349</v>
      </c>
      <c r="C26" s="533"/>
      <c r="D26" s="534">
        <f t="shared" ref="D26:T26" si="13">+D239+D241+D245+D251</f>
        <v>0</v>
      </c>
      <c r="E26" s="534">
        <f t="shared" si="13"/>
        <v>0</v>
      </c>
      <c r="F26" s="534">
        <f t="shared" si="13"/>
        <v>0</v>
      </c>
      <c r="G26" s="534">
        <f t="shared" si="13"/>
        <v>0</v>
      </c>
      <c r="H26" s="535">
        <f t="shared" si="13"/>
        <v>0</v>
      </c>
      <c r="I26" s="534">
        <f t="shared" si="13"/>
        <v>67.5</v>
      </c>
      <c r="J26" s="534">
        <f t="shared" si="13"/>
        <v>57.5</v>
      </c>
      <c r="K26" s="534">
        <f t="shared" si="13"/>
        <v>78</v>
      </c>
      <c r="L26" s="534">
        <f t="shared" si="13"/>
        <v>185</v>
      </c>
      <c r="M26" s="535">
        <f>+M239+M241+M245+M251</f>
        <v>388</v>
      </c>
      <c r="N26" s="534">
        <f t="shared" si="13"/>
        <v>119</v>
      </c>
      <c r="O26" s="534">
        <f t="shared" si="13"/>
        <v>122</v>
      </c>
      <c r="P26" s="534">
        <f t="shared" si="13"/>
        <v>106</v>
      </c>
      <c r="Q26" s="534">
        <f t="shared" si="13"/>
        <v>507</v>
      </c>
      <c r="R26" s="535">
        <f t="shared" si="13"/>
        <v>855</v>
      </c>
      <c r="S26" s="534">
        <f t="shared" si="13"/>
        <v>121</v>
      </c>
      <c r="T26" s="534">
        <f t="shared" si="13"/>
        <v>160</v>
      </c>
      <c r="U26" s="534">
        <f>+U239+U241+U245+U251+U247</f>
        <v>73</v>
      </c>
      <c r="V26" s="534">
        <f>+V239+V241+V245+V247</f>
        <v>400</v>
      </c>
      <c r="W26" s="535">
        <f>+W239+W241+W245+W247</f>
        <v>754</v>
      </c>
      <c r="X26" s="534">
        <f t="shared" ref="X26:AA26" si="14">+X239+X241+X245+X251+X247</f>
        <v>212.5</v>
      </c>
      <c r="Y26" s="534">
        <f t="shared" si="14"/>
        <v>162.5</v>
      </c>
      <c r="Z26" s="534">
        <f t="shared" si="14"/>
        <v>96.5</v>
      </c>
      <c r="AA26" s="534">
        <f>+AA239+AA241+AA245+AA247</f>
        <v>87.5</v>
      </c>
      <c r="AB26" s="536">
        <f>+AB239+AB241+AB245+AB247</f>
        <v>559</v>
      </c>
      <c r="AC26" s="534">
        <f t="shared" ref="AC26:AF26" si="15">+AC239+AC241+AC245+AC251+AC247</f>
        <v>75</v>
      </c>
      <c r="AD26" s="534">
        <f t="shared" si="15"/>
        <v>50</v>
      </c>
      <c r="AE26" s="534">
        <f t="shared" si="15"/>
        <v>34</v>
      </c>
      <c r="AF26" s="534">
        <f>+AF239+AF241+AF245+AF247</f>
        <v>0</v>
      </c>
      <c r="AG26" s="536">
        <f>+AG239+AG241+AG245+AG247</f>
        <v>159</v>
      </c>
      <c r="AH26" s="534">
        <f t="shared" ref="AH26:AK26" si="16">+AH239+AH241+AH245+AH251+AH247</f>
        <v>0</v>
      </c>
      <c r="AI26" s="534">
        <f t="shared" si="16"/>
        <v>0</v>
      </c>
      <c r="AJ26" s="534">
        <f t="shared" si="16"/>
        <v>0</v>
      </c>
      <c r="AK26" s="534">
        <f>+AK239+AK241+AK245+AK247</f>
        <v>0</v>
      </c>
      <c r="AL26" s="536">
        <f>+AL239+AL241+AL245+AL247</f>
        <v>0</v>
      </c>
      <c r="AM26" s="534">
        <f t="shared" ref="AM26:AP26" si="17">+AM239+AM241+AM245+AM251+AM247</f>
        <v>0</v>
      </c>
      <c r="AN26" s="534">
        <f t="shared" si="17"/>
        <v>0</v>
      </c>
      <c r="AO26" s="534">
        <f t="shared" si="17"/>
        <v>0</v>
      </c>
      <c r="AP26" s="534">
        <f>+AP239+AP241+AP245+AP247</f>
        <v>0</v>
      </c>
      <c r="AQ26" s="536">
        <f>+AQ239+AQ241+AQ245+AQ247</f>
        <v>0</v>
      </c>
      <c r="AR26" s="534">
        <f t="shared" ref="AR26:AU26" si="18">+AR239+AR241+AR245+AR251+AR247</f>
        <v>0</v>
      </c>
      <c r="AS26" s="534">
        <f t="shared" si="18"/>
        <v>0</v>
      </c>
      <c r="AT26" s="534">
        <f t="shared" si="18"/>
        <v>0</v>
      </c>
      <c r="AU26" s="534">
        <f>+AU239+AU241+AU245+AU247</f>
        <v>0</v>
      </c>
      <c r="AV26" s="536">
        <f>+AV239+AV241+AV245+AV247</f>
        <v>0</v>
      </c>
    </row>
    <row r="27" spans="1:48" s="537" customFormat="1" outlineLevel="1" x14ac:dyDescent="0.25">
      <c r="A27" s="527"/>
      <c r="B27" s="538" t="s">
        <v>350</v>
      </c>
      <c r="C27" s="539"/>
      <c r="D27" s="540">
        <f t="shared" ref="D27:AP27" si="19">+D25+D26</f>
        <v>1144</v>
      </c>
      <c r="E27" s="540">
        <f t="shared" si="19"/>
        <v>1137</v>
      </c>
      <c r="F27" s="540">
        <f t="shared" si="19"/>
        <v>864</v>
      </c>
      <c r="G27" s="540">
        <f t="shared" si="19"/>
        <v>-68</v>
      </c>
      <c r="H27" s="541">
        <f t="shared" si="19"/>
        <v>3077</v>
      </c>
      <c r="I27" s="540">
        <f t="shared" si="19"/>
        <v>1219.5</v>
      </c>
      <c r="J27" s="540">
        <f t="shared" si="19"/>
        <v>1112.5</v>
      </c>
      <c r="K27" s="540">
        <f t="shared" si="19"/>
        <v>990</v>
      </c>
      <c r="L27" s="540">
        <f t="shared" si="19"/>
        <v>1632</v>
      </c>
      <c r="M27" s="541">
        <f>+M25+M26</f>
        <v>4954</v>
      </c>
      <c r="N27" s="540">
        <f t="shared" si="19"/>
        <v>1090</v>
      </c>
      <c r="O27" s="540">
        <f t="shared" si="19"/>
        <v>1237</v>
      </c>
      <c r="P27" s="540">
        <f t="shared" si="19"/>
        <v>964</v>
      </c>
      <c r="Q27" s="540">
        <f t="shared" si="19"/>
        <v>1835.1257859999969</v>
      </c>
      <c r="R27" s="541">
        <f t="shared" si="19"/>
        <v>5127.1257859999969</v>
      </c>
      <c r="S27" s="540">
        <f>+S25+S26</f>
        <v>1192</v>
      </c>
      <c r="T27" s="540">
        <f t="shared" si="19"/>
        <v>1328</v>
      </c>
      <c r="U27" s="540">
        <f t="shared" si="19"/>
        <v>984</v>
      </c>
      <c r="V27" s="540">
        <f t="shared" si="19"/>
        <v>1716</v>
      </c>
      <c r="W27" s="541">
        <f t="shared" si="19"/>
        <v>5220</v>
      </c>
      <c r="X27" s="540">
        <f t="shared" si="19"/>
        <v>1080.8642782544357</v>
      </c>
      <c r="Y27" s="540">
        <f t="shared" si="19"/>
        <v>1219.4326333762874</v>
      </c>
      <c r="Z27" s="540">
        <f t="shared" si="19"/>
        <v>1000.054886724909</v>
      </c>
      <c r="AA27" s="540">
        <f t="shared" si="19"/>
        <v>1836.6629362697204</v>
      </c>
      <c r="AB27" s="542">
        <f t="shared" ref="AB27" si="20">+AB25+AB26</f>
        <v>5137.0147346253507</v>
      </c>
      <c r="AC27" s="540">
        <f t="shared" si="19"/>
        <v>1162.8583346271334</v>
      </c>
      <c r="AD27" s="540">
        <f t="shared" si="19"/>
        <v>1317.5055607359027</v>
      </c>
      <c r="AE27" s="540">
        <f t="shared" si="19"/>
        <v>1123.9706235715494</v>
      </c>
      <c r="AF27" s="540">
        <f t="shared" si="19"/>
        <v>2084.6792949901283</v>
      </c>
      <c r="AG27" s="542">
        <f t="shared" ref="AG27" si="21">+AG25+AG26</f>
        <v>5689.0138139246992</v>
      </c>
      <c r="AH27" s="540">
        <f t="shared" si="19"/>
        <v>1191.7750609192772</v>
      </c>
      <c r="AI27" s="540">
        <f t="shared" si="19"/>
        <v>1415.0346407127581</v>
      </c>
      <c r="AJ27" s="540">
        <f t="shared" si="19"/>
        <v>1232.8128392483159</v>
      </c>
      <c r="AK27" s="540">
        <f t="shared" si="19"/>
        <v>2310.0173333102466</v>
      </c>
      <c r="AL27" s="542">
        <f t="shared" ref="AL27" si="22">+AL25+AL26</f>
        <v>6149.6398741905869</v>
      </c>
      <c r="AM27" s="540">
        <f t="shared" si="19"/>
        <v>1237.8686530865016</v>
      </c>
      <c r="AN27" s="540">
        <f t="shared" si="19"/>
        <v>1465.8173688727766</v>
      </c>
      <c r="AO27" s="540">
        <f t="shared" si="19"/>
        <v>1274.1594861177036</v>
      </c>
      <c r="AP27" s="540">
        <f t="shared" si="19"/>
        <v>2390.8235288713913</v>
      </c>
      <c r="AQ27" s="542">
        <f t="shared" ref="AQ27:AU27" si="23">+AQ25+AQ26</f>
        <v>6368.669036948384</v>
      </c>
      <c r="AR27" s="540">
        <f t="shared" si="23"/>
        <v>1265.0450143085873</v>
      </c>
      <c r="AS27" s="540">
        <f t="shared" si="23"/>
        <v>1493.2843253787323</v>
      </c>
      <c r="AT27" s="540">
        <f t="shared" si="23"/>
        <v>1292.1626768961032</v>
      </c>
      <c r="AU27" s="540">
        <f t="shared" si="23"/>
        <v>2440.2470394879238</v>
      </c>
      <c r="AV27" s="542">
        <f t="shared" ref="AV27" si="24">+AV25+AV26</f>
        <v>6490.7390560713393</v>
      </c>
    </row>
    <row r="28" spans="1:48" x14ac:dyDescent="0.25">
      <c r="A28" s="53"/>
      <c r="B28" s="94" t="s">
        <v>160</v>
      </c>
      <c r="C28" s="96"/>
      <c r="D28" s="108"/>
      <c r="E28" s="108"/>
      <c r="F28" s="108"/>
      <c r="G28" s="108"/>
      <c r="H28" s="109"/>
      <c r="I28" s="108"/>
      <c r="J28" s="108"/>
      <c r="K28" s="108"/>
      <c r="L28" s="108"/>
      <c r="M28" s="109"/>
      <c r="N28" s="108"/>
      <c r="O28" s="108"/>
      <c r="P28" s="108"/>
      <c r="Q28" s="108"/>
      <c r="R28" s="109"/>
      <c r="S28" s="819"/>
      <c r="T28" s="819"/>
      <c r="U28" s="819"/>
      <c r="V28" s="819"/>
      <c r="W28" s="107"/>
      <c r="X28" s="108"/>
      <c r="Y28" s="108"/>
      <c r="Z28" s="108"/>
      <c r="AA28" s="108"/>
      <c r="AB28" s="109"/>
      <c r="AC28" s="108"/>
      <c r="AD28" s="108"/>
      <c r="AE28" s="108"/>
      <c r="AF28" s="108"/>
      <c r="AG28" s="107"/>
      <c r="AH28" s="108"/>
      <c r="AI28" s="108"/>
      <c r="AJ28" s="108"/>
      <c r="AK28" s="108"/>
      <c r="AL28" s="107"/>
      <c r="AM28" s="108"/>
      <c r="AN28" s="108"/>
      <c r="AO28" s="108"/>
      <c r="AP28" s="108"/>
      <c r="AQ28" s="107"/>
      <c r="AR28" s="108"/>
      <c r="AS28" s="108"/>
      <c r="AT28" s="108"/>
      <c r="AU28" s="108"/>
      <c r="AV28" s="107"/>
    </row>
    <row r="29" spans="1:48" outlineLevel="1" x14ac:dyDescent="0.25">
      <c r="A29" s="53"/>
      <c r="B29" s="743" t="s">
        <v>334</v>
      </c>
      <c r="C29" s="744"/>
      <c r="D29" s="99"/>
      <c r="E29" s="99"/>
      <c r="F29" s="99"/>
      <c r="G29" s="99"/>
      <c r="H29" s="111">
        <v>-336</v>
      </c>
      <c r="I29" s="99"/>
      <c r="J29" s="99"/>
      <c r="K29" s="99"/>
      <c r="L29" s="99"/>
      <c r="M29" s="111">
        <v>-512</v>
      </c>
      <c r="N29" s="99"/>
      <c r="O29" s="99"/>
      <c r="P29" s="99"/>
      <c r="Q29" s="99"/>
      <c r="R29" s="111">
        <v>-558</v>
      </c>
      <c r="S29" s="241">
        <f>-588/4</f>
        <v>-147</v>
      </c>
      <c r="T29" s="241">
        <f t="shared" ref="T29:V29" si="25">-588/4</f>
        <v>-147</v>
      </c>
      <c r="U29" s="241">
        <f t="shared" si="25"/>
        <v>-147</v>
      </c>
      <c r="V29" s="241">
        <f t="shared" si="25"/>
        <v>-147</v>
      </c>
      <c r="W29" s="93">
        <f>SUM(S29:V29)</f>
        <v>-588</v>
      </c>
      <c r="X29" s="99">
        <f>+(V271+V272+V277)*X231</f>
        <v>-143.59013251104258</v>
      </c>
      <c r="Y29" s="99">
        <f t="shared" ref="Y29:AA29" si="26">+(X271+X272+X277)*Y231</f>
        <v>-146.610984752062</v>
      </c>
      <c r="Z29" s="99">
        <f t="shared" si="26"/>
        <v>-150.76303098312238</v>
      </c>
      <c r="AA29" s="99">
        <f t="shared" si="26"/>
        <v>-153.95169988161811</v>
      </c>
      <c r="AB29" s="111">
        <f>SUM(X29:AA29)</f>
        <v>-594.91584812784504</v>
      </c>
      <c r="AC29" s="99">
        <f>+(AA271+AA272+AA277)*AC231</f>
        <v>-161.7726795225243</v>
      </c>
      <c r="AD29" s="99">
        <f t="shared" ref="AD29:AF29" si="27">+(AC271+AC272+AC277)*AD231</f>
        <v>-165.45331170851952</v>
      </c>
      <c r="AE29" s="99">
        <f t="shared" si="27"/>
        <v>-170.19502554734126</v>
      </c>
      <c r="AF29" s="99">
        <f t="shared" si="27"/>
        <v>-173.75414291681304</v>
      </c>
      <c r="AG29" s="93">
        <f>SUM(AC29:AF29)</f>
        <v>-671.1751596951982</v>
      </c>
      <c r="AH29" s="99">
        <f>+(AF271+AF272+AF277)*AH231</f>
        <v>-183.09492228251327</v>
      </c>
      <c r="AI29" s="99">
        <f t="shared" ref="AI29:AK29" si="28">+(AH271+AH272+AH277)*AI231</f>
        <v>-185.85425224005229</v>
      </c>
      <c r="AJ29" s="99">
        <f t="shared" si="28"/>
        <v>-189.92101689221249</v>
      </c>
      <c r="AK29" s="99">
        <f t="shared" si="28"/>
        <v>-192.7423496458797</v>
      </c>
      <c r="AL29" s="93">
        <f>SUM(AH29:AK29)</f>
        <v>-751.61254106065769</v>
      </c>
      <c r="AM29" s="99">
        <f>+(AK271+AK272+AK277)*AM231</f>
        <v>-201.79878904388218</v>
      </c>
      <c r="AN29" s="99">
        <f t="shared" ref="AN29:AP29" si="29">+(AM271+AM272+AM277)*AN231</f>
        <v>-204.02213541214758</v>
      </c>
      <c r="AO29" s="99">
        <f t="shared" si="29"/>
        <v>-207.56115370632506</v>
      </c>
      <c r="AP29" s="99">
        <f t="shared" si="29"/>
        <v>-209.83467769816767</v>
      </c>
      <c r="AQ29" s="93">
        <f>SUM(AM29:AP29)</f>
        <v>-823.21675586052243</v>
      </c>
      <c r="AR29" s="99">
        <f>+(AP271+AP272+AP277)*AR231</f>
        <v>-218.45812310697431</v>
      </c>
      <c r="AS29" s="99">
        <f t="shared" ref="AS29" si="30">+(AR271+AR272+AR277)*AS231</f>
        <v>-220.01232552853185</v>
      </c>
      <c r="AT29" s="99">
        <f t="shared" ref="AT29" si="31">+(AS271+AS272+AS277)*AT231</f>
        <v>-222.86272462864065</v>
      </c>
      <c r="AU29" s="99">
        <f t="shared" ref="AU29" si="32">+(AT271+AT272+AT277)*AU231</f>
        <v>-224.43027912152306</v>
      </c>
      <c r="AV29" s="93">
        <f>SUM(AR29:AU29)</f>
        <v>-885.76345238566989</v>
      </c>
    </row>
    <row r="30" spans="1:48" ht="17.25" outlineLevel="1" x14ac:dyDescent="0.4">
      <c r="A30" s="53"/>
      <c r="B30" s="299" t="s">
        <v>335</v>
      </c>
      <c r="C30" s="300"/>
      <c r="D30" s="99"/>
      <c r="E30" s="99"/>
      <c r="F30" s="99"/>
      <c r="G30" s="99"/>
      <c r="H30" s="152">
        <v>21</v>
      </c>
      <c r="I30" s="99"/>
      <c r="J30" s="99"/>
      <c r="K30" s="99"/>
      <c r="L30" s="99"/>
      <c r="M30" s="152">
        <v>33</v>
      </c>
      <c r="N30" s="99"/>
      <c r="O30" s="99"/>
      <c r="P30" s="99"/>
      <c r="Q30" s="99"/>
      <c r="R30" s="152">
        <v>48</v>
      </c>
      <c r="S30" s="239">
        <f>147-112</f>
        <v>35</v>
      </c>
      <c r="T30" s="239">
        <f>147-129</f>
        <v>18</v>
      </c>
      <c r="U30" s="239">
        <f>147-135</f>
        <v>12</v>
      </c>
      <c r="V30" s="239">
        <v>-6</v>
      </c>
      <c r="W30" s="98">
        <f>SUM(S30:V30)</f>
        <v>59</v>
      </c>
      <c r="X30" s="100">
        <f>+(V258)*X230/4</f>
        <v>-1.3402119434022295</v>
      </c>
      <c r="Y30" s="100">
        <f>+(X258)*Y230/4</f>
        <v>-2.0104759040623974</v>
      </c>
      <c r="Z30" s="100">
        <f>+(Y258)*Z230/4</f>
        <v>-1.4630812380011868</v>
      </c>
      <c r="AA30" s="100">
        <f>+(Z258)*AA230/4</f>
        <v>-2.3164241844265061</v>
      </c>
      <c r="AB30" s="152">
        <f>SUM(X30:AA30)</f>
        <v>-7.1301932698923203</v>
      </c>
      <c r="AC30" s="100">
        <f>+(AA258)*AC230/4</f>
        <v>-2.5615298800633313</v>
      </c>
      <c r="AD30" s="100">
        <f>+(AC258)*AD230/4</f>
        <v>-3.5437318444074788</v>
      </c>
      <c r="AE30" s="100">
        <f>+(AD258)*AE230/4</f>
        <v>-2.8477343183780452</v>
      </c>
      <c r="AF30" s="100">
        <f>+(AE258)*AF230/4</f>
        <v>-3.9428148012500119</v>
      </c>
      <c r="AG30" s="98">
        <f>SUM(AC30:AF30)</f>
        <v>-12.895810844098868</v>
      </c>
      <c r="AH30" s="100">
        <f>+(AF258)*AH230/4</f>
        <v>-4.0957224092555959</v>
      </c>
      <c r="AI30" s="100">
        <f>+(AH258)*AI230/4</f>
        <v>-5.5496467570680927</v>
      </c>
      <c r="AJ30" s="100">
        <f>+(AI258)*AJ230/4</f>
        <v>-4.2752562176122959</v>
      </c>
      <c r="AK30" s="100">
        <f>+(AJ258)*AK230/4</f>
        <v>-5.922110865295096</v>
      </c>
      <c r="AL30" s="98">
        <f>SUM(AH30:AK30)</f>
        <v>-19.842736249231081</v>
      </c>
      <c r="AM30" s="100">
        <f>+(AK258)*AM230/4</f>
        <v>-5.5997367506080176</v>
      </c>
      <c r="AN30" s="100">
        <f>+(AM258)*AN230/4</f>
        <v>-7.6482169088303467</v>
      </c>
      <c r="AO30" s="100">
        <f>+(AN258)*AO230/4</f>
        <v>-5.6937561944584267</v>
      </c>
      <c r="AP30" s="100">
        <f>+(AO258)*AP230/4</f>
        <v>-7.9608274296736994</v>
      </c>
      <c r="AQ30" s="98">
        <f>SUM(AM30:AP30)</f>
        <v>-26.902537283570489</v>
      </c>
      <c r="AR30" s="100">
        <f>+(AP258)*AR230/4</f>
        <v>-6.9996998266940729</v>
      </c>
      <c r="AS30" s="100">
        <f>+(AR258)*AS230/4</f>
        <v>-9.6472180500080906</v>
      </c>
      <c r="AT30" s="100">
        <f>+(AS258)*AT230/4</f>
        <v>-6.9576526409102666</v>
      </c>
      <c r="AU30" s="100">
        <f>+(AT258)*AU230/4</f>
        <v>-9.8408364944948215</v>
      </c>
      <c r="AV30" s="98">
        <f>SUM(AR30:AU30)</f>
        <v>-33.445407012107253</v>
      </c>
    </row>
    <row r="31" spans="1:48" s="55" customFormat="1" outlineLevel="1" x14ac:dyDescent="0.25">
      <c r="A31" s="195"/>
      <c r="B31" s="267" t="s">
        <v>336</v>
      </c>
      <c r="C31" s="292"/>
      <c r="D31" s="108">
        <v>-63</v>
      </c>
      <c r="E31" s="108">
        <v>-74</v>
      </c>
      <c r="F31" s="108">
        <v>-81</v>
      </c>
      <c r="G31" s="108">
        <v>-97</v>
      </c>
      <c r="H31" s="109">
        <f>SUM(H29:H30)</f>
        <v>-315</v>
      </c>
      <c r="I31" s="108">
        <v>-113</v>
      </c>
      <c r="J31" s="108">
        <v>-119</v>
      </c>
      <c r="K31" s="108">
        <v>-122</v>
      </c>
      <c r="L31" s="108">
        <v>-125</v>
      </c>
      <c r="M31" s="109">
        <f>SUM(M29:M30)</f>
        <v>-479</v>
      </c>
      <c r="N31" s="108">
        <v>-114</v>
      </c>
      <c r="O31" s="108">
        <v>-124</v>
      </c>
      <c r="P31" s="108">
        <v>-125</v>
      </c>
      <c r="Q31" s="108">
        <v>-147</v>
      </c>
      <c r="R31" s="109">
        <f>SUM(R29:R30)</f>
        <v>-510</v>
      </c>
      <c r="S31" s="108">
        <f>SUM(S29:S30)</f>
        <v>-112</v>
      </c>
      <c r="T31" s="108">
        <f t="shared" ref="T31:AQ31" si="33">SUM(T29:T30)</f>
        <v>-129</v>
      </c>
      <c r="U31" s="108">
        <f t="shared" si="33"/>
        <v>-135</v>
      </c>
      <c r="V31" s="108">
        <f t="shared" si="33"/>
        <v>-153</v>
      </c>
      <c r="W31" s="107">
        <f t="shared" si="33"/>
        <v>-529</v>
      </c>
      <c r="X31" s="108">
        <f t="shared" si="33"/>
        <v>-144.93034445444482</v>
      </c>
      <c r="Y31" s="108">
        <f t="shared" si="33"/>
        <v>-148.62146065612438</v>
      </c>
      <c r="Z31" s="108">
        <f t="shared" si="33"/>
        <v>-152.22611222112357</v>
      </c>
      <c r="AA31" s="108">
        <f t="shared" si="33"/>
        <v>-156.26812406604461</v>
      </c>
      <c r="AB31" s="109">
        <f t="shared" si="33"/>
        <v>-602.04604139773733</v>
      </c>
      <c r="AC31" s="108">
        <f t="shared" si="33"/>
        <v>-164.33420940258762</v>
      </c>
      <c r="AD31" s="108">
        <f t="shared" si="33"/>
        <v>-168.99704355292701</v>
      </c>
      <c r="AE31" s="108">
        <f t="shared" si="33"/>
        <v>-173.04275986571932</v>
      </c>
      <c r="AF31" s="108">
        <f t="shared" si="33"/>
        <v>-177.69695771806306</v>
      </c>
      <c r="AG31" s="107">
        <f t="shared" si="33"/>
        <v>-684.07097053929704</v>
      </c>
      <c r="AH31" s="108">
        <f t="shared" si="33"/>
        <v>-187.19064469176885</v>
      </c>
      <c r="AI31" s="108">
        <f t="shared" si="33"/>
        <v>-191.40389899712039</v>
      </c>
      <c r="AJ31" s="108">
        <f t="shared" si="33"/>
        <v>-194.1962731098248</v>
      </c>
      <c r="AK31" s="108">
        <f t="shared" si="33"/>
        <v>-198.66446051117481</v>
      </c>
      <c r="AL31" s="107">
        <f t="shared" si="33"/>
        <v>-771.45527730988874</v>
      </c>
      <c r="AM31" s="108">
        <f t="shared" si="33"/>
        <v>-207.39852579449021</v>
      </c>
      <c r="AN31" s="108">
        <f t="shared" si="33"/>
        <v>-211.67035232097791</v>
      </c>
      <c r="AO31" s="108">
        <f t="shared" si="33"/>
        <v>-213.25490990078347</v>
      </c>
      <c r="AP31" s="108">
        <f t="shared" si="33"/>
        <v>-217.79550512784135</v>
      </c>
      <c r="AQ31" s="107">
        <f t="shared" si="33"/>
        <v>-850.11929314409292</v>
      </c>
      <c r="AR31" s="108">
        <f t="shared" ref="AR31:AV31" si="34">SUM(AR29:AR30)</f>
        <v>-225.45782293366838</v>
      </c>
      <c r="AS31" s="108">
        <f t="shared" si="34"/>
        <v>-229.65954357853994</v>
      </c>
      <c r="AT31" s="108">
        <f t="shared" si="34"/>
        <v>-229.8203772695509</v>
      </c>
      <c r="AU31" s="108">
        <f t="shared" si="34"/>
        <v>-234.27111561601788</v>
      </c>
      <c r="AV31" s="107">
        <f t="shared" si="34"/>
        <v>-919.20885939777713</v>
      </c>
    </row>
    <row r="32" spans="1:48" outlineLevel="1" x14ac:dyDescent="0.25">
      <c r="A32" s="53"/>
      <c r="B32" s="743" t="s">
        <v>493</v>
      </c>
      <c r="C32" s="744"/>
      <c r="D32" s="99"/>
      <c r="E32" s="99"/>
      <c r="F32" s="99"/>
      <c r="G32" s="99"/>
      <c r="H32" s="111">
        <f>SUM(D32:G32)</f>
        <v>0</v>
      </c>
      <c r="I32" s="99">
        <v>112</v>
      </c>
      <c r="J32" s="99">
        <v>112</v>
      </c>
      <c r="K32" s="99">
        <v>113</v>
      </c>
      <c r="L32" s="99">
        <v>134</v>
      </c>
      <c r="M32" s="111">
        <f>SUM(I32:L32)</f>
        <v>471</v>
      </c>
      <c r="N32" s="99">
        <v>146</v>
      </c>
      <c r="O32" s="99">
        <v>147</v>
      </c>
      <c r="P32" s="99">
        <v>143</v>
      </c>
      <c r="Q32" s="99">
        <v>162</v>
      </c>
      <c r="R32" s="111">
        <f>SUM(N32:Q32)</f>
        <v>598</v>
      </c>
      <c r="S32" s="99">
        <v>158</v>
      </c>
      <c r="T32" s="99">
        <v>158</v>
      </c>
      <c r="U32" s="99">
        <v>158</v>
      </c>
      <c r="V32" s="99">
        <v>-3725</v>
      </c>
      <c r="W32" s="111">
        <f>SUM(S32:V32)</f>
        <v>-3251</v>
      </c>
      <c r="X32" s="241">
        <v>150</v>
      </c>
      <c r="Y32" s="241">
        <v>150</v>
      </c>
      <c r="Z32" s="241">
        <v>150</v>
      </c>
      <c r="AA32" s="241">
        <f>150+AA211</f>
        <v>50.000000000000057</v>
      </c>
      <c r="AB32" s="111">
        <f>SUM(X32:AA32)</f>
        <v>500.00000000000006</v>
      </c>
      <c r="AC32" s="241">
        <f>AVERAGE(AA32,Z32,Y32,X32)</f>
        <v>125.00000000000001</v>
      </c>
      <c r="AD32" s="241">
        <f>AVERAGE(AC32,AA32,Z32,Y32)</f>
        <v>118.75000000000001</v>
      </c>
      <c r="AE32" s="241">
        <f>AVERAGE(AD32,AC32,AA32,Z32)</f>
        <v>110.93750000000003</v>
      </c>
      <c r="AF32" s="241">
        <f>AVERAGE(AE32,AD32,AC32,AA32)+AF211</f>
        <v>46.171874999999979</v>
      </c>
      <c r="AG32" s="111">
        <f>SUM(AC32:AF32)</f>
        <v>400.85937500000006</v>
      </c>
      <c r="AH32" s="241">
        <f>AVERAGE(AF32,AE32,AD32,AC32)</f>
        <v>100.21484375</v>
      </c>
      <c r="AI32" s="241">
        <f>AVERAGE(AH32,AF32,AE32,AD32)</f>
        <v>94.0185546875</v>
      </c>
      <c r="AJ32" s="241">
        <f>AVERAGE(AI32,AH32,AF32,AE32)</f>
        <v>87.835693359375</v>
      </c>
      <c r="AK32" s="241">
        <f>AVERAGE(AJ32,AI32,AH32,AF32)+AK211</f>
        <v>27.0602416992187</v>
      </c>
      <c r="AL32" s="111">
        <f>SUM(AH32:AK32)</f>
        <v>309.12933349609369</v>
      </c>
      <c r="AM32" s="241">
        <f>AVERAGE(AK32,AJ32,AI32,AH32)</f>
        <v>77.282333374023423</v>
      </c>
      <c r="AN32" s="241">
        <f>AVERAGE(AM32,AK32,AJ32,AI32)</f>
        <v>71.549205780029283</v>
      </c>
      <c r="AO32" s="241">
        <f>AVERAGE(AN32,AM32,AK32,AJ32)</f>
        <v>65.931868553161593</v>
      </c>
      <c r="AP32" s="241">
        <f>AVERAGE(AO32,AN32,AM32,AK32)+AP211</f>
        <v>5.4559123516081982</v>
      </c>
      <c r="AQ32" s="111">
        <f>SUM(AM32:AP32)</f>
        <v>220.21932005882249</v>
      </c>
      <c r="AR32" s="241">
        <f>AVERAGE(AP32,AO32,AN32,AM32)</f>
        <v>55.05483001470563</v>
      </c>
      <c r="AS32" s="241">
        <f>AVERAGE(AR32,AP32,AO32,AN32)</f>
        <v>49.49795417487617</v>
      </c>
      <c r="AT32" s="241">
        <f>AVERAGE(AS32,AR32,AP32,AO32)</f>
        <v>43.985141273587899</v>
      </c>
      <c r="AU32" s="241">
        <f>AVERAGE(AT32,AS32,AR32,AP32)+AU211</f>
        <v>-16.501540546305577</v>
      </c>
      <c r="AV32" s="111">
        <f>SUM(AR32:AU32)</f>
        <v>132.03638491686411</v>
      </c>
    </row>
    <row r="33" spans="1:48" ht="17.25" outlineLevel="1" x14ac:dyDescent="0.4">
      <c r="A33" s="53"/>
      <c r="B33" s="743" t="s">
        <v>161</v>
      </c>
      <c r="C33" s="744"/>
      <c r="D33" s="100">
        <v>3</v>
      </c>
      <c r="E33" s="100">
        <v>-8</v>
      </c>
      <c r="F33" s="100">
        <v>-1</v>
      </c>
      <c r="G33" s="100">
        <v>-16</v>
      </c>
      <c r="H33" s="152">
        <f>SUM(D33:G33)</f>
        <v>-22</v>
      </c>
      <c r="I33" s="100">
        <v>-9</v>
      </c>
      <c r="J33" s="100">
        <v>30</v>
      </c>
      <c r="K33" s="100">
        <v>-4</v>
      </c>
      <c r="L33" s="100">
        <v>4</v>
      </c>
      <c r="M33" s="152">
        <f>SUM(I33:L33)</f>
        <v>21</v>
      </c>
      <c r="N33" s="100">
        <v>-21</v>
      </c>
      <c r="O33" s="100">
        <v>1</v>
      </c>
      <c r="P33" s="100">
        <v>-2</v>
      </c>
      <c r="Q33" s="197">
        <v>15</v>
      </c>
      <c r="R33" s="152">
        <f>SUM(N33:Q33)</f>
        <v>-7</v>
      </c>
      <c r="S33" s="197">
        <v>-16</v>
      </c>
      <c r="T33" s="197">
        <v>-20</v>
      </c>
      <c r="U33" s="197">
        <v>-3</v>
      </c>
      <c r="V33" s="197">
        <f>-9+17</f>
        <v>8</v>
      </c>
      <c r="W33" s="98">
        <f>SUM(S33:V33)</f>
        <v>-31</v>
      </c>
      <c r="X33" s="217">
        <f>AVERAGE(V33,U33,T33,S33)</f>
        <v>-7.75</v>
      </c>
      <c r="Y33" s="217">
        <f>AVERAGE(X33,V33,U33,T33)</f>
        <v>-5.6875</v>
      </c>
      <c r="Z33" s="217">
        <f>AVERAGE(Y33,X33,V33,U33)</f>
        <v>-2.109375</v>
      </c>
      <c r="AA33" s="217">
        <f>AVERAGE(Z33,Y33,X33,V33)</f>
        <v>-1.88671875</v>
      </c>
      <c r="AB33" s="152">
        <f>SUM(X33:AA33)</f>
        <v>-17.43359375</v>
      </c>
      <c r="AC33" s="217">
        <f>AVERAGE(AA33,Z33,Y33,X33)</f>
        <v>-4.3583984375</v>
      </c>
      <c r="AD33" s="217">
        <f>AVERAGE(AC33,AA33,Z33,Y33)</f>
        <v>-3.510498046875</v>
      </c>
      <c r="AE33" s="217">
        <f>AVERAGE(AD33,AC33,AA33,Z33)</f>
        <v>-2.96624755859375</v>
      </c>
      <c r="AF33" s="217">
        <f>AVERAGE(AE33,AD33,AC33,AA33)</f>
        <v>-3.1804656982421875</v>
      </c>
      <c r="AG33" s="98">
        <f>SUM(AC33:AF33)</f>
        <v>-14.015609741210938</v>
      </c>
      <c r="AH33" s="217">
        <f>AVERAGE(AF33,AE33,AD33,AC33)</f>
        <v>-3.5039024353027344</v>
      </c>
      <c r="AI33" s="217">
        <f>AVERAGE(AH33,AF33,AE33,AD33)</f>
        <v>-3.290278434753418</v>
      </c>
      <c r="AJ33" s="217">
        <f>AVERAGE(AI33,AH33,AF33,AE33)</f>
        <v>-3.2352235317230225</v>
      </c>
      <c r="AK33" s="217">
        <f>AVERAGE(AJ33,AI33,AH33,AF33)</f>
        <v>-3.3024675250053406</v>
      </c>
      <c r="AL33" s="98">
        <f>SUM(AH33:AK33)</f>
        <v>-13.331871926784515</v>
      </c>
      <c r="AM33" s="217">
        <f>AVERAGE(AK33,AJ33,AI33,AH33)</f>
        <v>-3.3329679816961288</v>
      </c>
      <c r="AN33" s="217">
        <f>AVERAGE(AM33,AK33,AJ33,AI33)</f>
        <v>-3.2902343682944775</v>
      </c>
      <c r="AO33" s="217">
        <f>AVERAGE(AN33,AM33,AK33,AJ33)</f>
        <v>-3.2902233516797423</v>
      </c>
      <c r="AP33" s="217">
        <f>AVERAGE(AO33,AN33,AM33,AK33)</f>
        <v>-3.3039733066689223</v>
      </c>
      <c r="AQ33" s="98">
        <f>SUM(AM33:AP33)</f>
        <v>-13.217399008339271</v>
      </c>
      <c r="AR33" s="217">
        <f>AVERAGE(AP33,AO33,AN33,AM33)</f>
        <v>-3.3043497520848177</v>
      </c>
      <c r="AS33" s="217">
        <f>AVERAGE(AR33,AP33,AO33,AN33)</f>
        <v>-3.29719519468199</v>
      </c>
      <c r="AT33" s="217">
        <f>AVERAGE(AS33,AR33,AP33,AO33)</f>
        <v>-3.2989354012788681</v>
      </c>
      <c r="AU33" s="217">
        <f>AVERAGE(AT33,AS33,AR33,AP33)</f>
        <v>-3.3011134136786495</v>
      </c>
      <c r="AV33" s="98">
        <f>SUM(AR33:AU33)</f>
        <v>-13.201593761724325</v>
      </c>
    </row>
    <row r="34" spans="1:48" ht="17.25" x14ac:dyDescent="0.4">
      <c r="A34" s="53"/>
      <c r="B34" s="282" t="s">
        <v>85</v>
      </c>
      <c r="C34" s="281"/>
      <c r="D34" s="100">
        <f t="shared" ref="D34:G34" si="35">SUM(D31:D33)</f>
        <v>-60</v>
      </c>
      <c r="E34" s="100">
        <f t="shared" si="35"/>
        <v>-82</v>
      </c>
      <c r="F34" s="100">
        <f t="shared" si="35"/>
        <v>-82</v>
      </c>
      <c r="G34" s="100">
        <f t="shared" si="35"/>
        <v>-113</v>
      </c>
      <c r="H34" s="152">
        <f t="shared" ref="H34:AQ34" si="36">SUM(H31:H33)</f>
        <v>-337</v>
      </c>
      <c r="I34" s="100">
        <f t="shared" si="36"/>
        <v>-10</v>
      </c>
      <c r="J34" s="100">
        <f t="shared" si="36"/>
        <v>23</v>
      </c>
      <c r="K34" s="100">
        <f t="shared" si="36"/>
        <v>-13</v>
      </c>
      <c r="L34" s="100">
        <f t="shared" si="36"/>
        <v>13</v>
      </c>
      <c r="M34" s="152">
        <f t="shared" si="36"/>
        <v>13</v>
      </c>
      <c r="N34" s="100">
        <f t="shared" si="36"/>
        <v>11</v>
      </c>
      <c r="O34" s="100">
        <f t="shared" si="36"/>
        <v>24</v>
      </c>
      <c r="P34" s="100">
        <f t="shared" si="36"/>
        <v>16</v>
      </c>
      <c r="Q34" s="100">
        <f t="shared" si="36"/>
        <v>30</v>
      </c>
      <c r="R34" s="152">
        <f t="shared" si="36"/>
        <v>81</v>
      </c>
      <c r="S34" s="100">
        <f>SUM(S31:S33)</f>
        <v>30</v>
      </c>
      <c r="T34" s="100">
        <f>SUM(T31:T33)</f>
        <v>9</v>
      </c>
      <c r="U34" s="97">
        <f t="shared" si="36"/>
        <v>20</v>
      </c>
      <c r="V34" s="97">
        <f>SUM(V31:V33)</f>
        <v>-3870</v>
      </c>
      <c r="W34" s="98">
        <f t="shared" si="36"/>
        <v>-3811</v>
      </c>
      <c r="X34" s="97">
        <f t="shared" si="36"/>
        <v>-2.6803444544448212</v>
      </c>
      <c r="Y34" s="97">
        <f t="shared" si="36"/>
        <v>-4.3089606561243841</v>
      </c>
      <c r="Z34" s="97">
        <f t="shared" si="36"/>
        <v>-4.3354872211235715</v>
      </c>
      <c r="AA34" s="97">
        <f t="shared" si="36"/>
        <v>-108.15484281604455</v>
      </c>
      <c r="AB34" s="152">
        <f t="shared" si="36"/>
        <v>-119.47963514773727</v>
      </c>
      <c r="AC34" s="97">
        <f t="shared" si="36"/>
        <v>-43.692607840087604</v>
      </c>
      <c r="AD34" s="97">
        <f t="shared" si="36"/>
        <v>-53.757541599801996</v>
      </c>
      <c r="AE34" s="97">
        <f t="shared" si="36"/>
        <v>-65.07150742431304</v>
      </c>
      <c r="AF34" s="97">
        <f t="shared" si="36"/>
        <v>-134.70554841630528</v>
      </c>
      <c r="AG34" s="98">
        <f t="shared" si="36"/>
        <v>-297.22720528050792</v>
      </c>
      <c r="AH34" s="97">
        <f t="shared" si="36"/>
        <v>-90.479703377071587</v>
      </c>
      <c r="AI34" s="97">
        <f t="shared" si="36"/>
        <v>-100.67562274437381</v>
      </c>
      <c r="AJ34" s="97">
        <f t="shared" si="36"/>
        <v>-109.59580328217282</v>
      </c>
      <c r="AK34" s="97">
        <f t="shared" si="36"/>
        <v>-174.90668633696146</v>
      </c>
      <c r="AL34" s="98">
        <f t="shared" si="36"/>
        <v>-475.65781574057957</v>
      </c>
      <c r="AM34" s="97">
        <f t="shared" si="36"/>
        <v>-133.44916040216293</v>
      </c>
      <c r="AN34" s="97">
        <f t="shared" si="36"/>
        <v>-143.41138090924312</v>
      </c>
      <c r="AO34" s="97">
        <f t="shared" si="36"/>
        <v>-150.61326469930162</v>
      </c>
      <c r="AP34" s="97">
        <f t="shared" si="36"/>
        <v>-215.64356608290208</v>
      </c>
      <c r="AQ34" s="98">
        <f t="shared" si="36"/>
        <v>-643.11737209360967</v>
      </c>
      <c r="AR34" s="97">
        <f t="shared" ref="AR34:AV34" si="37">SUM(AR31:AR33)</f>
        <v>-173.70734267104757</v>
      </c>
      <c r="AS34" s="97">
        <f t="shared" si="37"/>
        <v>-183.45878459834574</v>
      </c>
      <c r="AT34" s="97">
        <f t="shared" si="37"/>
        <v>-189.13417139724186</v>
      </c>
      <c r="AU34" s="97">
        <f t="shared" si="37"/>
        <v>-254.07376957600212</v>
      </c>
      <c r="AV34" s="98">
        <f t="shared" si="37"/>
        <v>-800.37406824263735</v>
      </c>
    </row>
    <row r="35" spans="1:48" x14ac:dyDescent="0.25">
      <c r="A35" s="53"/>
      <c r="B35" s="741" t="s">
        <v>162</v>
      </c>
      <c r="C35" s="742"/>
      <c r="D35" s="108">
        <f t="shared" ref="D35:AQ35" si="38">D25+D34</f>
        <v>1084</v>
      </c>
      <c r="E35" s="108">
        <f t="shared" si="38"/>
        <v>1055</v>
      </c>
      <c r="F35" s="108">
        <f t="shared" si="38"/>
        <v>782</v>
      </c>
      <c r="G35" s="108">
        <f t="shared" si="38"/>
        <v>-181</v>
      </c>
      <c r="H35" s="109">
        <f t="shared" si="38"/>
        <v>2740</v>
      </c>
      <c r="I35" s="108">
        <f t="shared" si="38"/>
        <v>1142</v>
      </c>
      <c r="J35" s="108">
        <f t="shared" si="38"/>
        <v>1078</v>
      </c>
      <c r="K35" s="108">
        <f t="shared" si="38"/>
        <v>899</v>
      </c>
      <c r="L35" s="108">
        <f t="shared" si="38"/>
        <v>1460</v>
      </c>
      <c r="M35" s="109">
        <f t="shared" si="38"/>
        <v>4579</v>
      </c>
      <c r="N35" s="108">
        <f t="shared" si="38"/>
        <v>982</v>
      </c>
      <c r="O35" s="108">
        <f t="shared" si="38"/>
        <v>1139</v>
      </c>
      <c r="P35" s="108">
        <f t="shared" si="38"/>
        <v>874</v>
      </c>
      <c r="Q35" s="108">
        <f t="shared" si="38"/>
        <v>1358.1257859999969</v>
      </c>
      <c r="R35" s="109">
        <f t="shared" si="38"/>
        <v>4353.1257859999969</v>
      </c>
      <c r="S35" s="108">
        <f>S25+S34</f>
        <v>1101</v>
      </c>
      <c r="T35" s="106">
        <f t="shared" si="38"/>
        <v>1177</v>
      </c>
      <c r="U35" s="106">
        <f t="shared" si="38"/>
        <v>931</v>
      </c>
      <c r="V35" s="106">
        <f>V25+V34</f>
        <v>-2554</v>
      </c>
      <c r="W35" s="107">
        <f>W25+W34</f>
        <v>655</v>
      </c>
      <c r="X35" s="106">
        <f t="shared" si="38"/>
        <v>865.68393379999088</v>
      </c>
      <c r="Y35" s="106">
        <f t="shared" si="38"/>
        <v>1052.6236727201631</v>
      </c>
      <c r="Z35" s="106">
        <f t="shared" si="38"/>
        <v>899.21939950378544</v>
      </c>
      <c r="AA35" s="106">
        <f t="shared" si="38"/>
        <v>1641.0080934536759</v>
      </c>
      <c r="AB35" s="109">
        <f t="shared" si="38"/>
        <v>4458.5350994776136</v>
      </c>
      <c r="AC35" s="106">
        <f t="shared" si="38"/>
        <v>1044.1657267870457</v>
      </c>
      <c r="AD35" s="106">
        <f t="shared" si="38"/>
        <v>1213.7480191361008</v>
      </c>
      <c r="AE35" s="106">
        <f t="shared" si="38"/>
        <v>1024.8991161472363</v>
      </c>
      <c r="AF35" s="106">
        <f t="shared" si="38"/>
        <v>1949.9737465738231</v>
      </c>
      <c r="AG35" s="107">
        <f t="shared" si="38"/>
        <v>5232.7866086441909</v>
      </c>
      <c r="AH35" s="106">
        <f t="shared" si="38"/>
        <v>1101.2953575422057</v>
      </c>
      <c r="AI35" s="106">
        <f t="shared" si="38"/>
        <v>1314.3590179683843</v>
      </c>
      <c r="AJ35" s="106">
        <f t="shared" si="38"/>
        <v>1123.2170359661432</v>
      </c>
      <c r="AK35" s="106">
        <f t="shared" si="38"/>
        <v>2135.1106469732849</v>
      </c>
      <c r="AL35" s="107">
        <f t="shared" si="38"/>
        <v>5673.9820584500076</v>
      </c>
      <c r="AM35" s="106">
        <f t="shared" si="38"/>
        <v>1104.4194926843386</v>
      </c>
      <c r="AN35" s="106">
        <f t="shared" si="38"/>
        <v>1322.4059879635333</v>
      </c>
      <c r="AO35" s="106">
        <f t="shared" si="38"/>
        <v>1123.546221418402</v>
      </c>
      <c r="AP35" s="106">
        <f t="shared" si="38"/>
        <v>2175.1799627884893</v>
      </c>
      <c r="AQ35" s="107">
        <f t="shared" si="38"/>
        <v>5725.5516648547746</v>
      </c>
      <c r="AR35" s="106">
        <f t="shared" ref="AR35:AV35" si="39">AR25+AR34</f>
        <v>1091.3376716375396</v>
      </c>
      <c r="AS35" s="106">
        <f t="shared" si="39"/>
        <v>1309.8255407803865</v>
      </c>
      <c r="AT35" s="106">
        <f t="shared" si="39"/>
        <v>1103.0285054988613</v>
      </c>
      <c r="AU35" s="106">
        <f t="shared" si="39"/>
        <v>2186.1732699119216</v>
      </c>
      <c r="AV35" s="107">
        <f t="shared" si="39"/>
        <v>5690.3649878287015</v>
      </c>
    </row>
    <row r="36" spans="1:48" s="527" customFormat="1" outlineLevel="1" x14ac:dyDescent="0.25">
      <c r="B36" s="528" t="s">
        <v>97</v>
      </c>
      <c r="C36" s="529"/>
      <c r="D36" s="530">
        <f t="shared" ref="D36:AQ36" si="40">+D35+D321</f>
        <v>1732</v>
      </c>
      <c r="E36" s="530">
        <f t="shared" si="40"/>
        <v>1708</v>
      </c>
      <c r="F36" s="530">
        <f t="shared" si="40"/>
        <v>1445</v>
      </c>
      <c r="G36" s="530">
        <f t="shared" si="40"/>
        <v>486</v>
      </c>
      <c r="H36" s="531">
        <f t="shared" si="40"/>
        <v>5371</v>
      </c>
      <c r="I36" s="530">
        <f t="shared" si="40"/>
        <v>1881</v>
      </c>
      <c r="J36" s="530">
        <f t="shared" si="40"/>
        <v>1818</v>
      </c>
      <c r="K36" s="530">
        <f t="shared" si="40"/>
        <v>1661</v>
      </c>
      <c r="L36" s="530">
        <f t="shared" si="40"/>
        <v>2214</v>
      </c>
      <c r="M36" s="531">
        <f t="shared" si="40"/>
        <v>7574</v>
      </c>
      <c r="N36" s="530">
        <f t="shared" si="40"/>
        <v>1733</v>
      </c>
      <c r="O36" s="530">
        <f t="shared" si="40"/>
        <v>1895</v>
      </c>
      <c r="P36" s="530">
        <f t="shared" si="40"/>
        <v>1660</v>
      </c>
      <c r="Q36" s="530">
        <f t="shared" si="40"/>
        <v>2160.1257859999969</v>
      </c>
      <c r="R36" s="531">
        <f t="shared" si="40"/>
        <v>7448.1257859999969</v>
      </c>
      <c r="S36" s="530">
        <f t="shared" si="40"/>
        <v>1909</v>
      </c>
      <c r="T36" s="530">
        <f t="shared" si="40"/>
        <v>2005</v>
      </c>
      <c r="U36" s="530">
        <f t="shared" si="40"/>
        <v>1782</v>
      </c>
      <c r="V36" s="530">
        <f t="shared" si="40"/>
        <v>-1688</v>
      </c>
      <c r="W36" s="531">
        <f t="shared" si="40"/>
        <v>4008</v>
      </c>
      <c r="X36" s="530">
        <f t="shared" si="40"/>
        <v>1751.4791322274405</v>
      </c>
      <c r="Y36" s="530">
        <f t="shared" si="40"/>
        <v>1959.073950508121</v>
      </c>
      <c r="Z36" s="530">
        <f t="shared" si="40"/>
        <v>1816.2391525757239</v>
      </c>
      <c r="AA36" s="530">
        <f t="shared" si="40"/>
        <v>2580.9956733453082</v>
      </c>
      <c r="AB36" s="531">
        <f t="shared" si="40"/>
        <v>8107.7879086565918</v>
      </c>
      <c r="AC36" s="530">
        <f t="shared" si="40"/>
        <v>2017.8718465322765</v>
      </c>
      <c r="AD36" s="530">
        <f t="shared" si="40"/>
        <v>2210.0317948763095</v>
      </c>
      <c r="AE36" s="530">
        <f t="shared" si="40"/>
        <v>2032.637514296287</v>
      </c>
      <c r="AF36" s="530">
        <f t="shared" si="40"/>
        <v>2981.6299979222063</v>
      </c>
      <c r="AG36" s="531">
        <f t="shared" si="40"/>
        <v>9242.171153627065</v>
      </c>
      <c r="AH36" s="530">
        <f t="shared" si="40"/>
        <v>2168.321882069853</v>
      </c>
      <c r="AI36" s="530">
        <f t="shared" si="40"/>
        <v>2405.2561826526562</v>
      </c>
      <c r="AJ36" s="530">
        <f t="shared" si="40"/>
        <v>2226.120642673226</v>
      </c>
      <c r="AK36" s="530">
        <f t="shared" si="40"/>
        <v>3263.0032484250441</v>
      </c>
      <c r="AL36" s="531">
        <f t="shared" si="40"/>
        <v>10062.701955820768</v>
      </c>
      <c r="AM36" s="530">
        <f t="shared" si="40"/>
        <v>2269.2070013584366</v>
      </c>
      <c r="AN36" s="530">
        <f t="shared" si="40"/>
        <v>2512.1044203598262</v>
      </c>
      <c r="AO36" s="530">
        <f t="shared" si="40"/>
        <v>2325.7233380213229</v>
      </c>
      <c r="AP36" s="530">
        <f t="shared" si="40"/>
        <v>3403.330182694348</v>
      </c>
      <c r="AQ36" s="531">
        <f t="shared" si="40"/>
        <v>10510.364942433946</v>
      </c>
      <c r="AR36" s="530">
        <f t="shared" ref="AR36:AV36" si="41">+AR35+AR321</f>
        <v>2357.7694676119413</v>
      </c>
      <c r="AS36" s="530">
        <f t="shared" si="41"/>
        <v>2602.0527556303468</v>
      </c>
      <c r="AT36" s="530">
        <f t="shared" si="41"/>
        <v>2408.1481612128205</v>
      </c>
      <c r="AU36" s="530">
        <f t="shared" si="41"/>
        <v>3518.1226680329455</v>
      </c>
      <c r="AV36" s="531">
        <f t="shared" si="41"/>
        <v>10886.093052488046</v>
      </c>
    </row>
    <row r="37" spans="1:48" ht="17.25" x14ac:dyDescent="0.4">
      <c r="A37" s="53"/>
      <c r="B37" s="701" t="s">
        <v>41</v>
      </c>
      <c r="C37" s="702"/>
      <c r="D37" s="100">
        <v>392</v>
      </c>
      <c r="E37" s="100">
        <v>364</v>
      </c>
      <c r="F37" s="100">
        <v>275</v>
      </c>
      <c r="G37" s="100">
        <v>-111</v>
      </c>
      <c r="H37" s="152">
        <f>SUM(D37:G37)</f>
        <v>920</v>
      </c>
      <c r="I37" s="100">
        <v>427</v>
      </c>
      <c r="J37" s="100">
        <v>378</v>
      </c>
      <c r="K37" s="100">
        <v>337</v>
      </c>
      <c r="L37" s="100">
        <v>440</v>
      </c>
      <c r="M37" s="152">
        <f>SUM(I37:L37)</f>
        <v>1582</v>
      </c>
      <c r="N37" s="100">
        <v>386</v>
      </c>
      <c r="O37" s="100">
        <v>364</v>
      </c>
      <c r="P37" s="100">
        <v>-1200</v>
      </c>
      <c r="Q37" s="100">
        <v>231</v>
      </c>
      <c r="R37" s="152">
        <f>SUM(N37:Q37)</f>
        <v>-219</v>
      </c>
      <c r="S37" s="100">
        <v>266</v>
      </c>
      <c r="T37" s="100">
        <v>242</v>
      </c>
      <c r="U37" s="100">
        <v>192</v>
      </c>
      <c r="V37" s="100">
        <v>-585</v>
      </c>
      <c r="W37" s="98">
        <f>SUM(S37:V37)</f>
        <v>115</v>
      </c>
      <c r="X37" s="100">
        <f>X35*X229</f>
        <v>199.10730477399792</v>
      </c>
      <c r="Y37" s="100">
        <f>Y35*Y229</f>
        <v>242.10344472563753</v>
      </c>
      <c r="Z37" s="100">
        <f>Z35*Z229</f>
        <v>206.82046188587066</v>
      </c>
      <c r="AA37" s="100">
        <f>AA35*AA229</f>
        <v>377.43186149434547</v>
      </c>
      <c r="AB37" s="152">
        <f>SUM(X37:AA37)</f>
        <v>1025.4630728798516</v>
      </c>
      <c r="AC37" s="100">
        <f>AC35*AC229</f>
        <v>240.15811716102053</v>
      </c>
      <c r="AD37" s="100">
        <f>AD35*AD229</f>
        <v>279.16204440130321</v>
      </c>
      <c r="AE37" s="100">
        <f>AE35*AE229</f>
        <v>235.72679671386436</v>
      </c>
      <c r="AF37" s="100">
        <f>AF35*AF229</f>
        <v>448.49396171197935</v>
      </c>
      <c r="AG37" s="98">
        <f>SUM(AC37:AF37)</f>
        <v>1203.5409199881674</v>
      </c>
      <c r="AH37" s="100">
        <f>AH35*AH229</f>
        <v>242.28497865928526</v>
      </c>
      <c r="AI37" s="100">
        <f>AI35*AI229</f>
        <v>289.15898395304453</v>
      </c>
      <c r="AJ37" s="100">
        <f>AJ35*AJ229</f>
        <v>247.1077479125515</v>
      </c>
      <c r="AK37" s="100">
        <f>AK35*AK229</f>
        <v>469.7243423341227</v>
      </c>
      <c r="AL37" s="98">
        <f>SUM(AH37:AK37)</f>
        <v>1248.276052859004</v>
      </c>
      <c r="AM37" s="100">
        <f>AM35*AM229</f>
        <v>242.9722883905545</v>
      </c>
      <c r="AN37" s="100">
        <f>AN35*AN229</f>
        <v>290.92931735197732</v>
      </c>
      <c r="AO37" s="100">
        <f>AO35*AO229</f>
        <v>247.18016871204844</v>
      </c>
      <c r="AP37" s="100">
        <f>AP35*AP229</f>
        <v>478.53959181346767</v>
      </c>
      <c r="AQ37" s="98">
        <f>SUM(AM37:AP37)</f>
        <v>1259.621366268048</v>
      </c>
      <c r="AR37" s="100">
        <f>AR35*AR229</f>
        <v>240.09428776025871</v>
      </c>
      <c r="AS37" s="100">
        <f>AS35*AS229</f>
        <v>288.16161897168502</v>
      </c>
      <c r="AT37" s="100">
        <f>AT35*AT229</f>
        <v>242.66627120974948</v>
      </c>
      <c r="AU37" s="100">
        <f>AU35*AU229</f>
        <v>480.95811938062275</v>
      </c>
      <c r="AV37" s="98">
        <f>SUM(AR37:AU37)</f>
        <v>1251.880297322316</v>
      </c>
    </row>
    <row r="38" spans="1:48" x14ac:dyDescent="0.25">
      <c r="A38" s="228"/>
      <c r="B38" s="741" t="s">
        <v>56</v>
      </c>
      <c r="C38" s="742"/>
      <c r="D38" s="108">
        <f t="shared" ref="D38:AQ38" si="42">+D35-D37</f>
        <v>692</v>
      </c>
      <c r="E38" s="108">
        <f t="shared" si="42"/>
        <v>691</v>
      </c>
      <c r="F38" s="108">
        <f t="shared" si="42"/>
        <v>507</v>
      </c>
      <c r="G38" s="108">
        <f t="shared" si="42"/>
        <v>-70</v>
      </c>
      <c r="H38" s="109">
        <f t="shared" si="42"/>
        <v>1820</v>
      </c>
      <c r="I38" s="108">
        <f t="shared" si="42"/>
        <v>715</v>
      </c>
      <c r="J38" s="108">
        <f t="shared" si="42"/>
        <v>700</v>
      </c>
      <c r="K38" s="108">
        <f t="shared" si="42"/>
        <v>562</v>
      </c>
      <c r="L38" s="108">
        <f t="shared" si="42"/>
        <v>1020</v>
      </c>
      <c r="M38" s="109">
        <f t="shared" si="42"/>
        <v>2997</v>
      </c>
      <c r="N38" s="108">
        <f t="shared" si="42"/>
        <v>596</v>
      </c>
      <c r="O38" s="108">
        <f t="shared" si="42"/>
        <v>775</v>
      </c>
      <c r="P38" s="108">
        <f t="shared" si="42"/>
        <v>2074</v>
      </c>
      <c r="Q38" s="108">
        <f t="shared" si="42"/>
        <v>1127.1257859999969</v>
      </c>
      <c r="R38" s="109">
        <f t="shared" si="42"/>
        <v>4572.1257859999969</v>
      </c>
      <c r="S38" s="108">
        <f t="shared" si="42"/>
        <v>835</v>
      </c>
      <c r="T38" s="106">
        <f t="shared" si="42"/>
        <v>935</v>
      </c>
      <c r="U38" s="106">
        <f t="shared" si="42"/>
        <v>739</v>
      </c>
      <c r="V38" s="108">
        <f t="shared" si="42"/>
        <v>-1969</v>
      </c>
      <c r="W38" s="109">
        <f t="shared" si="42"/>
        <v>540</v>
      </c>
      <c r="X38" s="106">
        <f t="shared" si="42"/>
        <v>666.57662902599293</v>
      </c>
      <c r="Y38" s="106">
        <f t="shared" si="42"/>
        <v>810.52022799452561</v>
      </c>
      <c r="Z38" s="106">
        <f t="shared" si="42"/>
        <v>692.39893761791473</v>
      </c>
      <c r="AA38" s="106">
        <f t="shared" si="42"/>
        <v>1263.5762319593305</v>
      </c>
      <c r="AB38" s="109">
        <f t="shared" si="42"/>
        <v>3433.072026597762</v>
      </c>
      <c r="AC38" s="106">
        <f t="shared" si="42"/>
        <v>804.00760962602521</v>
      </c>
      <c r="AD38" s="106">
        <f t="shared" si="42"/>
        <v>934.58597473479756</v>
      </c>
      <c r="AE38" s="106">
        <f t="shared" si="42"/>
        <v>789.17231943337197</v>
      </c>
      <c r="AF38" s="106">
        <f t="shared" si="42"/>
        <v>1501.4797848618437</v>
      </c>
      <c r="AG38" s="107">
        <f t="shared" si="42"/>
        <v>4029.2456886560235</v>
      </c>
      <c r="AH38" s="106">
        <f t="shared" si="42"/>
        <v>859.01037888292046</v>
      </c>
      <c r="AI38" s="106">
        <f t="shared" si="42"/>
        <v>1025.2000340153397</v>
      </c>
      <c r="AJ38" s="106">
        <f t="shared" si="42"/>
        <v>876.10928805359163</v>
      </c>
      <c r="AK38" s="106">
        <f t="shared" si="42"/>
        <v>1665.3863046391623</v>
      </c>
      <c r="AL38" s="107">
        <f t="shared" si="42"/>
        <v>4425.7060055910033</v>
      </c>
      <c r="AM38" s="106">
        <f t="shared" si="42"/>
        <v>861.44720429378413</v>
      </c>
      <c r="AN38" s="106">
        <f t="shared" si="42"/>
        <v>1031.4766706115561</v>
      </c>
      <c r="AO38" s="106">
        <f t="shared" si="42"/>
        <v>876.36605270635346</v>
      </c>
      <c r="AP38" s="106">
        <f t="shared" si="42"/>
        <v>1696.6403709750216</v>
      </c>
      <c r="AQ38" s="107">
        <f t="shared" si="42"/>
        <v>4465.9302985867271</v>
      </c>
      <c r="AR38" s="106">
        <f t="shared" ref="AR38:AV38" si="43">+AR35-AR37</f>
        <v>851.24338387728096</v>
      </c>
      <c r="AS38" s="106">
        <f t="shared" si="43"/>
        <v>1021.6639218087015</v>
      </c>
      <c r="AT38" s="106">
        <f t="shared" si="43"/>
        <v>860.36223428911171</v>
      </c>
      <c r="AU38" s="106">
        <f t="shared" si="43"/>
        <v>1705.2151505312988</v>
      </c>
      <c r="AV38" s="107">
        <f t="shared" si="43"/>
        <v>4438.484690506386</v>
      </c>
    </row>
    <row r="39" spans="1:48" s="537" customFormat="1" ht="17.25" outlineLevel="1" x14ac:dyDescent="0.4">
      <c r="A39" s="527"/>
      <c r="B39" s="532" t="s">
        <v>776</v>
      </c>
      <c r="C39" s="543"/>
      <c r="D39" s="544">
        <f t="shared" ref="D39:T39" si="44">+D240+D244+D246+D252+D253</f>
        <v>0</v>
      </c>
      <c r="E39" s="544">
        <f t="shared" si="44"/>
        <v>0</v>
      </c>
      <c r="F39" s="544">
        <f t="shared" si="44"/>
        <v>0</v>
      </c>
      <c r="G39" s="544">
        <f t="shared" si="44"/>
        <v>0</v>
      </c>
      <c r="H39" s="545">
        <f t="shared" si="44"/>
        <v>0</v>
      </c>
      <c r="I39" s="544">
        <f t="shared" si="44"/>
        <v>22.5</v>
      </c>
      <c r="J39" s="544">
        <f t="shared" si="44"/>
        <v>7.5</v>
      </c>
      <c r="K39" s="544">
        <f t="shared" si="44"/>
        <v>15</v>
      </c>
      <c r="L39" s="544">
        <f t="shared" si="44"/>
        <v>67</v>
      </c>
      <c r="M39" s="545">
        <f t="shared" si="44"/>
        <v>112</v>
      </c>
      <c r="N39" s="544">
        <f t="shared" si="44"/>
        <v>32</v>
      </c>
      <c r="O39" s="544">
        <f t="shared" si="44"/>
        <v>31</v>
      </c>
      <c r="P39" s="544">
        <f t="shared" si="44"/>
        <v>1164</v>
      </c>
      <c r="Q39" s="544">
        <f t="shared" si="44"/>
        <v>30</v>
      </c>
      <c r="R39" s="545">
        <f t="shared" si="44"/>
        <v>1257</v>
      </c>
      <c r="S39" s="544">
        <f t="shared" si="44"/>
        <v>23.4</v>
      </c>
      <c r="T39" s="546">
        <f t="shared" si="44"/>
        <v>20.5</v>
      </c>
      <c r="U39" s="546">
        <f>+U240+U244+U246+U252+U253+U249</f>
        <v>15</v>
      </c>
      <c r="V39" s="544">
        <f>+V240+V244+V246+V252+V253+V249-V251</f>
        <v>-2888.5</v>
      </c>
      <c r="W39" s="545">
        <f>+W240+W244+W246+W252+W253+W249-W251</f>
        <v>-2831</v>
      </c>
      <c r="X39" s="546">
        <f t="shared" ref="X39:AA39" si="45">+X240+X244+X246+X252+X253+X249</f>
        <v>50.625</v>
      </c>
      <c r="Y39" s="546">
        <f t="shared" si="45"/>
        <v>38.424999999999997</v>
      </c>
      <c r="Z39" s="546">
        <f t="shared" si="45"/>
        <v>22.320999999999998</v>
      </c>
      <c r="AA39" s="546">
        <f>+AA240+AA244+AA246+AA252+AA253+AA249-AA251</f>
        <v>97.124999999999957</v>
      </c>
      <c r="AB39" s="547">
        <f>+AB240+AB244+AB246+AB252+AB253+AB249-AB251</f>
        <v>208.49599999999995</v>
      </c>
      <c r="AC39" s="546">
        <f t="shared" ref="AC39:AF39" si="46">+AC240+AC244+AC246+AC252+AC253+AC249</f>
        <v>17.25</v>
      </c>
      <c r="AD39" s="546">
        <f t="shared" si="46"/>
        <v>11.5</v>
      </c>
      <c r="AE39" s="546">
        <f t="shared" si="46"/>
        <v>7.82</v>
      </c>
      <c r="AF39" s="546">
        <f>+AF240+AF244+AF246+AF252+AF253+AF249-AF251</f>
        <v>42.350000000000037</v>
      </c>
      <c r="AG39" s="547">
        <f>+AG240+AG244+AG246+AG252+AG253+AG249-AG251</f>
        <v>78.920000000000044</v>
      </c>
      <c r="AH39" s="546">
        <f t="shared" ref="AH39:AK39" si="47">+AH240+AH244+AH246+AH252+AH253+AH249</f>
        <v>0</v>
      </c>
      <c r="AI39" s="546">
        <f t="shared" si="47"/>
        <v>0</v>
      </c>
      <c r="AJ39" s="546">
        <f t="shared" si="47"/>
        <v>0</v>
      </c>
      <c r="AK39" s="546">
        <f>+AK240+AK244+AK246+AK252+AK253+AK249-AK251</f>
        <v>42.900000000000041</v>
      </c>
      <c r="AL39" s="547">
        <f>+AL240+AL244+AL246+AL252+AL253+AL249-AL251</f>
        <v>42.900000000000041</v>
      </c>
      <c r="AM39" s="546">
        <f t="shared" ref="AM39:AP39" si="48">+AM240+AM244+AM246+AM252+AM253+AM249</f>
        <v>0</v>
      </c>
      <c r="AN39" s="546">
        <f t="shared" si="48"/>
        <v>0</v>
      </c>
      <c r="AO39" s="546">
        <f t="shared" si="48"/>
        <v>0</v>
      </c>
      <c r="AP39" s="546">
        <f>+AP240+AP244+AP246+AP252+AP253+AP249-AP251</f>
        <v>42.900000000000041</v>
      </c>
      <c r="AQ39" s="547">
        <f>+AQ240+AQ244+AQ246+AQ252+AQ253+AQ249-AQ251</f>
        <v>42.900000000000041</v>
      </c>
      <c r="AR39" s="546">
        <f t="shared" ref="AR39:AU39" si="49">+AR240+AR244+AR246+AR252+AR253+AR249</f>
        <v>0</v>
      </c>
      <c r="AS39" s="546">
        <f t="shared" si="49"/>
        <v>0</v>
      </c>
      <c r="AT39" s="546">
        <f t="shared" si="49"/>
        <v>0</v>
      </c>
      <c r="AU39" s="546">
        <f>+AU240+AU244+AU246+AU252+AU253+AU249-AU251</f>
        <v>42.900000000000041</v>
      </c>
      <c r="AV39" s="547">
        <f>+AV240+AV244+AV246+AV252+AV253+AV249-AV251</f>
        <v>42.900000000000041</v>
      </c>
    </row>
    <row r="40" spans="1:48" s="537" customFormat="1" outlineLevel="1" x14ac:dyDescent="0.25">
      <c r="A40" s="527"/>
      <c r="B40" s="538" t="s">
        <v>351</v>
      </c>
      <c r="C40" s="543"/>
      <c r="D40" s="540">
        <f t="shared" ref="D40:AP40" si="50">+D27+D34-D37-D39</f>
        <v>692</v>
      </c>
      <c r="E40" s="540">
        <f t="shared" si="50"/>
        <v>691</v>
      </c>
      <c r="F40" s="540">
        <f t="shared" si="50"/>
        <v>507</v>
      </c>
      <c r="G40" s="540">
        <f t="shared" si="50"/>
        <v>-70</v>
      </c>
      <c r="H40" s="541">
        <f t="shared" si="50"/>
        <v>1820</v>
      </c>
      <c r="I40" s="540">
        <f t="shared" si="50"/>
        <v>760</v>
      </c>
      <c r="J40" s="540">
        <f t="shared" si="50"/>
        <v>750</v>
      </c>
      <c r="K40" s="540">
        <f t="shared" si="50"/>
        <v>625</v>
      </c>
      <c r="L40" s="540">
        <f t="shared" si="50"/>
        <v>1138</v>
      </c>
      <c r="M40" s="541">
        <f>+M27+M34-M37-M39</f>
        <v>3273</v>
      </c>
      <c r="N40" s="540">
        <f t="shared" si="50"/>
        <v>683</v>
      </c>
      <c r="O40" s="540">
        <f t="shared" si="50"/>
        <v>866</v>
      </c>
      <c r="P40" s="540">
        <f t="shared" si="50"/>
        <v>1016</v>
      </c>
      <c r="Q40" s="540">
        <f t="shared" si="50"/>
        <v>1604.1257859999969</v>
      </c>
      <c r="R40" s="541">
        <f t="shared" si="50"/>
        <v>4170.1257859999969</v>
      </c>
      <c r="S40" s="540">
        <f>+S27+S34-S37-S39</f>
        <v>932.6</v>
      </c>
      <c r="T40" s="548">
        <f t="shared" si="50"/>
        <v>1074.5</v>
      </c>
      <c r="U40" s="548">
        <f t="shared" si="50"/>
        <v>797</v>
      </c>
      <c r="V40" s="540">
        <f>+V27+V34-V37-V39</f>
        <v>1319.5</v>
      </c>
      <c r="W40" s="541">
        <f>+W27+W34-W37-W39</f>
        <v>4125</v>
      </c>
      <c r="X40" s="548">
        <f t="shared" si="50"/>
        <v>828.45162902599293</v>
      </c>
      <c r="Y40" s="548">
        <f t="shared" si="50"/>
        <v>934.59522799452566</v>
      </c>
      <c r="Z40" s="548">
        <f t="shared" si="50"/>
        <v>766.5779376179147</v>
      </c>
      <c r="AA40" s="548">
        <f t="shared" si="50"/>
        <v>1253.9512319593305</v>
      </c>
      <c r="AB40" s="542">
        <f>+AB27+AB34-AB37-AB39</f>
        <v>3783.5760265977619</v>
      </c>
      <c r="AC40" s="548">
        <f t="shared" si="50"/>
        <v>861.75760962602521</v>
      </c>
      <c r="AD40" s="548">
        <f t="shared" si="50"/>
        <v>973.08597473479756</v>
      </c>
      <c r="AE40" s="548">
        <f t="shared" si="50"/>
        <v>815.35231943337192</v>
      </c>
      <c r="AF40" s="548">
        <f t="shared" si="50"/>
        <v>1459.1297848618435</v>
      </c>
      <c r="AG40" s="542">
        <f>+AG27+AG34-AG37-AG39</f>
        <v>4109.325688656023</v>
      </c>
      <c r="AH40" s="548">
        <f t="shared" si="50"/>
        <v>859.01037888292046</v>
      </c>
      <c r="AI40" s="548">
        <f t="shared" si="50"/>
        <v>1025.2000340153397</v>
      </c>
      <c r="AJ40" s="548">
        <f t="shared" si="50"/>
        <v>876.10928805359163</v>
      </c>
      <c r="AK40" s="548">
        <f t="shared" si="50"/>
        <v>1622.4863046391622</v>
      </c>
      <c r="AL40" s="542">
        <f>+AL27+AL34-AL37-AL39</f>
        <v>4382.8060055910037</v>
      </c>
      <c r="AM40" s="548">
        <f t="shared" si="50"/>
        <v>861.44720429378413</v>
      </c>
      <c r="AN40" s="548">
        <f t="shared" si="50"/>
        <v>1031.4766706115561</v>
      </c>
      <c r="AO40" s="548">
        <f t="shared" si="50"/>
        <v>876.36605270635346</v>
      </c>
      <c r="AP40" s="548">
        <f t="shared" si="50"/>
        <v>1653.7403709750215</v>
      </c>
      <c r="AQ40" s="542">
        <f>+AQ27+AQ34-AQ37-AQ39</f>
        <v>4423.0302985867274</v>
      </c>
      <c r="AR40" s="548">
        <f t="shared" ref="AR40:AV40" si="51">+AR27+AR34-AR37-AR39</f>
        <v>851.24338387728096</v>
      </c>
      <c r="AS40" s="548">
        <f t="shared" si="51"/>
        <v>1021.6639218087015</v>
      </c>
      <c r="AT40" s="548">
        <f t="shared" si="51"/>
        <v>860.36223428911171</v>
      </c>
      <c r="AU40" s="548">
        <f t="shared" si="51"/>
        <v>1662.3151505312987</v>
      </c>
      <c r="AV40" s="542">
        <f>+AV27+AV34-AV37-AV39</f>
        <v>4395.5846905063863</v>
      </c>
    </row>
    <row r="41" spans="1:48" x14ac:dyDescent="0.25">
      <c r="A41" s="53"/>
      <c r="B41" s="687" t="s">
        <v>0</v>
      </c>
      <c r="C41" s="688"/>
      <c r="D41" s="99">
        <v>282</v>
      </c>
      <c r="E41" s="99">
        <v>279.76258654124456</v>
      </c>
      <c r="F41" s="99">
        <v>272</v>
      </c>
      <c r="G41" s="99">
        <v>269</v>
      </c>
      <c r="H41" s="111">
        <v>276</v>
      </c>
      <c r="I41" s="99">
        <v>265.39999999999998</v>
      </c>
      <c r="J41" s="99">
        <v>266</v>
      </c>
      <c r="K41" s="99">
        <v>266</v>
      </c>
      <c r="L41" s="99">
        <v>267.39999999999998</v>
      </c>
      <c r="M41" s="111">
        <v>266.64184371037703</v>
      </c>
      <c r="N41" s="99">
        <v>268</v>
      </c>
      <c r="O41" s="99">
        <v>268</v>
      </c>
      <c r="P41" s="99">
        <v>268</v>
      </c>
      <c r="Q41" s="99">
        <v>266.39999999999998</v>
      </c>
      <c r="R41" s="260">
        <v>267.7</v>
      </c>
      <c r="S41" s="99">
        <v>265</v>
      </c>
      <c r="T41" s="99">
        <v>262.39999999999998</v>
      </c>
      <c r="U41" s="99">
        <v>261</v>
      </c>
      <c r="V41" s="241">
        <v>262</v>
      </c>
      <c r="W41" s="111">
        <v>261.99999999999989</v>
      </c>
      <c r="X41" s="99">
        <f>V41*(1+X233)-X237</f>
        <v>261.98430113407068</v>
      </c>
      <c r="Y41" s="99">
        <f>X41*(1+Y233)-Y237</f>
        <v>261.80902371874248</v>
      </c>
      <c r="Z41" s="99">
        <f>Y41*(1+Z233)-Z237</f>
        <v>261.67589448907898</v>
      </c>
      <c r="AA41" s="99">
        <f>Z41*(1+AA233)-AA237</f>
        <v>261.8627285476083</v>
      </c>
      <c r="AB41" s="111">
        <f>(X41*X38/AB38)+(Y41*Y38/AB38)+(Z41*Z38/AB38)+(AA41*AA38/AB38)</f>
        <v>261.8359725960305</v>
      </c>
      <c r="AC41" s="99">
        <f>AA41*(1+AC233)-AC237</f>
        <v>261.82844975978122</v>
      </c>
      <c r="AD41" s="99">
        <f>AC41*(1+AD233)-AD237</f>
        <v>261.78952906694349</v>
      </c>
      <c r="AE41" s="99">
        <f>AD41*(1+AE233)-AE237</f>
        <v>261.78467223796133</v>
      </c>
      <c r="AF41" s="99">
        <f>AE41*(1+AF233)-AF237</f>
        <v>261.81188056187062</v>
      </c>
      <c r="AG41" s="111">
        <f>(AC41*AC38/AG38)+(AD41*AD38/AG38)+(AE41*AE38/AG38)+(AF41*AF38/AG38)</f>
        <v>261.80467333481249</v>
      </c>
      <c r="AH41" s="99">
        <f>AF41*(1+AH233)-AH237</f>
        <v>261.79916171324049</v>
      </c>
      <c r="AI41" s="99">
        <f>AH41*(1+AI233)-AI237</f>
        <v>261.79183151979004</v>
      </c>
      <c r="AJ41" s="99">
        <f>AI41*(1+AJ233)-AJ237</f>
        <v>261.79239782682157</v>
      </c>
      <c r="AK41" s="99">
        <f>AJ41*(1+AK233)-AK237</f>
        <v>261.79431991236646</v>
      </c>
      <c r="AL41" s="111">
        <f>(AH41*AH38/AL38)+(AI41*AI38/AL38)+(AJ41*AJ38/AL38)+(AK41*AK38/AL38)</f>
        <v>261.7943027625725</v>
      </c>
      <c r="AM41" s="99">
        <f>AK41*(1+AM233)-AM237</f>
        <v>261.78992018479948</v>
      </c>
      <c r="AN41" s="99">
        <f>AM41*(1+AN233)-AN237</f>
        <v>261.7876000415344</v>
      </c>
      <c r="AO41" s="99">
        <f>AN41*(1+AO233)-AO237</f>
        <v>261.78653233406004</v>
      </c>
      <c r="AP41" s="99">
        <f>AO41*(1+AP233)-AP237</f>
        <v>261.78505610974747</v>
      </c>
      <c r="AQ41" s="111">
        <f>(AM41*AM38/AQ38)+(AN41*AN38/AQ38)+(AO41*AO38/AQ38)+(AP41*AP38/AQ38)</f>
        <v>261.78687160225934</v>
      </c>
      <c r="AR41" s="99">
        <f>AP41*(1+AR233)-AR237</f>
        <v>261.78273031025907</v>
      </c>
      <c r="AS41" s="99">
        <f>AR41*(1+AS233)-AS237</f>
        <v>261.78092294820362</v>
      </c>
      <c r="AT41" s="99">
        <f>AS41*(1+AT233)-AT237</f>
        <v>261.77924375538288</v>
      </c>
      <c r="AU41" s="99">
        <f>AT41*(1+AU233)-AU237</f>
        <v>261.77741167440013</v>
      </c>
      <c r="AV41" s="111">
        <f>(AR41*AR38/AV38)+(AS41*AS38/AV38)+(AT41*AT38/AV38)+(AU41*AU38/AV38)</f>
        <v>261.77959508818117</v>
      </c>
    </row>
    <row r="42" spans="1:48" ht="15.75" customHeight="1" x14ac:dyDescent="0.25">
      <c r="A42" s="53"/>
      <c r="B42" s="687" t="s">
        <v>1</v>
      </c>
      <c r="C42" s="688"/>
      <c r="D42" s="99">
        <v>286</v>
      </c>
      <c r="E42" s="99">
        <v>283</v>
      </c>
      <c r="F42" s="99">
        <v>275</v>
      </c>
      <c r="G42" s="99">
        <v>269</v>
      </c>
      <c r="H42" s="111">
        <v>279.57441807692305</v>
      </c>
      <c r="I42" s="99">
        <v>269.39999999999998</v>
      </c>
      <c r="J42" s="99">
        <v>270</v>
      </c>
      <c r="K42" s="99">
        <v>271</v>
      </c>
      <c r="L42" s="99">
        <v>271.7</v>
      </c>
      <c r="M42" s="111">
        <v>270.73702702702701</v>
      </c>
      <c r="N42" s="99">
        <v>272</v>
      </c>
      <c r="O42" s="99">
        <v>272.89328309677421</v>
      </c>
      <c r="P42" s="99">
        <v>273</v>
      </c>
      <c r="Q42" s="99">
        <v>271.39999999999998</v>
      </c>
      <c r="R42" s="260">
        <v>272.3</v>
      </c>
      <c r="S42" s="99">
        <v>269.2</v>
      </c>
      <c r="T42" s="99">
        <v>266.39999999999998</v>
      </c>
      <c r="U42" s="99">
        <v>263.47000000000003</v>
      </c>
      <c r="V42" s="99">
        <v>260.39999999999998</v>
      </c>
      <c r="W42" s="111">
        <v>266.35524074074078</v>
      </c>
      <c r="X42" s="99">
        <f>V42*(1+X234)-X237</f>
        <v>260.34937142857143</v>
      </c>
      <c r="Y42" s="99">
        <f>X42*(1+Y234)-Y237</f>
        <v>258.73455792991319</v>
      </c>
      <c r="Z42" s="99">
        <f>Y42*(1+Z234)-Z237</f>
        <v>256.8600217897407</v>
      </c>
      <c r="AA42" s="99">
        <f>Z42*(1+AA234)-AA237</f>
        <v>255.24399743181684</v>
      </c>
      <c r="AB42" s="111">
        <f>(X42*X38/AB38)+(Y42*Y38/AB38)+(Z42*Z38/AB38)+(AA42*AA38/AB38)</f>
        <v>257.38529431433409</v>
      </c>
      <c r="AC42" s="99">
        <f>AA42*(1+AC234)-AC237</f>
        <v>253.96357193524597</v>
      </c>
      <c r="AD42" s="99">
        <f>AC42*(1+AD234)-AD237</f>
        <v>252.38336125437527</v>
      </c>
      <c r="AE42" s="99">
        <f>AD42*(1+AE234)-AE237</f>
        <v>250.81166611296879</v>
      </c>
      <c r="AF42" s="99">
        <f>AE42*(1+AF234)-AF237</f>
        <v>249.31349171913811</v>
      </c>
      <c r="AG42" s="111">
        <f>(AC42*AC38/AG38)+(AD42*AD38/AG38)+(AE42*AE38/AG38)+(AF42*AF38/AG38)</f>
        <v>251.24687460374389</v>
      </c>
      <c r="AH42" s="99">
        <f>AF42*(1+AH234)-AH237</f>
        <v>247.84402694640048</v>
      </c>
      <c r="AI42" s="99">
        <f>AH42*(1+AI234)-AI237</f>
        <v>246.32877992047355</v>
      </c>
      <c r="AJ42" s="99">
        <f>AI42*(1+AJ234)-AJ237</f>
        <v>244.82940496107162</v>
      </c>
      <c r="AK42" s="99">
        <f>AJ42*(1+AK234)-AK237</f>
        <v>243.3476858100978</v>
      </c>
      <c r="AL42" s="111">
        <f>(AH42*AH38/AL38)+(AI42*AI38/AL38)+(AJ42*AJ38/AL38)+(AK42*AK38/AL38)</f>
        <v>245.20428662960992</v>
      </c>
      <c r="AM42" s="99">
        <f>AK42*(1+AM234)-AM237</f>
        <v>241.87007204457464</v>
      </c>
      <c r="AN42" s="99">
        <f>AM42*(1+AN234)-AN237</f>
        <v>240.39059614065724</v>
      </c>
      <c r="AO42" s="99">
        <f>AN42*(1+AO234)-AO237</f>
        <v>238.91991009118732</v>
      </c>
      <c r="AP42" s="99">
        <f>AO42*(1+AP234)-AP237</f>
        <v>237.45629573261081</v>
      </c>
      <c r="AQ42" s="111">
        <f>(AM42*AM38/AQ38)+(AN42*AN38/AQ38)+(AO42*AO38/AQ38)+(AP42*AP38/AQ38)</f>
        <v>239.27261597846405</v>
      </c>
      <c r="AR42" s="99">
        <f>AP42*(1+AR234)-AR237</f>
        <v>235.9971860258936</v>
      </c>
      <c r="AS42" s="99">
        <f>AR42*(1+AS234)-AS237</f>
        <v>234.54267755657088</v>
      </c>
      <c r="AT42" s="99">
        <f>AS42*(1+AT234)-AT237</f>
        <v>233.09433697528311</v>
      </c>
      <c r="AU42" s="99">
        <f>AT42*(1+AU234)-AU237</f>
        <v>231.65152811596982</v>
      </c>
      <c r="AV42" s="111">
        <f>(AR42*AR38/AV38)+(AS42*AS38/AV38)+(AT42*AT38/AV38)+(AU42*AU38/AV38)</f>
        <v>233.4301382554109</v>
      </c>
    </row>
    <row r="43" spans="1:48" ht="15.75" customHeight="1" x14ac:dyDescent="0.25">
      <c r="A43" s="53"/>
      <c r="B43" s="739" t="s">
        <v>57</v>
      </c>
      <c r="C43" s="740"/>
      <c r="D43" s="112">
        <f t="shared" ref="D43:AQ43" si="52">D38/D41</f>
        <v>2.4539007092198584</v>
      </c>
      <c r="E43" s="112">
        <f t="shared" si="52"/>
        <v>2.4699514275406083</v>
      </c>
      <c r="F43" s="112">
        <f t="shared" si="52"/>
        <v>1.8639705882352942</v>
      </c>
      <c r="G43" s="112">
        <f t="shared" si="52"/>
        <v>-0.26022304832713755</v>
      </c>
      <c r="H43" s="113">
        <f t="shared" si="52"/>
        <v>6.5942028985507246</v>
      </c>
      <c r="I43" s="112">
        <f t="shared" si="52"/>
        <v>2.6940467219291637</v>
      </c>
      <c r="J43" s="112">
        <f t="shared" si="52"/>
        <v>2.6315789473684212</v>
      </c>
      <c r="K43" s="112">
        <f t="shared" si="52"/>
        <v>2.1127819548872182</v>
      </c>
      <c r="L43" s="112">
        <f t="shared" si="52"/>
        <v>3.8145100972326107</v>
      </c>
      <c r="M43" s="113">
        <f t="shared" si="52"/>
        <v>11.239796268643053</v>
      </c>
      <c r="N43" s="112">
        <f t="shared" si="52"/>
        <v>2.2238805970149254</v>
      </c>
      <c r="O43" s="112">
        <f t="shared" si="52"/>
        <v>2.8917910447761193</v>
      </c>
      <c r="P43" s="112">
        <f t="shared" si="52"/>
        <v>7.7388059701492535</v>
      </c>
      <c r="Q43" s="112">
        <f t="shared" si="52"/>
        <v>4.2309526501501384</v>
      </c>
      <c r="R43" s="113">
        <f t="shared" si="52"/>
        <v>17.079289450877837</v>
      </c>
      <c r="S43" s="112">
        <f t="shared" si="52"/>
        <v>3.1509433962264151</v>
      </c>
      <c r="T43" s="112">
        <f t="shared" si="52"/>
        <v>3.5632621951219514</v>
      </c>
      <c r="U43" s="112">
        <f t="shared" si="52"/>
        <v>2.8314176245210727</v>
      </c>
      <c r="V43" s="112">
        <f t="shared" si="52"/>
        <v>-7.5152671755725189</v>
      </c>
      <c r="W43" s="113">
        <f t="shared" si="52"/>
        <v>2.0610687022900773</v>
      </c>
      <c r="X43" s="112">
        <f t="shared" si="52"/>
        <v>2.5443380620156772</v>
      </c>
      <c r="Y43" s="112">
        <f t="shared" si="52"/>
        <v>3.095845271037164</v>
      </c>
      <c r="Z43" s="112">
        <f t="shared" si="52"/>
        <v>2.6460172763326959</v>
      </c>
      <c r="AA43" s="112">
        <f t="shared" si="52"/>
        <v>4.8253382181099678</v>
      </c>
      <c r="AB43" s="113">
        <f t="shared" si="52"/>
        <v>13.111536938793444</v>
      </c>
      <c r="AC43" s="112">
        <f t="shared" si="52"/>
        <v>3.0707419700329552</v>
      </c>
      <c r="AD43" s="112">
        <f t="shared" si="52"/>
        <v>3.5699899001529967</v>
      </c>
      <c r="AE43" s="112">
        <f t="shared" si="52"/>
        <v>3.0145856618985589</v>
      </c>
      <c r="AF43" s="112">
        <f t="shared" si="52"/>
        <v>5.7349566476492209</v>
      </c>
      <c r="AG43" s="113">
        <f t="shared" si="52"/>
        <v>15.390274120520253</v>
      </c>
      <c r="AH43" s="112">
        <f t="shared" si="52"/>
        <v>3.28118078477207</v>
      </c>
      <c r="AI43" s="112">
        <f t="shared" si="52"/>
        <v>3.9160887032406899</v>
      </c>
      <c r="AJ43" s="112">
        <f t="shared" si="52"/>
        <v>3.3465803259617459</v>
      </c>
      <c r="AK43" s="112">
        <f t="shared" si="52"/>
        <v>6.3614302449214213</v>
      </c>
      <c r="AL43" s="113">
        <f t="shared" si="52"/>
        <v>16.905280057239374</v>
      </c>
      <c r="AM43" s="112">
        <f t="shared" si="52"/>
        <v>3.2906049388214873</v>
      </c>
      <c r="AN43" s="112">
        <f t="shared" si="52"/>
        <v>3.940128067364173</v>
      </c>
      <c r="AO43" s="112">
        <f t="shared" si="52"/>
        <v>3.3476361251007445</v>
      </c>
      <c r="AP43" s="112">
        <f t="shared" si="52"/>
        <v>6.4810436324667187</v>
      </c>
      <c r="AQ43" s="113">
        <f t="shared" si="52"/>
        <v>17.059412762959134</v>
      </c>
      <c r="AR43" s="112">
        <f t="shared" ref="AR43:AV43" si="53">AR38/AR41</f>
        <v>3.2517171123870785</v>
      </c>
      <c r="AS43" s="112">
        <f t="shared" si="53"/>
        <v>3.9027439826501396</v>
      </c>
      <c r="AT43" s="112">
        <f t="shared" si="53"/>
        <v>3.2865945441154572</v>
      </c>
      <c r="AU43" s="112">
        <f t="shared" si="53"/>
        <v>6.5139888870635358</v>
      </c>
      <c r="AV43" s="113">
        <f t="shared" si="53"/>
        <v>16.955044525190246</v>
      </c>
    </row>
    <row r="44" spans="1:48" x14ac:dyDescent="0.25">
      <c r="A44" s="53"/>
      <c r="B44" s="739" t="s">
        <v>58</v>
      </c>
      <c r="C44" s="740"/>
      <c r="D44" s="112">
        <f t="shared" ref="D44:AQ44" si="54">D38/D42</f>
        <v>2.4195804195804196</v>
      </c>
      <c r="E44" s="112">
        <f t="shared" si="54"/>
        <v>2.441696113074205</v>
      </c>
      <c r="F44" s="112">
        <f t="shared" si="54"/>
        <v>1.8436363636363637</v>
      </c>
      <c r="G44" s="112">
        <f t="shared" si="54"/>
        <v>-0.26022304832713755</v>
      </c>
      <c r="H44" s="113">
        <f t="shared" si="54"/>
        <v>6.5098946195400433</v>
      </c>
      <c r="I44" s="112">
        <f t="shared" si="54"/>
        <v>2.6540460282108391</v>
      </c>
      <c r="J44" s="112">
        <f t="shared" si="54"/>
        <v>2.5925925925925926</v>
      </c>
      <c r="K44" s="112">
        <f t="shared" si="54"/>
        <v>2.07380073800738</v>
      </c>
      <c r="L44" s="112">
        <f t="shared" si="54"/>
        <v>3.7541405962458594</v>
      </c>
      <c r="M44" s="113">
        <f t="shared" si="54"/>
        <v>11.069782485647288</v>
      </c>
      <c r="N44" s="112">
        <f t="shared" si="54"/>
        <v>2.1911764705882355</v>
      </c>
      <c r="O44" s="112">
        <f t="shared" si="54"/>
        <v>2.8399379831022342</v>
      </c>
      <c r="P44" s="112">
        <f t="shared" si="54"/>
        <v>7.5970695970695967</v>
      </c>
      <c r="Q44" s="112">
        <f t="shared" si="54"/>
        <v>4.153005843773018</v>
      </c>
      <c r="R44" s="113">
        <f t="shared" si="54"/>
        <v>16.790766749908176</v>
      </c>
      <c r="S44" s="112">
        <f t="shared" si="54"/>
        <v>3.1017830609212482</v>
      </c>
      <c r="T44" s="112">
        <f t="shared" si="54"/>
        <v>3.5097597597597598</v>
      </c>
      <c r="U44" s="112">
        <f t="shared" si="54"/>
        <v>2.8048734201237329</v>
      </c>
      <c r="V44" s="112">
        <f t="shared" si="54"/>
        <v>-7.5614439324116747</v>
      </c>
      <c r="W44" s="113">
        <f t="shared" si="54"/>
        <v>2.0273676556851146</v>
      </c>
      <c r="X44" s="112">
        <f t="shared" si="54"/>
        <v>2.560315876195125</v>
      </c>
      <c r="Y44" s="112">
        <f t="shared" si="54"/>
        <v>3.1326322795043167</v>
      </c>
      <c r="Z44" s="112">
        <f t="shared" si="54"/>
        <v>2.695627497005725</v>
      </c>
      <c r="AA44" s="112">
        <f t="shared" si="54"/>
        <v>4.9504640448865747</v>
      </c>
      <c r="AB44" s="113">
        <f t="shared" si="54"/>
        <v>13.33826019758958</v>
      </c>
      <c r="AC44" s="112">
        <f t="shared" si="54"/>
        <v>3.165838326730678</v>
      </c>
      <c r="AD44" s="112">
        <f t="shared" si="54"/>
        <v>3.7030411596461601</v>
      </c>
      <c r="AE44" s="112">
        <f t="shared" si="54"/>
        <v>3.1464737333147759</v>
      </c>
      <c r="AF44" s="112">
        <f t="shared" si="54"/>
        <v>6.0224570058700326</v>
      </c>
      <c r="AG44" s="113">
        <f t="shared" si="54"/>
        <v>16.036998251264944</v>
      </c>
      <c r="AH44" s="112">
        <f t="shared" si="54"/>
        <v>3.4659313337766768</v>
      </c>
      <c r="AI44" s="112">
        <f t="shared" si="54"/>
        <v>4.161917394899298</v>
      </c>
      <c r="AJ44" s="112">
        <f t="shared" si="54"/>
        <v>3.5784479735712091</v>
      </c>
      <c r="AK44" s="112">
        <f t="shared" si="54"/>
        <v>6.8436496492462489</v>
      </c>
      <c r="AL44" s="113">
        <f t="shared" si="54"/>
        <v>18.049056427289116</v>
      </c>
      <c r="AM44" s="112">
        <f t="shared" si="54"/>
        <v>3.5616113933063476</v>
      </c>
      <c r="AN44" s="112">
        <f t="shared" si="54"/>
        <v>4.2908361939749877</v>
      </c>
      <c r="AO44" s="112">
        <f t="shared" si="54"/>
        <v>3.6680327410632096</v>
      </c>
      <c r="AP44" s="112">
        <f t="shared" si="54"/>
        <v>7.1450637505334216</v>
      </c>
      <c r="AQ44" s="113">
        <f t="shared" si="54"/>
        <v>18.66461099329765</v>
      </c>
      <c r="AR44" s="112">
        <f t="shared" ref="AR44:AV44" si="55">AR38/AR42</f>
        <v>3.6070064995770017</v>
      </c>
      <c r="AS44" s="112">
        <f t="shared" si="55"/>
        <v>4.3559830238668598</v>
      </c>
      <c r="AT44" s="112">
        <f t="shared" si="55"/>
        <v>3.69104734783987</v>
      </c>
      <c r="AU44" s="112">
        <f t="shared" si="55"/>
        <v>7.36112195934935</v>
      </c>
      <c r="AV44" s="113">
        <f t="shared" si="55"/>
        <v>19.01418867194413</v>
      </c>
    </row>
    <row r="45" spans="1:48" s="537" customFormat="1" outlineLevel="1" x14ac:dyDescent="0.25">
      <c r="A45" s="527"/>
      <c r="B45" s="538" t="s">
        <v>352</v>
      </c>
      <c r="C45" s="549"/>
      <c r="D45" s="550">
        <f t="shared" ref="D45:AQ45" si="56">+D40/D42</f>
        <v>2.4195804195804196</v>
      </c>
      <c r="E45" s="550">
        <f t="shared" si="56"/>
        <v>2.441696113074205</v>
      </c>
      <c r="F45" s="550">
        <f t="shared" si="56"/>
        <v>1.8436363636363637</v>
      </c>
      <c r="G45" s="550">
        <f t="shared" si="56"/>
        <v>-0.26022304832713755</v>
      </c>
      <c r="H45" s="551">
        <f t="shared" si="56"/>
        <v>6.5098946195400433</v>
      </c>
      <c r="I45" s="550">
        <f t="shared" si="56"/>
        <v>2.8210838901262068</v>
      </c>
      <c r="J45" s="550">
        <f t="shared" si="56"/>
        <v>2.7777777777777777</v>
      </c>
      <c r="K45" s="550">
        <f t="shared" si="56"/>
        <v>2.3062730627306274</v>
      </c>
      <c r="L45" s="550">
        <f t="shared" si="56"/>
        <v>4.188443135811557</v>
      </c>
      <c r="M45" s="551">
        <f t="shared" si="56"/>
        <v>12.089221913754946</v>
      </c>
      <c r="N45" s="550">
        <f t="shared" si="56"/>
        <v>2.5110294117647061</v>
      </c>
      <c r="O45" s="550">
        <f t="shared" si="56"/>
        <v>3.1734016688600448</v>
      </c>
      <c r="P45" s="550">
        <f t="shared" si="56"/>
        <v>3.7216117216117217</v>
      </c>
      <c r="Q45" s="550">
        <f t="shared" si="56"/>
        <v>5.91055927044951</v>
      </c>
      <c r="R45" s="551">
        <f>+R40/R42</f>
        <v>15.31445385971354</v>
      </c>
      <c r="S45" s="550">
        <f>+S40/S42</f>
        <v>3.4643387815750373</v>
      </c>
      <c r="T45" s="550">
        <f t="shared" si="56"/>
        <v>4.033408408408409</v>
      </c>
      <c r="U45" s="550">
        <f t="shared" si="56"/>
        <v>3.0250123353702505</v>
      </c>
      <c r="V45" s="550">
        <f>+V40/(V42+2.8)</f>
        <v>5.0132978723404253</v>
      </c>
      <c r="W45" s="551">
        <f>+W40/(W42-0.5)</f>
        <v>15.51596270401401</v>
      </c>
      <c r="X45" s="842">
        <f t="shared" si="56"/>
        <v>3.1820765476796402</v>
      </c>
      <c r="Y45" s="842">
        <f t="shared" si="56"/>
        <v>3.6121778067531731</v>
      </c>
      <c r="Z45" s="842">
        <f t="shared" si="56"/>
        <v>2.9844190321116479</v>
      </c>
      <c r="AA45" s="842">
        <f t="shared" si="56"/>
        <v>4.9127550288202082</v>
      </c>
      <c r="AB45" s="552">
        <f t="shared" si="56"/>
        <v>14.700047400443305</v>
      </c>
      <c r="AC45" s="550">
        <f t="shared" si="56"/>
        <v>3.3932331438689589</v>
      </c>
      <c r="AD45" s="550">
        <f t="shared" si="56"/>
        <v>3.8555868734707577</v>
      </c>
      <c r="AE45" s="550">
        <f t="shared" si="56"/>
        <v>3.2508548428769131</v>
      </c>
      <c r="AF45" s="550">
        <f t="shared" si="56"/>
        <v>5.8525905469472672</v>
      </c>
      <c r="AG45" s="844">
        <f t="shared" si="56"/>
        <v>16.355728584234452</v>
      </c>
      <c r="AH45" s="550">
        <f t="shared" si="56"/>
        <v>3.4659313337766768</v>
      </c>
      <c r="AI45" s="550">
        <f t="shared" si="56"/>
        <v>4.161917394899298</v>
      </c>
      <c r="AJ45" s="550">
        <f t="shared" si="56"/>
        <v>3.5784479735712091</v>
      </c>
      <c r="AK45" s="550">
        <f t="shared" si="56"/>
        <v>6.6673586775150522</v>
      </c>
      <c r="AL45" s="844">
        <f t="shared" si="56"/>
        <v>17.874100268937767</v>
      </c>
      <c r="AM45" s="550">
        <f t="shared" si="56"/>
        <v>3.5616113933063476</v>
      </c>
      <c r="AN45" s="550">
        <f t="shared" si="56"/>
        <v>4.2908361939749877</v>
      </c>
      <c r="AO45" s="550">
        <f t="shared" si="56"/>
        <v>3.6680327410632096</v>
      </c>
      <c r="AP45" s="550">
        <f t="shared" si="56"/>
        <v>6.9643989260121639</v>
      </c>
      <c r="AQ45" s="551">
        <f t="shared" si="56"/>
        <v>18.485317596832001</v>
      </c>
      <c r="AR45" s="550">
        <f t="shared" ref="AR45:AV45" si="57">+AR40/AR42</f>
        <v>3.6070064995770017</v>
      </c>
      <c r="AS45" s="550">
        <f t="shared" si="57"/>
        <v>4.3559830238668598</v>
      </c>
      <c r="AT45" s="550">
        <f t="shared" si="57"/>
        <v>3.69104734783987</v>
      </c>
      <c r="AU45" s="550">
        <f t="shared" si="57"/>
        <v>7.175930001632052</v>
      </c>
      <c r="AV45" s="551">
        <f t="shared" si="57"/>
        <v>18.830407775781271</v>
      </c>
    </row>
    <row r="46" spans="1:48" x14ac:dyDescent="0.25">
      <c r="A46" s="53"/>
      <c r="B46" s="687" t="s">
        <v>42</v>
      </c>
      <c r="C46" s="688"/>
      <c r="D46" s="114">
        <v>0.25</v>
      </c>
      <c r="E46" s="114">
        <v>0.25</v>
      </c>
      <c r="F46" s="114">
        <v>0.25</v>
      </c>
      <c r="G46" s="114">
        <v>0.25</v>
      </c>
      <c r="H46" s="115">
        <f>SUM(D46:G46)</f>
        <v>1</v>
      </c>
      <c r="I46" s="114">
        <v>0.4</v>
      </c>
      <c r="J46" s="114">
        <v>0.4</v>
      </c>
      <c r="K46" s="114">
        <v>0.4</v>
      </c>
      <c r="L46" s="114">
        <v>0.4</v>
      </c>
      <c r="M46" s="115">
        <f>SUM(I46:L46)</f>
        <v>1.6</v>
      </c>
      <c r="N46" s="114">
        <v>0.5</v>
      </c>
      <c r="O46" s="114">
        <v>0.5</v>
      </c>
      <c r="P46" s="114">
        <v>0.5</v>
      </c>
      <c r="Q46" s="114">
        <v>0.5</v>
      </c>
      <c r="R46" s="115">
        <f>SUM(N46:Q46)</f>
        <v>2</v>
      </c>
      <c r="S46" s="114">
        <v>0.65</v>
      </c>
      <c r="T46" s="114">
        <v>0.65</v>
      </c>
      <c r="U46" s="114">
        <v>0.65</v>
      </c>
      <c r="V46" s="114">
        <v>0.65</v>
      </c>
      <c r="W46" s="115">
        <f>SUM(S46:V46)</f>
        <v>2.6</v>
      </c>
      <c r="X46" s="114">
        <f>S46*(1+X47)</f>
        <v>0.8125</v>
      </c>
      <c r="Y46" s="114">
        <f>T46*(1+Y47)</f>
        <v>0.8125</v>
      </c>
      <c r="Z46" s="114">
        <f>U46*(1+Z47)</f>
        <v>0.8125</v>
      </c>
      <c r="AA46" s="114">
        <f>V46*(1+AA47)</f>
        <v>0.8125</v>
      </c>
      <c r="AB46" s="115">
        <f>SUM(X46:AA46)</f>
        <v>3.25</v>
      </c>
      <c r="AC46" s="114">
        <f>X46*(1+AC47)</f>
        <v>1.015625</v>
      </c>
      <c r="AD46" s="114">
        <f>Y46*(1+AD47)</f>
        <v>1.015625</v>
      </c>
      <c r="AE46" s="114">
        <f>Z46*(1+AE47)</f>
        <v>1.015625</v>
      </c>
      <c r="AF46" s="114">
        <f>AA46*(1+AF47)</f>
        <v>1.015625</v>
      </c>
      <c r="AG46" s="115">
        <f>SUM(AC46:AF46)</f>
        <v>4.0625</v>
      </c>
      <c r="AH46" s="114">
        <f>AC46*(1+AH47)</f>
        <v>1.21875</v>
      </c>
      <c r="AI46" s="114">
        <f>AD46*(1+AI47)</f>
        <v>1.21875</v>
      </c>
      <c r="AJ46" s="114">
        <f>AE46*(1+AJ47)</f>
        <v>1.21875</v>
      </c>
      <c r="AK46" s="114">
        <f>AF46*(1+AK47)</f>
        <v>1.21875</v>
      </c>
      <c r="AL46" s="115">
        <f>SUM(AH46:AK46)</f>
        <v>4.875</v>
      </c>
      <c r="AM46" s="114">
        <f>AH46*(1+AM47)</f>
        <v>1.4015624999999998</v>
      </c>
      <c r="AN46" s="114">
        <f>AI46*(1+AN47)</f>
        <v>1.4015624999999998</v>
      </c>
      <c r="AO46" s="114">
        <f>AJ46*(1+AO47)</f>
        <v>1.4015624999999998</v>
      </c>
      <c r="AP46" s="114">
        <f>AK46*(1+AP47)</f>
        <v>1.4015624999999998</v>
      </c>
      <c r="AQ46" s="115">
        <f>SUM(AM46:AP46)</f>
        <v>5.6062499999999993</v>
      </c>
      <c r="AR46" s="114">
        <f>AM46*(1+AR47)</f>
        <v>1.6117968749999996</v>
      </c>
      <c r="AS46" s="114">
        <f>AN46*(1+AS47)</f>
        <v>1.6117968749999996</v>
      </c>
      <c r="AT46" s="114">
        <f>AO46*(1+AT47)</f>
        <v>1.6117968749999996</v>
      </c>
      <c r="AU46" s="114">
        <f>AP46*(1+AU47)</f>
        <v>1.6117968749999996</v>
      </c>
      <c r="AV46" s="115">
        <f>SUM(AR46:AU46)</f>
        <v>6.4471874999999983</v>
      </c>
    </row>
    <row r="47" spans="1:48" x14ac:dyDescent="0.25">
      <c r="B47" s="301" t="s">
        <v>81</v>
      </c>
      <c r="C47" s="302"/>
      <c r="D47" s="116">
        <f>D46/0.2-1</f>
        <v>0.25</v>
      </c>
      <c r="E47" s="116">
        <f>E46/0.2-1</f>
        <v>0.25</v>
      </c>
      <c r="F47" s="116">
        <f>F46/0.2-1</f>
        <v>0.25</v>
      </c>
      <c r="G47" s="116">
        <f>G46/0.2-1</f>
        <v>0.25</v>
      </c>
      <c r="H47" s="409">
        <f>H46/0.8-1</f>
        <v>0.25</v>
      </c>
      <c r="I47" s="116">
        <f t="shared" ref="I47:V47" si="58">I46/D46-1</f>
        <v>0.60000000000000009</v>
      </c>
      <c r="J47" s="116">
        <f t="shared" si="58"/>
        <v>0.60000000000000009</v>
      </c>
      <c r="K47" s="116">
        <f t="shared" si="58"/>
        <v>0.60000000000000009</v>
      </c>
      <c r="L47" s="116">
        <f t="shared" si="58"/>
        <v>0.60000000000000009</v>
      </c>
      <c r="M47" s="409">
        <f t="shared" si="58"/>
        <v>0.60000000000000009</v>
      </c>
      <c r="N47" s="116">
        <f t="shared" si="58"/>
        <v>0.25</v>
      </c>
      <c r="O47" s="116">
        <f t="shared" si="58"/>
        <v>0.25</v>
      </c>
      <c r="P47" s="116">
        <f t="shared" si="58"/>
        <v>0.25</v>
      </c>
      <c r="Q47" s="116">
        <f t="shared" si="58"/>
        <v>0.25</v>
      </c>
      <c r="R47" s="410">
        <f t="shared" si="58"/>
        <v>0.25</v>
      </c>
      <c r="S47" s="116">
        <f t="shared" si="58"/>
        <v>0.30000000000000004</v>
      </c>
      <c r="T47" s="116">
        <f t="shared" si="58"/>
        <v>0.30000000000000004</v>
      </c>
      <c r="U47" s="116">
        <f t="shared" si="58"/>
        <v>0.30000000000000004</v>
      </c>
      <c r="V47" s="116">
        <f t="shared" si="58"/>
        <v>0.30000000000000004</v>
      </c>
      <c r="W47" s="410">
        <f>W46/R46-1</f>
        <v>0.30000000000000004</v>
      </c>
      <c r="X47" s="307">
        <v>0.25</v>
      </c>
      <c r="Y47" s="307">
        <v>0.25</v>
      </c>
      <c r="Z47" s="307">
        <v>0.25</v>
      </c>
      <c r="AA47" s="307">
        <v>0.25</v>
      </c>
      <c r="AB47" s="410">
        <f>AB46/W46-1</f>
        <v>0.25</v>
      </c>
      <c r="AC47" s="307">
        <v>0.25</v>
      </c>
      <c r="AD47" s="307">
        <v>0.25</v>
      </c>
      <c r="AE47" s="307">
        <v>0.25</v>
      </c>
      <c r="AF47" s="307">
        <v>0.25</v>
      </c>
      <c r="AG47" s="410">
        <f>AG46/AB46-1</f>
        <v>0.25</v>
      </c>
      <c r="AH47" s="307">
        <v>0.2</v>
      </c>
      <c r="AI47" s="307">
        <v>0.2</v>
      </c>
      <c r="AJ47" s="307">
        <v>0.2</v>
      </c>
      <c r="AK47" s="307">
        <v>0.2</v>
      </c>
      <c r="AL47" s="410">
        <f>AL46/AG46-1</f>
        <v>0.19999999999999996</v>
      </c>
      <c r="AM47" s="307">
        <v>0.15</v>
      </c>
      <c r="AN47" s="307">
        <v>0.15</v>
      </c>
      <c r="AO47" s="307">
        <v>0.15</v>
      </c>
      <c r="AP47" s="307">
        <v>0.15</v>
      </c>
      <c r="AQ47" s="410">
        <f>AQ46/AL46-1</f>
        <v>0.14999999999999991</v>
      </c>
      <c r="AR47" s="307">
        <v>0.15</v>
      </c>
      <c r="AS47" s="307">
        <v>0.15</v>
      </c>
      <c r="AT47" s="307">
        <v>0.15</v>
      </c>
      <c r="AU47" s="307">
        <v>0.15</v>
      </c>
      <c r="AV47" s="410">
        <f>AV46/AQ46-1</f>
        <v>0.14999999999999991</v>
      </c>
    </row>
    <row r="48" spans="1:48" s="59" customFormat="1" x14ac:dyDescent="0.25">
      <c r="B48" s="117"/>
      <c r="C48" s="187"/>
      <c r="D48" s="187"/>
      <c r="E48" s="187"/>
      <c r="F48" s="187"/>
      <c r="G48" s="187"/>
      <c r="H48" s="62"/>
      <c r="I48" s="187"/>
      <c r="J48" s="187"/>
      <c r="K48" s="187"/>
      <c r="L48" s="187"/>
      <c r="M48" s="62"/>
      <c r="N48" s="187"/>
      <c r="O48" s="187"/>
      <c r="P48" s="187"/>
      <c r="Q48" s="187"/>
      <c r="R48" s="62"/>
      <c r="S48" s="417"/>
      <c r="T48" s="187"/>
      <c r="U48" s="187"/>
      <c r="V48" s="187"/>
      <c r="W48" s="62"/>
      <c r="X48" s="187"/>
      <c r="Y48" s="187"/>
      <c r="Z48" s="187"/>
      <c r="AA48" s="187"/>
      <c r="AB48" s="62"/>
      <c r="AC48" s="187"/>
      <c r="AD48" s="187"/>
      <c r="AE48" s="187"/>
      <c r="AF48" s="187"/>
      <c r="AG48" s="62"/>
      <c r="AH48" s="187"/>
      <c r="AI48" s="187"/>
      <c r="AJ48" s="187"/>
      <c r="AK48" s="187"/>
      <c r="AL48" s="62"/>
      <c r="AM48" s="187"/>
      <c r="AN48" s="187"/>
      <c r="AO48" s="187"/>
      <c r="AP48" s="187"/>
      <c r="AQ48" s="62"/>
      <c r="AR48" s="187"/>
      <c r="AS48" s="187"/>
      <c r="AT48" s="187"/>
      <c r="AU48" s="187"/>
      <c r="AV48" s="62"/>
    </row>
    <row r="49" spans="1:48" ht="15.75" x14ac:dyDescent="0.25">
      <c r="A49" s="53"/>
      <c r="B49" s="691" t="s">
        <v>87</v>
      </c>
      <c r="C49" s="692"/>
      <c r="D49" s="89" t="s">
        <v>116</v>
      </c>
      <c r="E49" s="89" t="s">
        <v>117</v>
      </c>
      <c r="F49" s="89" t="s">
        <v>118</v>
      </c>
      <c r="G49" s="89" t="s">
        <v>119</v>
      </c>
      <c r="H49" s="396" t="s">
        <v>119</v>
      </c>
      <c r="I49" s="89" t="s">
        <v>120</v>
      </c>
      <c r="J49" s="89" t="s">
        <v>121</v>
      </c>
      <c r="K49" s="89" t="s">
        <v>122</v>
      </c>
      <c r="L49" s="89" t="s">
        <v>123</v>
      </c>
      <c r="M49" s="396" t="s">
        <v>123</v>
      </c>
      <c r="N49" s="89" t="s">
        <v>124</v>
      </c>
      <c r="O49" s="89" t="s">
        <v>125</v>
      </c>
      <c r="P49" s="89" t="s">
        <v>126</v>
      </c>
      <c r="Q49" s="89" t="s">
        <v>127</v>
      </c>
      <c r="R49" s="396" t="s">
        <v>127</v>
      </c>
      <c r="S49" s="89" t="s">
        <v>128</v>
      </c>
      <c r="T49" s="89" t="s">
        <v>129</v>
      </c>
      <c r="U49" s="89" t="s">
        <v>130</v>
      </c>
      <c r="V49" s="89" t="s">
        <v>131</v>
      </c>
      <c r="W49" s="396" t="s">
        <v>131</v>
      </c>
      <c r="X49" s="91" t="s">
        <v>132</v>
      </c>
      <c r="Y49" s="91" t="s">
        <v>133</v>
      </c>
      <c r="Z49" s="91" t="s">
        <v>134</v>
      </c>
      <c r="AA49" s="91" t="s">
        <v>135</v>
      </c>
      <c r="AB49" s="400" t="s">
        <v>135</v>
      </c>
      <c r="AC49" s="91" t="s">
        <v>136</v>
      </c>
      <c r="AD49" s="91" t="s">
        <v>137</v>
      </c>
      <c r="AE49" s="91" t="s">
        <v>138</v>
      </c>
      <c r="AF49" s="91" t="s">
        <v>139</v>
      </c>
      <c r="AG49" s="400" t="s">
        <v>139</v>
      </c>
      <c r="AH49" s="91" t="s">
        <v>140</v>
      </c>
      <c r="AI49" s="91" t="s">
        <v>141</v>
      </c>
      <c r="AJ49" s="91" t="s">
        <v>142</v>
      </c>
      <c r="AK49" s="91" t="s">
        <v>143</v>
      </c>
      <c r="AL49" s="400" t="s">
        <v>143</v>
      </c>
      <c r="AM49" s="91" t="s">
        <v>144</v>
      </c>
      <c r="AN49" s="91" t="s">
        <v>145</v>
      </c>
      <c r="AO49" s="91" t="s">
        <v>146</v>
      </c>
      <c r="AP49" s="91" t="s">
        <v>147</v>
      </c>
      <c r="AQ49" s="400" t="s">
        <v>147</v>
      </c>
      <c r="AR49" s="91" t="s">
        <v>777</v>
      </c>
      <c r="AS49" s="91" t="s">
        <v>778</v>
      </c>
      <c r="AT49" s="91" t="s">
        <v>779</v>
      </c>
      <c r="AU49" s="91" t="s">
        <v>780</v>
      </c>
      <c r="AV49" s="400" t="s">
        <v>780</v>
      </c>
    </row>
    <row r="50" spans="1:48" ht="17.25" x14ac:dyDescent="0.4">
      <c r="A50" s="53"/>
      <c r="B50" s="715"/>
      <c r="C50" s="716"/>
      <c r="D50" s="90" t="s">
        <v>69</v>
      </c>
      <c r="E50" s="90" t="s">
        <v>72</v>
      </c>
      <c r="F50" s="90" t="s">
        <v>73</v>
      </c>
      <c r="G50" s="90" t="s">
        <v>76</v>
      </c>
      <c r="H50" s="397" t="s">
        <v>77</v>
      </c>
      <c r="I50" s="90" t="s">
        <v>78</v>
      </c>
      <c r="J50" s="90" t="s">
        <v>89</v>
      </c>
      <c r="K50" s="90" t="s">
        <v>105</v>
      </c>
      <c r="L50" s="90" t="s">
        <v>109</v>
      </c>
      <c r="M50" s="397" t="s">
        <v>110</v>
      </c>
      <c r="N50" s="90" t="s">
        <v>111</v>
      </c>
      <c r="O50" s="90" t="s">
        <v>112</v>
      </c>
      <c r="P50" s="90" t="s">
        <v>113</v>
      </c>
      <c r="Q50" s="90" t="s">
        <v>114</v>
      </c>
      <c r="R50" s="397" t="s">
        <v>115</v>
      </c>
      <c r="S50" s="90" t="s">
        <v>492</v>
      </c>
      <c r="T50" s="90" t="s">
        <v>734</v>
      </c>
      <c r="U50" s="90" t="s">
        <v>753</v>
      </c>
      <c r="V50" s="90" t="s">
        <v>771</v>
      </c>
      <c r="W50" s="397" t="s">
        <v>773</v>
      </c>
      <c r="X50" s="88" t="s">
        <v>371</v>
      </c>
      <c r="Y50" s="88" t="s">
        <v>372</v>
      </c>
      <c r="Z50" s="88" t="s">
        <v>373</v>
      </c>
      <c r="AA50" s="88" t="s">
        <v>374</v>
      </c>
      <c r="AB50" s="401" t="s">
        <v>375</v>
      </c>
      <c r="AC50" s="88" t="s">
        <v>376</v>
      </c>
      <c r="AD50" s="88" t="s">
        <v>377</v>
      </c>
      <c r="AE50" s="88" t="s">
        <v>378</v>
      </c>
      <c r="AF50" s="88" t="s">
        <v>379</v>
      </c>
      <c r="AG50" s="401" t="s">
        <v>380</v>
      </c>
      <c r="AH50" s="88" t="s">
        <v>381</v>
      </c>
      <c r="AI50" s="88" t="s">
        <v>382</v>
      </c>
      <c r="AJ50" s="88" t="s">
        <v>383</v>
      </c>
      <c r="AK50" s="88" t="s">
        <v>384</v>
      </c>
      <c r="AL50" s="401" t="s">
        <v>385</v>
      </c>
      <c r="AM50" s="88" t="s">
        <v>386</v>
      </c>
      <c r="AN50" s="88" t="s">
        <v>387</v>
      </c>
      <c r="AO50" s="88" t="s">
        <v>388</v>
      </c>
      <c r="AP50" s="88" t="s">
        <v>389</v>
      </c>
      <c r="AQ50" s="401" t="s">
        <v>390</v>
      </c>
      <c r="AR50" s="88" t="s">
        <v>781</v>
      </c>
      <c r="AS50" s="88" t="s">
        <v>782</v>
      </c>
      <c r="AT50" s="88" t="s">
        <v>783</v>
      </c>
      <c r="AU50" s="88" t="s">
        <v>784</v>
      </c>
      <c r="AV50" s="401" t="s">
        <v>785</v>
      </c>
    </row>
    <row r="51" spans="1:48" ht="15.75" x14ac:dyDescent="0.25">
      <c r="A51" s="53"/>
      <c r="B51" s="691" t="s">
        <v>193</v>
      </c>
      <c r="C51" s="692"/>
      <c r="D51" s="89"/>
      <c r="E51" s="89"/>
      <c r="F51" s="89"/>
      <c r="G51" s="89"/>
      <c r="H51" s="396"/>
      <c r="I51" s="89"/>
      <c r="J51" s="89"/>
      <c r="K51" s="89"/>
      <c r="L51" s="89"/>
      <c r="M51" s="396"/>
      <c r="N51" s="89"/>
      <c r="O51" s="89"/>
      <c r="P51" s="89"/>
      <c r="Q51" s="89"/>
      <c r="R51" s="396"/>
      <c r="S51" s="89"/>
      <c r="T51" s="89"/>
      <c r="U51" s="89"/>
      <c r="V51" s="89"/>
      <c r="W51" s="396"/>
      <c r="X51" s="91"/>
      <c r="Y51" s="91"/>
      <c r="Z51" s="91"/>
      <c r="AA51" s="91"/>
      <c r="AB51" s="400"/>
      <c r="AC51" s="91"/>
      <c r="AD51" s="91"/>
      <c r="AE51" s="91"/>
      <c r="AF51" s="91"/>
      <c r="AG51" s="400"/>
      <c r="AH51" s="91"/>
      <c r="AI51" s="91"/>
      <c r="AJ51" s="91"/>
      <c r="AK51" s="91"/>
      <c r="AL51" s="400"/>
      <c r="AM51" s="91"/>
      <c r="AN51" s="91"/>
      <c r="AO51" s="91"/>
      <c r="AP51" s="91"/>
      <c r="AQ51" s="400"/>
      <c r="AR51" s="91"/>
      <c r="AS51" s="91"/>
      <c r="AT51" s="91"/>
      <c r="AU51" s="91"/>
      <c r="AV51" s="400"/>
    </row>
    <row r="52" spans="1:48" outlineLevel="1" x14ac:dyDescent="0.25">
      <c r="A52" s="53"/>
      <c r="B52" s="248" t="s">
        <v>355</v>
      </c>
      <c r="C52" s="288"/>
      <c r="D52" s="261">
        <f>+D79+D85+D91+D97+D103+D109</f>
        <v>4036.4</v>
      </c>
      <c r="E52" s="261">
        <f>+E79+E85+E91+E97+E103+E109</f>
        <v>4263.5</v>
      </c>
      <c r="F52" s="261">
        <f>+F79+F85+F91+F97+F103+F109</f>
        <v>4308.7</v>
      </c>
      <c r="G52" s="261">
        <f>+G79+G85+G91+G97+G103+G109</f>
        <v>4104.2079999999996</v>
      </c>
      <c r="H52" s="54"/>
      <c r="I52" s="261">
        <f>+I79+I85+I91+I97+I103+I109</f>
        <v>5559</v>
      </c>
      <c r="J52" s="261">
        <f>+J79+J85+J91+J97+J103+J109</f>
        <v>6034.5038999999997</v>
      </c>
      <c r="K52" s="261">
        <f>+K79+K85+K91+K97+K103+K109</f>
        <v>6156.3000000000011</v>
      </c>
      <c r="L52" s="261">
        <f>+L79+L85+L91+L97+L103+L109</f>
        <v>5867.4989989999995</v>
      </c>
      <c r="M52" s="54"/>
      <c r="N52" s="261">
        <f>+N79+N85+N91+N97+N103+N109</f>
        <v>5615.5999999999995</v>
      </c>
      <c r="O52" s="261">
        <f>+O79+O85+O91+O97+O103+O109</f>
        <v>6216</v>
      </c>
      <c r="P52" s="261">
        <f>+P79+P85+P91+P97+P103+P109</f>
        <v>6122.1</v>
      </c>
      <c r="Q52" s="261">
        <f>+Q79+Q85+Q91+Q97+Q103+Q109</f>
        <v>5874.2</v>
      </c>
      <c r="R52" s="54"/>
      <c r="S52" s="261">
        <f>+S79+S85+S91+S97+S103+S109</f>
        <v>5886.7000000000007</v>
      </c>
      <c r="T52" s="261">
        <f>+T79+T85+T91+T97+T103+T109</f>
        <v>6449.5</v>
      </c>
      <c r="U52" s="261">
        <f>+U79+U85+U91+U97+U103+U109</f>
        <v>6283.4</v>
      </c>
      <c r="V52" s="261">
        <f>+V79+V85+V91+V97+V103+V109</f>
        <v>6195.3444400000008</v>
      </c>
      <c r="W52" s="54"/>
      <c r="X52" s="261">
        <f>+X79+X85+X91+X97+X103+X109</f>
        <v>5967.306478881268</v>
      </c>
      <c r="Y52" s="261">
        <f>+Y79+Y85+Y91+Y97+Y103+Y109</f>
        <v>6671.9424515434584</v>
      </c>
      <c r="Z52" s="261">
        <f>+Z79+Z85+Z91+Z97+Z103+Z109</f>
        <v>6585.0109881200733</v>
      </c>
      <c r="AA52" s="261">
        <f>+AA79+AA85+AA91+AA97+AA103+AA109</f>
        <v>6510.9560615034807</v>
      </c>
      <c r="AB52" s="54"/>
      <c r="AC52" s="261">
        <f>+AC79+AC85+AC91+AC97+AC103+AC109</f>
        <v>6244.5139552362525</v>
      </c>
      <c r="AD52" s="261">
        <f>+AD79+AD85+AD91+AD97+AD103+AD109</f>
        <v>7047.1959522973648</v>
      </c>
      <c r="AE52" s="261">
        <f>+AE79+AE85+AE91+AE97+AE103+AE109</f>
        <v>7011.1094275714931</v>
      </c>
      <c r="AF52" s="261">
        <f>+AF79+AF85+AF91+AF97+AF103+AF109</f>
        <v>6933.8707402751752</v>
      </c>
      <c r="AG52" s="54"/>
      <c r="AH52" s="261">
        <f>+AH79+AH85+AH91+AH97+AH103+AH109</f>
        <v>6603.4037189357232</v>
      </c>
      <c r="AI52" s="261">
        <f>+AI79+AI85+AI91+AI97+AI103+AI109</f>
        <v>7484.7091650745097</v>
      </c>
      <c r="AJ52" s="261">
        <f>+AJ79+AJ85+AJ91+AJ97+AJ103+AJ109</f>
        <v>7478.9782548981693</v>
      </c>
      <c r="AK52" s="261">
        <f>+AK79+AK85+AK91+AK97+AK103+AK109</f>
        <v>7372.1304188518607</v>
      </c>
      <c r="AL52" s="54"/>
      <c r="AM52" s="261">
        <f>+AM79+AM85+AM91+AM97+AM103+AM109</f>
        <v>7001.2230857688592</v>
      </c>
      <c r="AN52" s="261">
        <f>+AN79+AN85+AN91+AN97+AN103+AN109</f>
        <v>7954.86373592973</v>
      </c>
      <c r="AO52" s="261">
        <f>+AO79+AO85+AO91+AO97+AO103+AO109</f>
        <v>7975.9924518115258</v>
      </c>
      <c r="AP52" s="261">
        <f>+AP79+AP85+AP91+AP97+AP103+AP109</f>
        <v>7830.2622172746678</v>
      </c>
      <c r="AQ52" s="54"/>
      <c r="AR52" s="261">
        <f>+AR79+AR85+AR91+AR97+AR103+AR109</f>
        <v>7427.1359728832449</v>
      </c>
      <c r="AS52" s="261">
        <f>+AS79+AS85+AS91+AS97+AS103+AS109</f>
        <v>8454.7671997956531</v>
      </c>
      <c r="AT52" s="261">
        <f>+AT79+AT85+AT91+AT97+AT103+AT109</f>
        <v>8506.7323300208773</v>
      </c>
      <c r="AU52" s="261">
        <f>+AU79+AU85+AU91+AU97+AU103+AU109</f>
        <v>8316.7664834845091</v>
      </c>
      <c r="AV52" s="54"/>
    </row>
    <row r="53" spans="1:48" outlineLevel="1" x14ac:dyDescent="0.25">
      <c r="A53" s="53"/>
      <c r="B53" s="248" t="s">
        <v>194</v>
      </c>
      <c r="C53" s="288"/>
      <c r="D53" s="142">
        <f>+(D79/D52*D81)+(D85/D52*D87)+(D91/D52*D93)+(D97/D52*D99)+(D103/D52*D105)+(D109/D52*D111)</f>
        <v>20.051755029233966</v>
      </c>
      <c r="E53" s="142">
        <f>+(E79/E52*E81)+(E85/E52*E87)+(E91/E52*E93)+(E97/E52*E99)+(E103/E52*E105)+(E109/E52*E111)</f>
        <v>19.514230233376335</v>
      </c>
      <c r="F53" s="142">
        <f>+(F79/F52*F81)+(F85/F52*F87)+(F91/F52*F93)+(F97/F52*F99)+(F103/F52*F105)+(F109/F52*F111)</f>
        <v>19.276487571657345</v>
      </c>
      <c r="G53" s="142">
        <f>+(G79/G52*G81)+(G85/G52*G87)+(G91/G52*G93)+(G97/G52*G99)+(G103/G52*G105)+(G109/G52*G111)</f>
        <v>19.98737853634309</v>
      </c>
      <c r="H53" s="54"/>
      <c r="I53" s="142">
        <f>+(I79/I52*I81)+(I85/I52*I87)+(I91/I52*I93)+(I97/I52*I99)+(I103/I52*I105)+(I109/I52*I111)</f>
        <v>17.707042633567188</v>
      </c>
      <c r="J53" s="142">
        <f>+(J79/J52*J81)+(J85/J52*J87)+(J91/J52*J93)+(J97/J52*J99)+(J103/J52*J105)+(J109/J52*J111)</f>
        <v>17.179728071498985</v>
      </c>
      <c r="K53" s="142">
        <f>+(K79/K52*K81)+(K85/K52*K87)+(K91/K52*K93)+(K97/K52*K99)+(K103/K52*K105)+(K109/K52*K111)</f>
        <v>17.055023829248086</v>
      </c>
      <c r="L53" s="142">
        <f>+(L79/L52*L81)+(L85/L52*L87)+(L91/L52*L93)+(L97/L52*L99)+(L103/L52*L105)+(L109/L52*L111)</f>
        <v>17.925037162256018</v>
      </c>
      <c r="M53" s="54"/>
      <c r="N53" s="142">
        <f>+(N79/N52*N81)+(N85/N52*N87)+(N91/N52*N93)+(N97/N52*N99)+(N103/N52*N105)+(N109/N52*N111)</f>
        <v>18.174105527459222</v>
      </c>
      <c r="O53" s="142">
        <f>+(O79/O52*O81)+(O85/O52*O87)+(O91/O52*O93)+(O97/O52*O99)+(O103/O52*O105)+(O109/O52*O111)</f>
        <v>17.897038288288289</v>
      </c>
      <c r="P53" s="142">
        <f>+(P79/P52*P81)+(P85/P52*P87)+(P91/P52*P93)+(P97/P52*P99)+(P103/P52*P105)+(P109/P52*P111)</f>
        <v>18.445283644501067</v>
      </c>
      <c r="Q53" s="142">
        <f>+(Q79/Q52*Q81)+(Q85/Q52*Q87)+(Q91/Q52*Q93)+(Q97/Q52*Q99)+(Q103/Q52*Q105)+(Q109/Q52*Q111)</f>
        <v>19.259164413877631</v>
      </c>
      <c r="R53" s="54"/>
      <c r="S53" s="142">
        <f>+(S79/S52*S81)+(S85/S52*S87)+(S91/S52*S93)+(S97/S52*S99)+(S103/S52*S105)+(S109/S52*S111)</f>
        <v>18.636935991302426</v>
      </c>
      <c r="T53" s="142">
        <f>+(T79/T52*T81)+(T85/T52*T87)+(T91/T52*T93)+(T97/T52*T99)+(T103/T52*T105)+(T109/T52*T111)</f>
        <v>18.299246653228931</v>
      </c>
      <c r="U53" s="142">
        <f>+(U79/U52*U81)+(U85/U52*U87)+(U91/U52*U93)+(U97/U52*U99)+(U103/U52*U105)+(U109/U52*U111)</f>
        <v>18.014202438170418</v>
      </c>
      <c r="V53" s="142">
        <f>+(V79/V52*V81)+(V85/V52*V87)+(V91/V52*V93)+(V97/V52*V99)+(V103/V52*V105)+(V109/V52*V111)</f>
        <v>18.605940861565582</v>
      </c>
      <c r="W53" s="54"/>
      <c r="X53" s="142">
        <f>+(X79/X52*X81)+(X85/X52*X87)+(X91/X52*X93)+(X97/X52*X99)+(X103/X52*X105)+(X109/X52*X111)</f>
        <v>18.009436451921289</v>
      </c>
      <c r="Y53" s="142">
        <f>+(Y79/Y52*Y81)+(Y85/Y52*Y87)+(Y91/Y52*Y93)+(Y97/Y52*Y99)+(Y103/Y52*Y105)+(Y109/Y52*Y111)</f>
        <v>17.68154276361421</v>
      </c>
      <c r="Z53" s="142">
        <f>+(Z79/Z52*Z81)+(Z85/Z52*Z87)+(Z91/Z52*Z93)+(Z97/Z52*Z99)+(Z103/Z52*Z105)+(Z109/Z52*Z111)</f>
        <v>17.525685301735159</v>
      </c>
      <c r="AA53" s="142">
        <f>+(AA79/AA52*AA81)+(AA85/AA52*AA87)+(AA91/AA52*AA93)+(AA97/AA52*AA99)+(AA103/AA52*AA105)+(AA109/AA52*AA111)</f>
        <v>18.285495745597963</v>
      </c>
      <c r="AB53" s="54"/>
      <c r="AC53" s="142">
        <f>+(AC79/AC52*AC81)+(AC85/AC52*AC87)+(AC91/AC52*AC93)+(AC97/AC52*AC99)+(AC103/AC52*AC105)+(AC109/AC52*AC111)</f>
        <v>17.675584929672443</v>
      </c>
      <c r="AD53" s="142">
        <f>+(AD79/AD52*AD81)+(AD85/AD52*AD87)+(AD91/AD52*AD93)+(AD97/AD52*AD99)+(AD103/AD52*AD105)+(AD109/AD52*AD111)</f>
        <v>17.381472691056643</v>
      </c>
      <c r="AE53" s="142">
        <f>+(AE79/AE52*AE81)+(AE85/AE52*AE87)+(AE91/AE52*AE93)+(AE97/AE52*AE99)+(AE103/AE52*AE105)+(AE109/AE52*AE111)</f>
        <v>17.264171478739762</v>
      </c>
      <c r="AF53" s="142">
        <f>+(AF79/AF52*AF81)+(AF85/AF52*AF87)+(AF91/AF52*AF93)+(AF97/AF52*AF99)+(AF103/AF52*AF105)+(AF109/AF52*AF111)</f>
        <v>18.116955909101332</v>
      </c>
      <c r="AG53" s="54"/>
      <c r="AH53" s="142">
        <f>+(AH79/AH52*AH81)+(AH85/AH52*AH87)+(AH91/AH52*AH93)+(AH97/AH52*AH99)+(AH103/AH52*AH105)+(AH109/AH52*AH111)</f>
        <v>17.392438944080762</v>
      </c>
      <c r="AI53" s="142">
        <f>+(AI79/AI52*AI81)+(AI85/AI52*AI87)+(AI91/AI52*AI93)+(AI97/AI52*AI99)+(AI103/AI52*AI105)+(AI109/AI52*AI111)</f>
        <v>17.092542156067182</v>
      </c>
      <c r="AJ53" s="142">
        <f>+(AJ79/AJ52*AJ81)+(AJ85/AJ52*AJ87)+(AJ91/AJ52*AJ93)+(AJ97/AJ52*AJ99)+(AJ103/AJ52*AJ105)+(AJ109/AJ52*AJ111)</f>
        <v>16.937231679787338</v>
      </c>
      <c r="AK53" s="142">
        <f>+(AK79/AK52*AK81)+(AK85/AK52*AK87)+(AK91/AK52*AK93)+(AK97/AK52*AK99)+(AK103/AK52*AK105)+(AK109/AK52*AK111)</f>
        <v>17.807570636771306</v>
      </c>
      <c r="AL53" s="54"/>
      <c r="AM53" s="142">
        <f>+(AM79/AM52*AM81)+(AM85/AM52*AM87)+(AM91/AM52*AM93)+(AM97/AM52*AM99)+(AM103/AM52*AM105)+(AM109/AM52*AM111)</f>
        <v>17.047665582653014</v>
      </c>
      <c r="AN53" s="142">
        <f>+(AN79/AN52*AN81)+(AN85/AN52*AN87)+(AN91/AN52*AN93)+(AN97/AN52*AN99)+(AN103/AN52*AN105)+(AN109/AN52*AN111)</f>
        <v>16.718089117632665</v>
      </c>
      <c r="AO53" s="142">
        <f>+(AO79/AO52*AO81)+(AO85/AO52*AO87)+(AO91/AO52*AO93)+(AO97/AO52*AO99)+(AO103/AO52*AO105)+(AO109/AO52*AO111)</f>
        <v>16.500036134297105</v>
      </c>
      <c r="AP53" s="142">
        <f>+(AP79/AP52*AP81)+(AP85/AP52*AP87)+(AP91/AP52*AP93)+(AP97/AP52*AP99)+(AP103/AP52*AP105)+(AP109/AP52*AP111)</f>
        <v>17.370874775708334</v>
      </c>
      <c r="AQ53" s="54"/>
      <c r="AR53" s="142">
        <f>+(AR79/AR52*AR81)+(AR85/AR52*AR87)+(AR91/AR52*AR93)+(AR97/AR52*AR99)+(AR103/AR52*AR105)+(AR109/AR52*AR111)</f>
        <v>16.609410532827368</v>
      </c>
      <c r="AS53" s="142">
        <f>+(AS79/AS52*AS81)+(AS85/AS52*AS87)+(AS91/AS52*AS93)+(AS97/AS52*AS99)+(AS103/AS52*AS105)+(AS109/AS52*AS111)</f>
        <v>16.244938942964271</v>
      </c>
      <c r="AT53" s="142">
        <f>+(AT79/AT52*AT81)+(AT85/AT52*AT87)+(AT91/AT52*AT93)+(AT97/AT52*AT99)+(AT103/AT52*AT105)+(AT109/AT52*AT111)</f>
        <v>15.961345687193994</v>
      </c>
      <c r="AU53" s="142">
        <f>+(AU79/AU52*AU81)+(AU85/AU52*AU87)+(AU91/AU52*AU93)+(AU97/AU52*AU99)+(AU103/AU52*AU105)+(AU109/AU52*AU111)</f>
        <v>16.828732712736578</v>
      </c>
      <c r="AV53" s="54"/>
    </row>
    <row r="54" spans="1:48" outlineLevel="1" x14ac:dyDescent="0.25">
      <c r="A54" s="53"/>
      <c r="B54" s="311" t="s">
        <v>197</v>
      </c>
      <c r="C54" s="298"/>
      <c r="D54" s="124">
        <f>+D83+D89+D95+D101+D107+D113</f>
        <v>5260.8987599999991</v>
      </c>
      <c r="E54" s="124">
        <f>+E83+E89+E95+E101+E107+E113</f>
        <v>5241.5319978000007</v>
      </c>
      <c r="F54" s="124">
        <f>+F83+F89+F95+F101+F107+F113</f>
        <v>5232.5659260000002</v>
      </c>
      <c r="G54" s="124">
        <f>+G83+G89+G95+G101+G107+G113</f>
        <v>5332.1033277126935</v>
      </c>
      <c r="H54" s="54"/>
      <c r="I54" s="124">
        <f>+I83+I89+I95+I101+I107+I113</f>
        <v>6398.1742500000009</v>
      </c>
      <c r="J54" s="124">
        <f>+J83+J89+J95+J101+J107+J113</f>
        <v>6531.2815710492059</v>
      </c>
      <c r="K54" s="124">
        <f>+K83+K89+K95+K101+K107+K113</f>
        <v>6509.7422784000009</v>
      </c>
      <c r="L54" s="124">
        <f>+L83+L89+L95+L101+L107+L113</f>
        <v>6836.3839444273744</v>
      </c>
      <c r="M54" s="54"/>
      <c r="N54" s="124">
        <f>+N83+N89+N95+N101+N107+N113</f>
        <v>6633.8029550000001</v>
      </c>
      <c r="O54" s="124">
        <f>+O83+O89+O95+O101+O107+O113</f>
        <v>7008.6233700000003</v>
      </c>
      <c r="P54" s="124">
        <f>+P83+P89+P95+P101+P107+P113</f>
        <v>7001.2800020000004</v>
      </c>
      <c r="Q54" s="124">
        <f>+Q83+Q89+Q95+Q101+Q107+Q113</f>
        <v>7353.591934</v>
      </c>
      <c r="R54" s="54"/>
      <c r="S54" s="124">
        <f>+S83+S89+S95+S101+S107+S113</f>
        <v>7131.1533214999999</v>
      </c>
      <c r="T54" s="124">
        <f>+T83+T89+T95+T101+T107+T113</f>
        <v>7435.3224512699999</v>
      </c>
      <c r="U54" s="124">
        <f>+U83+U89+U95+U101+U107+U113</f>
        <v>7017.8072552000012</v>
      </c>
      <c r="V54" s="124">
        <f>+V83+V89+V95+V101+V107+V113</f>
        <v>7492.563797398494</v>
      </c>
      <c r="W54" s="54"/>
      <c r="X54" s="124">
        <f>+X83+X89+X95+X101+X107+X113</f>
        <v>6877.9409165152256</v>
      </c>
      <c r="Y54" s="124">
        <f>+Y83+Y89+Y95+Y101+Y107+Y113</f>
        <v>7432.1248537203373</v>
      </c>
      <c r="Z54" s="124">
        <f>+Z83+Z89+Z95+Z101+Z107+Z113</f>
        <v>7270.6303080344105</v>
      </c>
      <c r="AA54" s="124">
        <f>+AA83+AA89+AA95+AA101+AA107+AA113</f>
        <v>7619.5877991934176</v>
      </c>
      <c r="AB54" s="54"/>
      <c r="AC54" s="124">
        <f>+AC83+AC89+AC95+AC101+AC107+AC113</f>
        <v>7174.4033894197046</v>
      </c>
      <c r="AD54" s="124">
        <f>+AD83+AD89+AD95+AD101+AD107+AD113</f>
        <v>7716.9105715830374</v>
      </c>
      <c r="AE54" s="124">
        <f>+AE83+AE89+AE95+AE101+AE107+AE113</f>
        <v>7504.5417156558005</v>
      </c>
      <c r="AF54" s="124">
        <f>+AF83+AF89+AF95+AF101+AF107+AF113</f>
        <v>8165.3409812632553</v>
      </c>
      <c r="AG54" s="54"/>
      <c r="AH54" s="124">
        <f>+AH83+AH89+AH95+AH101+AH107+AH113</f>
        <v>7465.2042403058513</v>
      </c>
      <c r="AI54" s="124">
        <f>+AI83+AI89+AI95+AI101+AI107+AI113</f>
        <v>8059.7605365861227</v>
      </c>
      <c r="AJ54" s="124">
        <f>+AJ83+AJ89+AJ95+AJ101+AJ107+AJ113</f>
        <v>7853.737620740716</v>
      </c>
      <c r="AK54" s="124">
        <f>+AK83+AK89+AK95+AK101+AK107+AK113</f>
        <v>8533.1826565176725</v>
      </c>
      <c r="AL54" s="54"/>
      <c r="AM54" s="124">
        <f>+AM83+AM89+AM95+AM101+AM107+AM113</f>
        <v>7758.0431393229392</v>
      </c>
      <c r="AN54" s="124">
        <f>+AN83+AN89+AN95+AN101+AN107+AN113</f>
        <v>8378.3776139215443</v>
      </c>
      <c r="AO54" s="124">
        <f>+AO83+AO89+AO95+AO101+AO107+AO113</f>
        <v>8159.4581470298099</v>
      </c>
      <c r="AP54" s="124">
        <f>+AP83+AP89+AP95+AP101+AP107+AP113</f>
        <v>8841.2027884205054</v>
      </c>
      <c r="AQ54" s="54"/>
      <c r="AR54" s="124">
        <f>+AR83+AR89+AR95+AR101+AR107+AR113</f>
        <v>8018.4227796886207</v>
      </c>
      <c r="AS54" s="124">
        <f>+AS83+AS89+AS95+AS101+AS107+AS113</f>
        <v>8652.8721470724176</v>
      </c>
      <c r="AT54" s="124">
        <f>+AT83+AT89+AT95+AT101+AT107+AT113</f>
        <v>8418.2915140493315</v>
      </c>
      <c r="AU54" s="124">
        <f>+AU83+AU89+AU95+AU101+AU107+AU113</f>
        <v>9097.4416120124479</v>
      </c>
      <c r="AV54" s="54"/>
    </row>
    <row r="55" spans="1:48" outlineLevel="1" x14ac:dyDescent="0.25">
      <c r="A55" s="53"/>
      <c r="B55" s="160" t="s">
        <v>356</v>
      </c>
      <c r="C55" s="161"/>
      <c r="D55" s="162">
        <f>+D115+D121+D127+D133</f>
        <v>10377.9</v>
      </c>
      <c r="E55" s="162">
        <f>+E115+E121+E127+E133</f>
        <v>11495</v>
      </c>
      <c r="F55" s="162">
        <f>+F115+F121+F127+F133</f>
        <v>11376.4</v>
      </c>
      <c r="G55" s="162">
        <f>+G115+G121+G127+G133</f>
        <v>12001.89</v>
      </c>
      <c r="H55" s="164"/>
      <c r="I55" s="162">
        <f>+I115+I121+I127+I133</f>
        <v>25882.400000000001</v>
      </c>
      <c r="J55" s="162">
        <f>+J115+J121+J127+J133</f>
        <v>28145.8</v>
      </c>
      <c r="K55" s="162">
        <f>+K115+K121+K127+K133</f>
        <v>28269.4</v>
      </c>
      <c r="L55" s="162">
        <f>+L115+L121+L127+L133</f>
        <v>28036.3</v>
      </c>
      <c r="M55" s="164"/>
      <c r="N55" s="162">
        <f>+N115+N121+N127+N133</f>
        <v>24766.5</v>
      </c>
      <c r="O55" s="162">
        <f>+O115+O121+O127+O133</f>
        <v>29556</v>
      </c>
      <c r="P55" s="162">
        <f>+P115+P121+P127+P133</f>
        <v>29347.8</v>
      </c>
      <c r="Q55" s="162">
        <f>+Q115+Q121+Q127+Q133</f>
        <v>29576</v>
      </c>
      <c r="R55" s="164"/>
      <c r="S55" s="162">
        <f>+S115+S121+S127+S133</f>
        <v>28800</v>
      </c>
      <c r="T55" s="162">
        <f>+T115+T121+T127+T133</f>
        <v>31733.699999999997</v>
      </c>
      <c r="U55" s="162">
        <f>+U115+U121+U127+U133</f>
        <v>29617</v>
      </c>
      <c r="V55" s="162">
        <f>+V115+V121+V127+V133</f>
        <v>29228</v>
      </c>
      <c r="W55" s="164"/>
      <c r="X55" s="162">
        <f>+X115+X121+X127+X133</f>
        <v>29623.743917216456</v>
      </c>
      <c r="Y55" s="162">
        <f>+Y115+Y121+Y127+Y133</f>
        <v>32597.184711609338</v>
      </c>
      <c r="Z55" s="162">
        <f>+Z115+Z121+Z127+Z133</f>
        <v>30265.936731197136</v>
      </c>
      <c r="AA55" s="162">
        <f>+AA115+AA121+AA127+AA133</f>
        <v>30016.156102334335</v>
      </c>
      <c r="AB55" s="164"/>
      <c r="AC55" s="162">
        <f>+AC115+AC121+AC127+AC133</f>
        <v>30875.765455071069</v>
      </c>
      <c r="AD55" s="162">
        <f>+AD115+AD121+AD127+AD133</f>
        <v>34119.426618987469</v>
      </c>
      <c r="AE55" s="162">
        <f>+AE115+AE121+AE127+AE133</f>
        <v>31746.843773587196</v>
      </c>
      <c r="AF55" s="162">
        <f>+AF115+AF121+AF127+AF133</f>
        <v>31757.920411650906</v>
      </c>
      <c r="AG55" s="164"/>
      <c r="AH55" s="162">
        <f>+AH115+AH121+AH127+AH133</f>
        <v>32488.694210023317</v>
      </c>
      <c r="AI55" s="162">
        <f>+AI115+AI121+AI127+AI133</f>
        <v>36036.198961147449</v>
      </c>
      <c r="AJ55" s="162">
        <f>+AJ115+AJ121+AJ127+AJ133</f>
        <v>33521.309299676672</v>
      </c>
      <c r="AK55" s="162">
        <f>+AK115+AK121+AK127+AK133</f>
        <v>33658.544871206548</v>
      </c>
      <c r="AL55" s="164"/>
      <c r="AM55" s="162">
        <f>+AM115+AM121+AM127+AM133</f>
        <v>34341.757519052473</v>
      </c>
      <c r="AN55" s="162">
        <f>+AN115+AN121+AN127+AN133</f>
        <v>38187.714821597991</v>
      </c>
      <c r="AO55" s="162">
        <f>+AO115+AO121+AO127+AO133</f>
        <v>35465.132925885897</v>
      </c>
      <c r="AP55" s="162">
        <f>+AP115+AP121+AP127+AP133</f>
        <v>35698.804751766373</v>
      </c>
      <c r="AQ55" s="164"/>
      <c r="AR55" s="162">
        <f>+AR115+AR121+AR127+AR133</f>
        <v>36389.57818898277</v>
      </c>
      <c r="AS55" s="162">
        <f>+AS115+AS121+AS127+AS133</f>
        <v>40544.799903349463</v>
      </c>
      <c r="AT55" s="162">
        <f>+AT115+AT121+AT127+AT133</f>
        <v>37583.33413664336</v>
      </c>
      <c r="AU55" s="162">
        <f>+AU115+AU121+AU127+AU133</f>
        <v>37919.304008837993</v>
      </c>
      <c r="AV55" s="164"/>
    </row>
    <row r="56" spans="1:48" outlineLevel="1" x14ac:dyDescent="0.25">
      <c r="A56" s="53"/>
      <c r="B56" s="158" t="s">
        <v>195</v>
      </c>
      <c r="C56" s="127"/>
      <c r="D56" s="129">
        <f>+(D115/D55*D117)+(D121/D55*D123)+(D127/D55*D129)+(D133/D55*D135)</f>
        <v>1.4222248817198084</v>
      </c>
      <c r="E56" s="129">
        <f>+(E115/E55*E117)+(E121/E55*E123)+(E127/E55*E129)+(E133/E55*E135)</f>
        <v>1.3319469334493257</v>
      </c>
      <c r="F56" s="129">
        <f>+(F115/F55*F117)+(F121/F55*F123)+(F127/F55*F129)+(F133/F55*F135)</f>
        <v>1.3986298653352554</v>
      </c>
      <c r="G56" s="129">
        <f>+(G115/G55*G117)+(G121/G55*G123)+(G127/G55*G129)+(G133/G55*G135)</f>
        <v>1.366286631188921</v>
      </c>
      <c r="H56" s="135"/>
      <c r="I56" s="129">
        <f>+(I115/I55*I117)+(I121/I55*I123)+(I127/I55*I129)+(I133/I55*I135)</f>
        <v>0.93152128859765715</v>
      </c>
      <c r="J56" s="129">
        <f>+(J115/J55*J117)+(J121/J55*J123)+(J127/J55*J129)+(J133/J55*J135)</f>
        <v>0.9020457581592991</v>
      </c>
      <c r="K56" s="129">
        <f>+(K115/K55*K117)+(K121/K55*K123)+(K127/K55*K129)+(K133/K55*K135)</f>
        <v>0.94641077631644099</v>
      </c>
      <c r="L56" s="129">
        <f>+(L115/L55*L117)+(L121/L55*L123)+(L127/L55*L129)+(L133/L55*L135)</f>
        <v>0.93511763321122976</v>
      </c>
      <c r="M56" s="135"/>
      <c r="N56" s="129">
        <f>+(N115/N55*N117)+(N121/N55*N123)+(N127/N55*N129)+(N133/N55*N135)</f>
        <v>0.9610276987059132</v>
      </c>
      <c r="O56" s="129">
        <f>+(O115/O55*O117)+(O121/O55*O123)+(O127/O55*O129)+(O133/O55*O135)</f>
        <v>0.97748115441873051</v>
      </c>
      <c r="P56" s="129">
        <f>+(P115/P55*P117)+(P121/P55*P123)+(P127/P55*P129)+(P133/P55*P135)</f>
        <v>1.0267137843381786</v>
      </c>
      <c r="Q56" s="129">
        <f>+(Q115/Q55*Q117)+(Q121/Q55*Q123)+(Q127/Q55*Q129)+(Q133/Q55*Q135)</f>
        <v>1.0452215985934541</v>
      </c>
      <c r="R56" s="135"/>
      <c r="S56" s="129">
        <f>+(S115/S55*S117)+(S121/S55*S123)+(S127/S55*S129)+(S133/S55*S135)</f>
        <v>1.0062736805555557</v>
      </c>
      <c r="T56" s="129">
        <f>+(T115/T55*T117)+(T121/T55*T123)+(T127/T55*T129)+(T133/T55*T135)</f>
        <v>0.99682650305511178</v>
      </c>
      <c r="U56" s="129">
        <f>+(U115/U55*U117)+(U121/U55*U123)+(U127/U55*U129)+(U133/U55*U135)</f>
        <v>0.99170918729108282</v>
      </c>
      <c r="V56" s="129">
        <f>+(V115/V55*V117)+(V121/V55*V123)+(V127/V55*V129)+(V133/V55*V135)</f>
        <v>0.9749597988230464</v>
      </c>
      <c r="W56" s="135"/>
      <c r="X56" s="129">
        <f>+(X115/X55*X117)+(X121/X55*X123)+(X127/X55*X129)+(X133/X55*X135)</f>
        <v>0.96952915438981691</v>
      </c>
      <c r="Y56" s="129">
        <f>+(Y115/Y55*Y117)+(Y121/Y55*Y123)+(Y127/Y55*Y129)+(Y133/Y55*Y135)</f>
        <v>0.95953716909415632</v>
      </c>
      <c r="Z56" s="129">
        <f>+(Z115/Z55*Z117)+(Z121/Z55*Z123)+(Z127/Z55*Z129)+(Z133/Z55*Z135)</f>
        <v>0.94953143056183342</v>
      </c>
      <c r="AA56" s="129">
        <f>+(AA115/AA55*AA117)+(AA121/AA55*AA123)+(AA127/AA55*AA129)+(AA133/AA55*AA135)</f>
        <v>0.93015513379312886</v>
      </c>
      <c r="AB56" s="135"/>
      <c r="AC56" s="129">
        <f>+(AC115/AC55*AC117)+(AC121/AC55*AC123)+(AC127/AC55*AC129)+(AC133/AC55*AC135)</f>
        <v>0.93757195421884465</v>
      </c>
      <c r="AD56" s="129">
        <f>+(AD115/AD55*AD117)+(AD121/AD55*AD123)+(AD127/AD55*AD129)+(AD133/AD55*AD135)</f>
        <v>0.92666681806202023</v>
      </c>
      <c r="AE56" s="129">
        <f>+(AE115/AE55*AE117)+(AE121/AE55*AE123)+(AE127/AE55*AE129)+(AE133/AE55*AE135)</f>
        <v>0.91963366917919342</v>
      </c>
      <c r="AF56" s="129">
        <f>+(AF115/AF55*AF117)+(AF121/AF55*AF123)+(AF127/AF55*AF129)+(AF133/AF55*AF135)</f>
        <v>0.90366999774466394</v>
      </c>
      <c r="AG56" s="135"/>
      <c r="AH56" s="129">
        <f>+(AH115/AH55*AH117)+(AH121/AH55*AH123)+(AH127/AH55*AH129)+(AH133/AH55*AH135)</f>
        <v>0.90509978683295056</v>
      </c>
      <c r="AI56" s="129">
        <f>+(AI115/AI55*AI117)+(AI121/AI55*AI123)+(AI127/AI55*AI129)+(AI133/AI55*AI135)</f>
        <v>0.89323433775277095</v>
      </c>
      <c r="AJ56" s="129">
        <f>+(AJ115/AJ55*AJ117)+(AJ121/AJ55*AJ123)+(AJ127/AJ55*AJ129)+(AJ133/AJ55*AJ135)</f>
        <v>0.88788406646692442</v>
      </c>
      <c r="AK56" s="129">
        <f>+(AK115/AK55*AK117)+(AK121/AK55*AK123)+(AK127/AK55*AK129)+(AK133/AK55*AK135)</f>
        <v>0.87232993656662938</v>
      </c>
      <c r="AL56" s="135"/>
      <c r="AM56" s="129">
        <f>+(AM115/AM55*AM117)+(AM121/AM55*AM123)+(AM127/AM55*AM129)+(AM133/AM55*AM135)</f>
        <v>0.8696957153005056</v>
      </c>
      <c r="AN56" s="129">
        <f>+(AN115/AN55*AN117)+(AN121/AN55*AN123)+(AN127/AN55*AN129)+(AN133/AN55*AN135)</f>
        <v>0.85659441710128403</v>
      </c>
      <c r="AO56" s="129">
        <f>+(AO115/AO55*AO117)+(AO121/AO55*AO123)+(AO127/AO55*AO129)+(AO133/AO55*AO135)</f>
        <v>0.85204011478844388</v>
      </c>
      <c r="AP56" s="129">
        <f>+(AP115/AP55*AP117)+(AP121/AP55*AP123)+(AP127/AP55*AP129)+(AP133/AP55*AP135)</f>
        <v>0.83649065911172871</v>
      </c>
      <c r="AQ56" s="135"/>
      <c r="AR56" s="129">
        <f>+(AR115/AR55*AR117)+(AR121/AR55*AR123)+(AR127/AR55*AR129)+(AR133/AR55*AR135)</f>
        <v>0.83109476670004523</v>
      </c>
      <c r="AS56" s="129">
        <f>+(AS115/AS55*AS117)+(AS121/AS55*AS123)+(AS127/AS55*AS129)+(AS133/AS55*AS135)</f>
        <v>0.81689185339928483</v>
      </c>
      <c r="AT56" s="129">
        <f>+(AT115/AT55*AT117)+(AT121/AT55*AT123)+(AT127/AT55*AT129)+(AT133/AT55*AT135)</f>
        <v>0.81287500516648159</v>
      </c>
      <c r="AU56" s="129">
        <f>+(AU115/AU55*AU117)+(AU121/AU55*AU123)+(AU127/AU55*AU129)+(AU133/AU55*AU135)</f>
        <v>0.7976689029112527</v>
      </c>
      <c r="AV56" s="135"/>
    </row>
    <row r="57" spans="1:48" outlineLevel="1" x14ac:dyDescent="0.25">
      <c r="A57" s="53"/>
      <c r="B57" s="159" t="s">
        <v>198</v>
      </c>
      <c r="C57" s="130"/>
      <c r="D57" s="147">
        <f>+D119+D125+D131+D138</f>
        <v>959.38099399999987</v>
      </c>
      <c r="E57" s="147">
        <f>+E119+E125+E131+E138</f>
        <v>964.57599000000005</v>
      </c>
      <c r="F57" s="147">
        <f>+F119+F125+F131+F138</f>
        <v>1002.4164863999999</v>
      </c>
      <c r="G57" s="147">
        <f>+G119+G125+G131+G138</f>
        <v>1065.87142064</v>
      </c>
      <c r="H57" s="136"/>
      <c r="I57" s="147">
        <f>+I119+I125+I131+I138</f>
        <v>1567.1504289999998</v>
      </c>
      <c r="J57" s="147">
        <f>+J119+J125+J131+J138</f>
        <v>1599.4943684999998</v>
      </c>
      <c r="K57" s="147">
        <f>+K119+K125+K131+K138</f>
        <v>1658.7768176000002</v>
      </c>
      <c r="L57" s="147">
        <f>+L119+L125+L131+L138</f>
        <v>1704.1205024999999</v>
      </c>
      <c r="M57" s="136"/>
      <c r="N57" s="147">
        <f>+N119+N125+N131+N138</f>
        <v>1547.0840125</v>
      </c>
      <c r="O57" s="147">
        <f>+O119+O125+O131+O138</f>
        <v>1829.0972790000001</v>
      </c>
      <c r="P57" s="147">
        <f>+P119+P125+P131+P138</f>
        <v>1875.1710295999999</v>
      </c>
      <c r="Q57" s="147">
        <f>+Q119+Q125+Q131+Q138</f>
        <v>2009.37581</v>
      </c>
      <c r="R57" s="136"/>
      <c r="S57" s="147">
        <f>+S119+S125+S131+S138</f>
        <v>1883.74433</v>
      </c>
      <c r="T57" s="147">
        <f>+T119+T125+T131+T138</f>
        <v>1992.8785716</v>
      </c>
      <c r="U57" s="147">
        <f>+U119+U125+U131+U138</f>
        <v>1821.0299620000001</v>
      </c>
      <c r="V57" s="147">
        <f>+V119+V125+V131+V138</f>
        <v>1852.2481249999998</v>
      </c>
      <c r="W57" s="136"/>
      <c r="X57" s="147">
        <f>+X119+X125+X131+X138</f>
        <v>1838.1493369548386</v>
      </c>
      <c r="Y57" s="147">
        <f>+Y119+Y125+Y131+Y138</f>
        <v>1970.5272513328666</v>
      </c>
      <c r="Z57" s="147">
        <f>+Z119+Z125+Z131+Z138</f>
        <v>1810.522866705056</v>
      </c>
      <c r="AA57" s="147">
        <f>+AA119+AA125+AA131+AA138</f>
        <v>1786.8596285006229</v>
      </c>
      <c r="AB57" s="136"/>
      <c r="AC57" s="147">
        <f>+AC119+AC125+AC131+AC138</f>
        <v>1881.6363641213891</v>
      </c>
      <c r="AD57" s="147">
        <f>+AD119+AD125+AD131+AD138</f>
        <v>1991.8924514444159</v>
      </c>
      <c r="AE57" s="147">
        <f>+AE119+AE125+AE131+AE138</f>
        <v>1810.1189183104827</v>
      </c>
      <c r="AF57" s="147">
        <f>+AF119+AF125+AF131+AF138</f>
        <v>1865.4141913401663</v>
      </c>
      <c r="AG57" s="136"/>
      <c r="AH57" s="147">
        <f>+AH119+AH125+AH131+AH138</f>
        <v>1911.3581632582463</v>
      </c>
      <c r="AI57" s="147">
        <f>+AI119+AI125+AI131+AI138</f>
        <v>2027.8925297938208</v>
      </c>
      <c r="AJ57" s="147">
        <f>+AJ119+AJ125+AJ131+AJ138</f>
        <v>1845.3082576861323</v>
      </c>
      <c r="AK57" s="147">
        <f>+AK119+AK125+AK131+AK138</f>
        <v>1908.4881603076028</v>
      </c>
      <c r="AL57" s="136"/>
      <c r="AM57" s="147">
        <f>+AM119+AM125+AM131+AM138</f>
        <v>1941.3471590635759</v>
      </c>
      <c r="AN57" s="147">
        <f>+AN119+AN125+AN131+AN138</f>
        <v>2060.8171490363179</v>
      </c>
      <c r="AO57" s="147">
        <f>+AO119+AO125+AO131+AO138</f>
        <v>1873.4983876078727</v>
      </c>
      <c r="AP57" s="147">
        <f>+AP119+AP125+AP131+AP138</f>
        <v>1941.0115865598875</v>
      </c>
      <c r="AQ57" s="136"/>
      <c r="AR57" s="147">
        <f>+AR119+AR125+AR131+AR138</f>
        <v>1965.8072196935698</v>
      </c>
      <c r="AS57" s="147">
        <f>+AS119+AS125+AS131+AS138</f>
        <v>2086.6051545412683</v>
      </c>
      <c r="AT57" s="147">
        <f>+AT119+AT125+AT131+AT138</f>
        <v>1894.1342816908498</v>
      </c>
      <c r="AU57" s="147">
        <f>+AU119+AU125+AU131+AU138</f>
        <v>1966.058225812724</v>
      </c>
      <c r="AV57" s="136"/>
    </row>
    <row r="58" spans="1:48" outlineLevel="1" x14ac:dyDescent="0.25">
      <c r="A58" s="53"/>
      <c r="B58" s="309" t="s">
        <v>201</v>
      </c>
      <c r="C58" s="310"/>
      <c r="D58" s="262">
        <v>128</v>
      </c>
      <c r="E58" s="262">
        <v>124</v>
      </c>
      <c r="F58" s="262">
        <v>118</v>
      </c>
      <c r="G58" s="262">
        <v>124</v>
      </c>
      <c r="H58" s="200"/>
      <c r="I58" s="262">
        <v>284</v>
      </c>
      <c r="J58" s="262">
        <v>259</v>
      </c>
      <c r="K58" s="262">
        <v>194</v>
      </c>
      <c r="L58" s="262">
        <v>281</v>
      </c>
      <c r="M58" s="200"/>
      <c r="N58" s="262">
        <v>219.5</v>
      </c>
      <c r="O58" s="262">
        <v>238</v>
      </c>
      <c r="P58" s="262">
        <v>222</v>
      </c>
      <c r="Q58" s="262">
        <v>235</v>
      </c>
      <c r="R58" s="200"/>
      <c r="S58" s="262">
        <v>206.4</v>
      </c>
      <c r="T58" s="262">
        <v>175.4</v>
      </c>
      <c r="U58" s="262">
        <v>166.5</v>
      </c>
      <c r="V58" s="262">
        <v>155</v>
      </c>
      <c r="W58" s="200"/>
      <c r="X58" s="262">
        <f>+S58*(1+X59)</f>
        <v>159.28239729372098</v>
      </c>
      <c r="Y58" s="262">
        <f>+T58*(1+Y59)</f>
        <v>127.96597721785123</v>
      </c>
      <c r="Z58" s="262">
        <f>+U58*(1+Z59)</f>
        <v>121.16446774754316</v>
      </c>
      <c r="AA58" s="262">
        <f>+V58*(1+AA59)</f>
        <v>111.93218844496387</v>
      </c>
      <c r="AB58" s="200"/>
      <c r="AC58" s="262">
        <f>+X58*(1+AC59)</f>
        <v>117.51621478440528</v>
      </c>
      <c r="AD58" s="262">
        <f>+Y58*(1+AD59)</f>
        <v>93.325893314893094</v>
      </c>
      <c r="AE58" s="262">
        <f>+Z58*(1+AE59)</f>
        <v>88.357533803735635</v>
      </c>
      <c r="AF58" s="262">
        <f>+AA58*(1+AF59)</f>
        <v>81.667605492511541</v>
      </c>
      <c r="AG58" s="200"/>
      <c r="AH58" s="262">
        <f>+AC58*(1+AH59)</f>
        <v>85.96137375603314</v>
      </c>
      <c r="AI58" s="262">
        <f>+AD58*(1+AI59)</f>
        <v>68.119520474493228</v>
      </c>
      <c r="AJ58" s="262">
        <f>+AE58*(1+AJ59)</f>
        <v>64.506490108101772</v>
      </c>
      <c r="AK58" s="262">
        <f>+AF58*(1+AK59)</f>
        <v>59.639286853757696</v>
      </c>
      <c r="AL58" s="200"/>
      <c r="AM58" s="262">
        <f>+AH58*(1+AM59)</f>
        <v>62.788897993141539</v>
      </c>
      <c r="AN58" s="262">
        <f>+AI58*(1+AN59)</f>
        <v>49.738701654005624</v>
      </c>
      <c r="AO58" s="262">
        <f>+AJ58*(1+AO59)</f>
        <v>47.104741511398089</v>
      </c>
      <c r="AP58" s="262">
        <f>+AK58*(1+AP59)</f>
        <v>43.553092496029123</v>
      </c>
      <c r="AQ58" s="200"/>
      <c r="AR58" s="262">
        <f>+AM58*(1+AR59)</f>
        <v>45.853279323091002</v>
      </c>
      <c r="AS58" s="262">
        <f>+AN58*(1+AS59)</f>
        <v>36.321099611727625</v>
      </c>
      <c r="AT58" s="262">
        <f>+AO58*(1+AT59)</f>
        <v>34.398506602660326</v>
      </c>
      <c r="AU58" s="262">
        <f>+AP58*(1+AU59)</f>
        <v>31.805146360519323</v>
      </c>
      <c r="AV58" s="200"/>
    </row>
    <row r="59" spans="1:48" outlineLevel="1" x14ac:dyDescent="0.25">
      <c r="A59" s="53"/>
      <c r="B59" s="312" t="s">
        <v>320</v>
      </c>
      <c r="C59" s="288"/>
      <c r="D59" s="165">
        <f>+D58/378-1</f>
        <v>-0.66137566137566139</v>
      </c>
      <c r="E59" s="165">
        <f>+E58/415-1</f>
        <v>-0.70120481927710843</v>
      </c>
      <c r="F59" s="165">
        <f>+F58/365-1</f>
        <v>-0.67671232876712328</v>
      </c>
      <c r="G59" s="165">
        <f>+G58/380-1</f>
        <v>-0.67368421052631577</v>
      </c>
      <c r="H59" s="54"/>
      <c r="I59" s="165">
        <f>+I58/D58-1</f>
        <v>1.21875</v>
      </c>
      <c r="J59" s="165">
        <f>+J58/E58-1</f>
        <v>1.088709677419355</v>
      </c>
      <c r="K59" s="165">
        <f>+K58/F58-1</f>
        <v>0.64406779661016955</v>
      </c>
      <c r="L59" s="165">
        <f>+L58/G58-1</f>
        <v>1.2661290322580645</v>
      </c>
      <c r="M59" s="54"/>
      <c r="N59" s="165">
        <f>+N58/I58-1</f>
        <v>-0.227112676056338</v>
      </c>
      <c r="O59" s="165">
        <f>+O58/J58-1</f>
        <v>-8.108108108108103E-2</v>
      </c>
      <c r="P59" s="165">
        <f>+P58/K58-1</f>
        <v>0.14432989690721643</v>
      </c>
      <c r="Q59" s="165">
        <f>+Q58/L58-1</f>
        <v>-0.16370106761565839</v>
      </c>
      <c r="R59" s="54"/>
      <c r="S59" s="165">
        <f>+S58/N58-1</f>
        <v>-5.9681093394077456E-2</v>
      </c>
      <c r="T59" s="165">
        <f>+T58/O58-1</f>
        <v>-0.26302521008403357</v>
      </c>
      <c r="U59" s="165">
        <f>+U58/P58-1</f>
        <v>-0.25</v>
      </c>
      <c r="V59" s="165">
        <f>+V58/Q58-1</f>
        <v>-0.34042553191489366</v>
      </c>
      <c r="W59" s="54"/>
      <c r="X59" s="141">
        <f>AVERAGE(V59,U59,T59,S59)</f>
        <v>-0.22828295884825117</v>
      </c>
      <c r="Y59" s="141">
        <f>AVERAGE(X59,V59,U59,T59)</f>
        <v>-0.27043342521179459</v>
      </c>
      <c r="Z59" s="141">
        <f>AVERAGE(Y59,X59,V59,U59)</f>
        <v>-0.27228547899373484</v>
      </c>
      <c r="AA59" s="141">
        <f>AVERAGE(Z59,Y59,X59,V59)</f>
        <v>-0.27785684874216854</v>
      </c>
      <c r="AB59" s="54"/>
      <c r="AC59" s="141">
        <f>AVERAGE(AA59,Z59,Y59,X59)</f>
        <v>-0.26221467794898728</v>
      </c>
      <c r="AD59" s="141">
        <f>AVERAGE(AC59,AA59,Z59,Y59)</f>
        <v>-0.27069760772417129</v>
      </c>
      <c r="AE59" s="141">
        <f>AVERAGE(AD59,AC59,AA59,Z59)</f>
        <v>-0.27076365335226549</v>
      </c>
      <c r="AF59" s="141">
        <f>AVERAGE(AE59,AD59,AC59,AA59)</f>
        <v>-0.27038319694189816</v>
      </c>
      <c r="AG59" s="54"/>
      <c r="AH59" s="141">
        <f>AVERAGE(AF59,AE59,AD59,AC59)</f>
        <v>-0.26851478399183054</v>
      </c>
      <c r="AI59" s="141">
        <f>AVERAGE(AH59,AF59,AE59,AD59)</f>
        <v>-0.27008981050254133</v>
      </c>
      <c r="AJ59" s="141">
        <f>AVERAGE(AI59,AH59,AF59,AE59)</f>
        <v>-0.26993786119713387</v>
      </c>
      <c r="AK59" s="141">
        <f>AVERAGE(AJ59,AI59,AH59,AF59)</f>
        <v>-0.26973141315835097</v>
      </c>
      <c r="AL59" s="54"/>
      <c r="AM59" s="141">
        <f>AVERAGE(AK59,AJ59,AI59,AH59)</f>
        <v>-0.26956846721246419</v>
      </c>
      <c r="AN59" s="141">
        <f>AVERAGE(AM59,AK59,AJ59,AI59)</f>
        <v>-0.26983188801762259</v>
      </c>
      <c r="AO59" s="141">
        <f>AVERAGE(AN59,AM59,AK59,AJ59)</f>
        <v>-0.26976740739639293</v>
      </c>
      <c r="AP59" s="141">
        <f>AVERAGE(AO59,AN59,AM59,AK59)</f>
        <v>-0.26972479394620769</v>
      </c>
      <c r="AQ59" s="54"/>
      <c r="AR59" s="141">
        <f>AVERAGE(AP59,AO59,AN59,AM59)</f>
        <v>-0.26972313914317186</v>
      </c>
      <c r="AS59" s="141">
        <f>AVERAGE(AR59,AP59,AO59,AN59)</f>
        <v>-0.26976180712584874</v>
      </c>
      <c r="AT59" s="141">
        <f>AVERAGE(AS59,AR59,AP59,AO59)</f>
        <v>-0.26974428690290531</v>
      </c>
      <c r="AU59" s="141">
        <f>AVERAGE(AT59,AS59,AR59,AP59)</f>
        <v>-0.26973850677953343</v>
      </c>
      <c r="AV59" s="54"/>
    </row>
    <row r="60" spans="1:48" s="55" customFormat="1" outlineLevel="1" x14ac:dyDescent="0.25">
      <c r="A60" s="195"/>
      <c r="B60" s="297" t="s">
        <v>519</v>
      </c>
      <c r="C60" s="298"/>
      <c r="D60" s="124">
        <f>+D58+D57+D54</f>
        <v>6348.2797539999992</v>
      </c>
      <c r="E60" s="124">
        <f t="shared" ref="E60:G60" si="59">+E58+E57+E54</f>
        <v>6330.107987800001</v>
      </c>
      <c r="F60" s="124">
        <f t="shared" si="59"/>
        <v>6352.9824124000006</v>
      </c>
      <c r="G60" s="124">
        <f t="shared" si="59"/>
        <v>6521.9747483526935</v>
      </c>
      <c r="H60" s="841"/>
      <c r="I60" s="124">
        <f>+I58+I57+I54</f>
        <v>8249.3246790000012</v>
      </c>
      <c r="J60" s="124">
        <f t="shared" ref="J60:L60" si="60">+J58+J57+J54</f>
        <v>8389.7759395492067</v>
      </c>
      <c r="K60" s="124">
        <f t="shared" si="60"/>
        <v>8362.5190960000018</v>
      </c>
      <c r="L60" s="124">
        <f t="shared" si="60"/>
        <v>8821.5044469273744</v>
      </c>
      <c r="M60" s="841"/>
      <c r="N60" s="124">
        <f>+N58+N57+N54</f>
        <v>8400.3869675000005</v>
      </c>
      <c r="O60" s="124">
        <f t="shared" ref="O60:Q60" si="61">+O58+O57+O54</f>
        <v>9075.7206490000008</v>
      </c>
      <c r="P60" s="124">
        <f t="shared" si="61"/>
        <v>9098.4510316000014</v>
      </c>
      <c r="Q60" s="124">
        <f t="shared" si="61"/>
        <v>9597.9677439999996</v>
      </c>
      <c r="R60" s="841"/>
      <c r="S60" s="124">
        <f>+S58+S57+S54</f>
        <v>9221.2976515000009</v>
      </c>
      <c r="T60" s="124">
        <f t="shared" ref="T60:V60" si="62">+T58+T57+T54</f>
        <v>9603.6010228699997</v>
      </c>
      <c r="U60" s="124">
        <f t="shared" si="62"/>
        <v>9005.3372172000018</v>
      </c>
      <c r="V60" s="124">
        <f t="shared" si="62"/>
        <v>9499.8119223984941</v>
      </c>
      <c r="W60" s="196">
        <f>SUM(S60:V60)</f>
        <v>37330.0478139685</v>
      </c>
      <c r="X60" s="124">
        <f>+X58+X57+X54</f>
        <v>8875.3726507637857</v>
      </c>
      <c r="Y60" s="124">
        <f t="shared" ref="Y60:AA60" si="63">+Y58+Y57+Y54</f>
        <v>9530.6180822710558</v>
      </c>
      <c r="Z60" s="124">
        <f t="shared" si="63"/>
        <v>9202.3176424870089</v>
      </c>
      <c r="AA60" s="124">
        <f t="shared" si="63"/>
        <v>9518.3796161390037</v>
      </c>
      <c r="AB60" s="196">
        <f>SUM(X60:AA60)</f>
        <v>37126.68799166086</v>
      </c>
      <c r="AC60" s="124">
        <f>+AC58+AC57+AC54</f>
        <v>9173.5559683254996</v>
      </c>
      <c r="AD60" s="124">
        <f t="shared" ref="AD60:AF60" si="64">+AD58+AD57+AD54</f>
        <v>9802.1289163423462</v>
      </c>
      <c r="AE60" s="124">
        <f t="shared" si="64"/>
        <v>9403.0181677700184</v>
      </c>
      <c r="AF60" s="124">
        <f t="shared" si="64"/>
        <v>10112.422778095934</v>
      </c>
      <c r="AG60" s="196">
        <f>SUM(AC60:AF60)</f>
        <v>38491.125830533798</v>
      </c>
      <c r="AH60" s="124">
        <f>+AH58+AH57+AH54</f>
        <v>9462.5237773201297</v>
      </c>
      <c r="AI60" s="124">
        <f t="shared" ref="AI60:AK60" si="65">+AI58+AI57+AI54</f>
        <v>10155.772586854437</v>
      </c>
      <c r="AJ60" s="124">
        <f t="shared" si="65"/>
        <v>9763.5523685349508</v>
      </c>
      <c r="AK60" s="124">
        <f t="shared" si="65"/>
        <v>10501.310103679032</v>
      </c>
      <c r="AL60" s="196">
        <f>SUM(AH60:AK60)</f>
        <v>39883.158836388553</v>
      </c>
      <c r="AM60" s="124">
        <f>+AM58+AM57+AM54</f>
        <v>9762.1791963796568</v>
      </c>
      <c r="AN60" s="124">
        <f t="shared" ref="AN60:AP60" si="66">+AN58+AN57+AN54</f>
        <v>10488.933464611868</v>
      </c>
      <c r="AO60" s="124">
        <f t="shared" si="66"/>
        <v>10080.061276149081</v>
      </c>
      <c r="AP60" s="124">
        <f t="shared" si="66"/>
        <v>10825.767467476422</v>
      </c>
      <c r="AQ60" s="196">
        <f>SUM(AM60:AP60)</f>
        <v>41156.941404617028</v>
      </c>
      <c r="AR60" s="124">
        <f>+AR58+AR57+AR54</f>
        <v>10030.083278705282</v>
      </c>
      <c r="AS60" s="124">
        <f t="shared" ref="AS60:AU60" si="67">+AS58+AS57+AS54</f>
        <v>10775.798401225413</v>
      </c>
      <c r="AT60" s="124">
        <f t="shared" si="67"/>
        <v>10346.824302342842</v>
      </c>
      <c r="AU60" s="124">
        <f t="shared" si="67"/>
        <v>11095.304984185692</v>
      </c>
      <c r="AV60" s="196">
        <f>SUM(AR60:AU60)</f>
        <v>42248.010966459231</v>
      </c>
    </row>
    <row r="61" spans="1:48" x14ac:dyDescent="0.25">
      <c r="A61" s="53"/>
      <c r="B61" s="287" t="s">
        <v>326</v>
      </c>
      <c r="C61" s="288"/>
      <c r="D61" s="138">
        <v>65</v>
      </c>
      <c r="E61" s="138">
        <v>63</v>
      </c>
      <c r="F61" s="138">
        <v>63</v>
      </c>
      <c r="G61" s="138">
        <v>65</v>
      </c>
      <c r="H61" s="54"/>
      <c r="I61" s="138">
        <v>65</v>
      </c>
      <c r="J61" s="138">
        <v>63</v>
      </c>
      <c r="K61" s="138">
        <v>62</v>
      </c>
      <c r="L61" s="138">
        <v>65</v>
      </c>
      <c r="M61" s="54"/>
      <c r="N61" s="138">
        <v>65</v>
      </c>
      <c r="O61" s="138">
        <v>63</v>
      </c>
      <c r="P61" s="138">
        <v>62</v>
      </c>
      <c r="Q61" s="138">
        <v>65</v>
      </c>
      <c r="R61" s="54"/>
      <c r="S61" s="138">
        <v>65</v>
      </c>
      <c r="T61" s="138">
        <v>63</v>
      </c>
      <c r="U61" s="138">
        <v>62</v>
      </c>
      <c r="V61" s="138">
        <v>65</v>
      </c>
      <c r="W61" s="485"/>
      <c r="X61" s="139">
        <v>64</v>
      </c>
      <c r="Y61" s="139">
        <v>63</v>
      </c>
      <c r="Z61" s="139">
        <v>63</v>
      </c>
      <c r="AA61" s="139">
        <v>64</v>
      </c>
      <c r="AB61" s="54"/>
      <c r="AC61" s="139">
        <v>65</v>
      </c>
      <c r="AD61" s="139">
        <v>63</v>
      </c>
      <c r="AE61" s="139">
        <v>62</v>
      </c>
      <c r="AF61" s="139">
        <v>65</v>
      </c>
      <c r="AG61" s="54"/>
      <c r="AH61" s="139">
        <v>65</v>
      </c>
      <c r="AI61" s="139">
        <v>63</v>
      </c>
      <c r="AJ61" s="139">
        <v>62</v>
      </c>
      <c r="AK61" s="139">
        <v>65</v>
      </c>
      <c r="AL61" s="54"/>
      <c r="AM61" s="139">
        <v>65</v>
      </c>
      <c r="AN61" s="139">
        <v>63</v>
      </c>
      <c r="AO61" s="139">
        <v>62</v>
      </c>
      <c r="AP61" s="139">
        <v>65</v>
      </c>
      <c r="AQ61" s="54"/>
      <c r="AR61" s="139">
        <v>65</v>
      </c>
      <c r="AS61" s="139">
        <v>63</v>
      </c>
      <c r="AT61" s="139">
        <v>62</v>
      </c>
      <c r="AU61" s="139">
        <v>65</v>
      </c>
      <c r="AV61" s="54"/>
    </row>
    <row r="62" spans="1:48" outlineLevel="1" x14ac:dyDescent="0.25">
      <c r="A62" s="53"/>
      <c r="B62" s="179" t="s">
        <v>247</v>
      </c>
      <c r="C62" s="161"/>
      <c r="D62" s="313"/>
      <c r="E62" s="313"/>
      <c r="F62" s="313"/>
      <c r="G62" s="313"/>
      <c r="H62" s="164"/>
      <c r="I62" s="313"/>
      <c r="J62" s="313"/>
      <c r="K62" s="313"/>
      <c r="L62" s="313"/>
      <c r="M62" s="164"/>
      <c r="N62" s="313"/>
      <c r="O62" s="313"/>
      <c r="P62" s="313"/>
      <c r="Q62" s="184"/>
      <c r="R62" s="164"/>
      <c r="S62" s="184"/>
      <c r="T62" s="184"/>
      <c r="U62" s="184"/>
      <c r="V62" s="184"/>
      <c r="W62" s="164"/>
      <c r="X62" s="184"/>
      <c r="Y62" s="184"/>
      <c r="Z62" s="184"/>
      <c r="AA62" s="184"/>
      <c r="AB62" s="164"/>
      <c r="AC62" s="184"/>
      <c r="AD62" s="184"/>
      <c r="AE62" s="184"/>
      <c r="AF62" s="184"/>
      <c r="AG62" s="164"/>
      <c r="AH62" s="184"/>
      <c r="AI62" s="184"/>
      <c r="AJ62" s="184"/>
      <c r="AK62" s="184"/>
      <c r="AL62" s="164"/>
      <c r="AM62" s="184"/>
      <c r="AN62" s="184"/>
      <c r="AO62" s="184"/>
      <c r="AP62" s="184"/>
      <c r="AQ62" s="164"/>
      <c r="AR62" s="184"/>
      <c r="AS62" s="184"/>
      <c r="AT62" s="184"/>
      <c r="AU62" s="184"/>
      <c r="AV62" s="164"/>
    </row>
    <row r="63" spans="1:48" outlineLevel="1" x14ac:dyDescent="0.25">
      <c r="A63" s="53"/>
      <c r="B63" s="177" t="s">
        <v>357</v>
      </c>
      <c r="C63" s="127"/>
      <c r="D63" s="167">
        <v>277269</v>
      </c>
      <c r="E63" s="167">
        <v>276180</v>
      </c>
      <c r="F63" s="167">
        <v>296643</v>
      </c>
      <c r="G63" s="167">
        <v>289243</v>
      </c>
      <c r="H63" s="135"/>
      <c r="I63" s="167">
        <v>282563</v>
      </c>
      <c r="J63" s="167">
        <v>280625</v>
      </c>
      <c r="K63" s="167">
        <v>293551</v>
      </c>
      <c r="L63" s="167">
        <v>293024</v>
      </c>
      <c r="M63" s="135"/>
      <c r="N63" s="167">
        <v>312427</v>
      </c>
      <c r="O63" s="167">
        <v>318978</v>
      </c>
      <c r="P63" s="167">
        <v>325851</v>
      </c>
      <c r="Q63" s="167">
        <v>317057</v>
      </c>
      <c r="R63" s="135"/>
      <c r="S63" s="167">
        <v>315006</v>
      </c>
      <c r="T63" s="167">
        <v>327248</v>
      </c>
      <c r="U63" s="167">
        <v>329398</v>
      </c>
      <c r="V63" s="167">
        <v>307895</v>
      </c>
      <c r="W63" s="135"/>
      <c r="X63" s="139">
        <f>(S63/(S52+S55)*(X52+X55))*(1-5%)</f>
        <v>307057.88385806384</v>
      </c>
      <c r="Y63" s="139">
        <f>(T63/(T52+T55)*(Y52+Y55))*(1-5%)</f>
        <v>319727.16167301469</v>
      </c>
      <c r="Z63" s="139">
        <f t="shared" ref="Z63" si="68">(U63/(U52+U55)*(Z52+Z55))*(1-5%)</f>
        <v>321213.609124279</v>
      </c>
      <c r="AA63" s="139">
        <f>(V63/(V52+V55)*(AA52+AA55))*(1-5%)</f>
        <v>301614.36218416539</v>
      </c>
      <c r="AB63" s="135"/>
      <c r="AC63" s="139">
        <f>+X63/(X52+X55)*(AC52+AC55)</f>
        <v>320251.13946057449</v>
      </c>
      <c r="AD63" s="139">
        <f>+Y63/(Y52+Y55)*(AD52+AD55)</f>
        <v>335176.46918140515</v>
      </c>
      <c r="AE63" s="139">
        <f t="shared" ref="AE63" si="69">+Z63/(Z52+Z55)*(AE52+AE55)</f>
        <v>337836.14263705985</v>
      </c>
      <c r="AF63" s="139">
        <f>+AA63/(AA52+AA55)*(AF52+AF55)</f>
        <v>319488.7090363669</v>
      </c>
      <c r="AG63" s="135"/>
      <c r="AH63" s="139">
        <f>+AC63/(AC52+AC55)*(AH52+AH55)</f>
        <v>337262.78747183183</v>
      </c>
      <c r="AI63" s="139">
        <f>+AD63/(AD52+AD55)*(AI52+AI55)</f>
        <v>354344.93796657666</v>
      </c>
      <c r="AJ63" s="139">
        <f t="shared" ref="AJ63" si="70">+AE63/(AE52+AE55)*(AJ52+AJ55)</f>
        <v>357381.5914002838</v>
      </c>
      <c r="AK63" s="139">
        <f>+AF63/(AF52+AF55)*(AK52+AK55)</f>
        <v>338801.51549041329</v>
      </c>
      <c r="AL63" s="135"/>
      <c r="AM63" s="139">
        <f>+AH63/(AH52+AH55)*(AM52+AM55)</f>
        <v>356682.0308931733</v>
      </c>
      <c r="AN63" s="139">
        <f>+AI63/(AI52+AI55)*(AN52+AN55)</f>
        <v>375690.44030893536</v>
      </c>
      <c r="AO63" s="139">
        <f t="shared" ref="AO63" si="71">+AJ63/(AJ52+AJ55)*(AO52+AO55)</f>
        <v>378657.30817218288</v>
      </c>
      <c r="AP63" s="139">
        <f>+AK63/(AK52+AK55)*(AP52+AP55)</f>
        <v>359431.41936462634</v>
      </c>
      <c r="AQ63" s="135"/>
      <c r="AR63" s="139">
        <f>+AM63/(AM52+AM55)*(AR52+AR55)</f>
        <v>378023.8958508342</v>
      </c>
      <c r="AS63" s="139">
        <f>+AN63/(AN52+AN55)*(AS52+AS55)</f>
        <v>398951.89032353321</v>
      </c>
      <c r="AT63" s="139">
        <f t="shared" ref="AT63" si="72">+AO63/(AO52+AO55)*(AT52+AT55)</f>
        <v>401746.97018102731</v>
      </c>
      <c r="AU63" s="139">
        <f>+AP63/(AP52+AP55)*(AU52+AU55)</f>
        <v>381783.88833185937</v>
      </c>
      <c r="AV63" s="135"/>
    </row>
    <row r="64" spans="1:48" outlineLevel="1" x14ac:dyDescent="0.25">
      <c r="A64" s="53"/>
      <c r="B64" s="553" t="s">
        <v>522</v>
      </c>
      <c r="C64" s="554"/>
      <c r="D64" s="167">
        <f>D60/(D63/1000)</f>
        <v>22.895742957200405</v>
      </c>
      <c r="E64" s="388">
        <f t="shared" ref="E64:AP64" si="73">E60/(E63/1000)</f>
        <v>22.920225895430519</v>
      </c>
      <c r="F64" s="167">
        <f t="shared" si="73"/>
        <v>21.416255945361936</v>
      </c>
      <c r="G64" s="167">
        <f t="shared" si="73"/>
        <v>22.548427268257811</v>
      </c>
      <c r="H64" s="135"/>
      <c r="I64" s="167">
        <f t="shared" si="73"/>
        <v>29.19463864341758</v>
      </c>
      <c r="J64" s="167">
        <f t="shared" si="73"/>
        <v>29.896751677680914</v>
      </c>
      <c r="K64" s="167">
        <f t="shared" si="73"/>
        <v>28.487448845345451</v>
      </c>
      <c r="L64" s="167">
        <f t="shared" si="73"/>
        <v>30.105057766351475</v>
      </c>
      <c r="M64" s="135"/>
      <c r="N64" s="167">
        <f t="shared" si="73"/>
        <v>26.887519220489907</v>
      </c>
      <c r="O64" s="167">
        <f t="shared" si="73"/>
        <v>28.452497191028851</v>
      </c>
      <c r="P64" s="167">
        <f t="shared" si="73"/>
        <v>27.922120943621476</v>
      </c>
      <c r="Q64" s="167">
        <f t="shared" si="73"/>
        <v>30.272057529087828</v>
      </c>
      <c r="R64" s="135"/>
      <c r="S64" s="167">
        <f t="shared" si="73"/>
        <v>29.273403209780138</v>
      </c>
      <c r="T64" s="167">
        <f t="shared" si="73"/>
        <v>29.346553753941965</v>
      </c>
      <c r="U64" s="167">
        <f t="shared" si="73"/>
        <v>27.338773208094771</v>
      </c>
      <c r="V64" s="167">
        <f t="shared" si="73"/>
        <v>30.854063633376622</v>
      </c>
      <c r="W64" s="135"/>
      <c r="X64" s="139">
        <f t="shared" si="73"/>
        <v>28.904558773245462</v>
      </c>
      <c r="Y64" s="139">
        <f t="shared" si="73"/>
        <v>29.808596906189752</v>
      </c>
      <c r="Z64" s="139">
        <f t="shared" si="73"/>
        <v>28.648592030627789</v>
      </c>
      <c r="AA64" s="139">
        <f t="shared" si="73"/>
        <v>31.558111315425663</v>
      </c>
      <c r="AB64" s="135"/>
      <c r="AC64" s="139">
        <f t="shared" si="73"/>
        <v>28.644881588172581</v>
      </c>
      <c r="AD64" s="139">
        <f t="shared" si="73"/>
        <v>29.24468098933643</v>
      </c>
      <c r="AE64" s="139">
        <f t="shared" si="73"/>
        <v>27.833073437236582</v>
      </c>
      <c r="AF64" s="139">
        <f t="shared" si="73"/>
        <v>31.651894079752445</v>
      </c>
      <c r="AG64" s="135"/>
      <c r="AH64" s="139">
        <f t="shared" si="73"/>
        <v>28.056827283711044</v>
      </c>
      <c r="AI64" s="139">
        <f t="shared" si="73"/>
        <v>28.660696114734318</v>
      </c>
      <c r="AJ64" s="139">
        <f t="shared" si="73"/>
        <v>27.319684626954732</v>
      </c>
      <c r="AK64" s="139">
        <f t="shared" si="73"/>
        <v>30.995463784978778</v>
      </c>
      <c r="AL64" s="135"/>
      <c r="AM64" s="139">
        <f t="shared" si="73"/>
        <v>27.369416877923523</v>
      </c>
      <c r="AN64" s="139">
        <f t="shared" si="73"/>
        <v>27.919085340544399</v>
      </c>
      <c r="AO64" s="139">
        <f t="shared" si="73"/>
        <v>26.620538039544403</v>
      </c>
      <c r="AP64" s="139">
        <f t="shared" si="73"/>
        <v>30.119146196549359</v>
      </c>
      <c r="AQ64" s="135"/>
      <c r="AR64" s="139">
        <f t="shared" ref="AR64:AV64" si="74">AR60/(AR63/1000)</f>
        <v>26.532934528200006</v>
      </c>
      <c r="AS64" s="139">
        <f t="shared" si="74"/>
        <v>27.010270317272322</v>
      </c>
      <c r="AT64" s="139">
        <f t="shared" si="74"/>
        <v>25.754579549611933</v>
      </c>
      <c r="AU64" s="139">
        <f t="shared" si="74"/>
        <v>29.061742318841073</v>
      </c>
      <c r="AV64" s="135"/>
    </row>
    <row r="65" spans="1:48" outlineLevel="1" x14ac:dyDescent="0.25">
      <c r="A65" s="53"/>
      <c r="B65" s="177" t="s">
        <v>252</v>
      </c>
      <c r="C65" s="127"/>
      <c r="D65" s="314">
        <v>1.8813570936527344</v>
      </c>
      <c r="E65" s="314">
        <v>1.603624447823883</v>
      </c>
      <c r="F65" s="314">
        <v>1.2991575732446072</v>
      </c>
      <c r="G65" s="314">
        <v>1.3014247535808992</v>
      </c>
      <c r="H65" s="135"/>
      <c r="I65" s="314">
        <v>1.5159274214953833</v>
      </c>
      <c r="J65" s="314">
        <v>1.556415144766147</v>
      </c>
      <c r="K65" s="314">
        <v>1.6862896055540604</v>
      </c>
      <c r="L65" s="314">
        <v>1.6893428524625969</v>
      </c>
      <c r="M65" s="135"/>
      <c r="N65" s="314">
        <v>1.6185668972271923</v>
      </c>
      <c r="O65" s="314">
        <v>1.8777031644815629</v>
      </c>
      <c r="P65" s="314">
        <v>2.056</v>
      </c>
      <c r="Q65" s="314">
        <v>2.1629999999999998</v>
      </c>
      <c r="R65" s="315"/>
      <c r="S65" s="314">
        <v>2.306</v>
      </c>
      <c r="T65" s="314">
        <v>2.387</v>
      </c>
      <c r="U65" s="314">
        <v>2.0030000000000001</v>
      </c>
      <c r="V65" s="314">
        <v>2.2069999999999999</v>
      </c>
      <c r="W65" s="135"/>
      <c r="X65" s="182">
        <v>2.2000000000000002</v>
      </c>
      <c r="Y65" s="182">
        <v>2.2000000000000002</v>
      </c>
      <c r="Z65" s="182">
        <v>2.2000000000000002</v>
      </c>
      <c r="AA65" s="182">
        <v>2.2000000000000002</v>
      </c>
      <c r="AB65" s="135"/>
      <c r="AC65" s="182">
        <v>2.1</v>
      </c>
      <c r="AD65" s="182">
        <v>2.1</v>
      </c>
      <c r="AE65" s="182">
        <v>2.1</v>
      </c>
      <c r="AF65" s="182">
        <v>2.1</v>
      </c>
      <c r="AG65" s="135"/>
      <c r="AH65" s="182">
        <v>2.2000000000000002</v>
      </c>
      <c r="AI65" s="182">
        <v>2.2000000000000002</v>
      </c>
      <c r="AJ65" s="182">
        <v>2.2000000000000002</v>
      </c>
      <c r="AK65" s="182">
        <v>2.2000000000000002</v>
      </c>
      <c r="AL65" s="135"/>
      <c r="AM65" s="182">
        <v>2.2000000000000002</v>
      </c>
      <c r="AN65" s="182">
        <v>2.2000000000000002</v>
      </c>
      <c r="AO65" s="182">
        <v>2.2000000000000002</v>
      </c>
      <c r="AP65" s="182">
        <v>2.2000000000000002</v>
      </c>
      <c r="AQ65" s="135"/>
      <c r="AR65" s="182">
        <v>2.2000000000000002</v>
      </c>
      <c r="AS65" s="182">
        <v>2.2000000000000002</v>
      </c>
      <c r="AT65" s="182">
        <v>2.2000000000000002</v>
      </c>
      <c r="AU65" s="182">
        <v>2.2000000000000002</v>
      </c>
      <c r="AV65" s="135"/>
    </row>
    <row r="66" spans="1:48" outlineLevel="1" x14ac:dyDescent="0.25">
      <c r="A66" s="53"/>
      <c r="B66" s="134" t="s">
        <v>253</v>
      </c>
      <c r="C66" s="133"/>
      <c r="D66" s="148">
        <f>+D63*D65/1000</f>
        <v>521.64200000000005</v>
      </c>
      <c r="E66" s="148">
        <f>+E63*E65/1000</f>
        <v>442.88900000000001</v>
      </c>
      <c r="F66" s="148">
        <f>+F63*F65/1000</f>
        <v>385.38600000000002</v>
      </c>
      <c r="G66" s="148">
        <f>+G63*G65/1000</f>
        <v>376.428</v>
      </c>
      <c r="H66" s="172"/>
      <c r="I66" s="148">
        <f>+I63*I65/1000</f>
        <v>428.34500000000003</v>
      </c>
      <c r="J66" s="148">
        <f>+J63*J65/1000</f>
        <v>436.76900000000001</v>
      </c>
      <c r="K66" s="148">
        <f>+K63*K65/1000</f>
        <v>495.012</v>
      </c>
      <c r="L66" s="148">
        <f>+L63*L65/1000</f>
        <v>495.01799999999997</v>
      </c>
      <c r="M66" s="172"/>
      <c r="N66" s="148">
        <f>+N63*N65/1000</f>
        <v>505.68400000000003</v>
      </c>
      <c r="O66" s="148">
        <f>+O63*O65/1000</f>
        <v>598.94600000000003</v>
      </c>
      <c r="P66" s="148">
        <f>+P63*P65/1000</f>
        <v>669.949656</v>
      </c>
      <c r="Q66" s="168">
        <f>+Q63*Q65/1000</f>
        <v>685.79429099999993</v>
      </c>
      <c r="R66" s="172"/>
      <c r="S66" s="148">
        <f>+S63*S65/1000</f>
        <v>726.40383599999996</v>
      </c>
      <c r="T66" s="148">
        <f>+T63*T65/1000</f>
        <v>781.14097600000002</v>
      </c>
      <c r="U66" s="148">
        <f>+U63*U65/1000</f>
        <v>659.78419400000007</v>
      </c>
      <c r="V66" s="168">
        <v>679.45600000000002</v>
      </c>
      <c r="W66" s="172"/>
      <c r="X66" s="183">
        <f>+X63*X65/1000</f>
        <v>675.52734448774049</v>
      </c>
      <c r="Y66" s="183">
        <f>+Y63*Y65/1000</f>
        <v>703.39975568063244</v>
      </c>
      <c r="Z66" s="183">
        <f>+Z63*Z65/1000</f>
        <v>706.66994007341384</v>
      </c>
      <c r="AA66" s="183">
        <f>+AA63*AA65/1000</f>
        <v>663.55159680516385</v>
      </c>
      <c r="AB66" s="172"/>
      <c r="AC66" s="183">
        <f>+AC63*AC65/1000</f>
        <v>672.52739286720646</v>
      </c>
      <c r="AD66" s="183">
        <f>+AD63*AD65/1000</f>
        <v>703.87058528095088</v>
      </c>
      <c r="AE66" s="183">
        <f>+AE63*AE65/1000</f>
        <v>709.45589953782576</v>
      </c>
      <c r="AF66" s="183">
        <f>+AF63*AF65/1000</f>
        <v>670.92628897637053</v>
      </c>
      <c r="AG66" s="172"/>
      <c r="AH66" s="183">
        <f>+AH63*AH65/1000</f>
        <v>741.97813243803012</v>
      </c>
      <c r="AI66" s="183">
        <f>+AI63*AI65/1000</f>
        <v>779.55886352646871</v>
      </c>
      <c r="AJ66" s="183">
        <f>+AJ63*AJ65/1000</f>
        <v>786.23950108062445</v>
      </c>
      <c r="AK66" s="183">
        <f>+AK63*AK65/1000</f>
        <v>745.36333407890936</v>
      </c>
      <c r="AL66" s="172"/>
      <c r="AM66" s="183">
        <f>+AM63*AM65/1000</f>
        <v>784.70046796498139</v>
      </c>
      <c r="AN66" s="183">
        <f>+AN63*AN65/1000</f>
        <v>826.51896867965786</v>
      </c>
      <c r="AO66" s="183">
        <f>+AO63*AO65/1000</f>
        <v>833.04607797880237</v>
      </c>
      <c r="AP66" s="183">
        <f>+AP63*AP65/1000</f>
        <v>790.74912260217798</v>
      </c>
      <c r="AQ66" s="172"/>
      <c r="AR66" s="183">
        <f>+AR63*AR65/1000</f>
        <v>831.65257087183534</v>
      </c>
      <c r="AS66" s="183">
        <f>+AS63*AS65/1000</f>
        <v>877.69415871177307</v>
      </c>
      <c r="AT66" s="183">
        <f>+AT63*AT65/1000</f>
        <v>883.84333439826014</v>
      </c>
      <c r="AU66" s="183">
        <f>+AU63*AU65/1000</f>
        <v>839.92455433009059</v>
      </c>
      <c r="AV66" s="172"/>
    </row>
    <row r="67" spans="1:48" outlineLevel="1" x14ac:dyDescent="0.25">
      <c r="A67" s="53"/>
      <c r="B67" s="177" t="s">
        <v>254</v>
      </c>
      <c r="C67" s="127"/>
      <c r="D67" s="128">
        <f>+D68-D66</f>
        <v>85.357999999999947</v>
      </c>
      <c r="E67" s="128">
        <f>+E68-E66</f>
        <v>74.11099999999999</v>
      </c>
      <c r="F67" s="128">
        <f>+F68-F66</f>
        <v>69.613999999999976</v>
      </c>
      <c r="G67" s="128">
        <f>+G68-G66</f>
        <v>67.572000000000003</v>
      </c>
      <c r="H67" s="135"/>
      <c r="I67" s="128">
        <f>+I68-I66</f>
        <v>126.65499999999997</v>
      </c>
      <c r="J67" s="128">
        <f>+J68-J66</f>
        <v>128.23099999999999</v>
      </c>
      <c r="K67" s="128">
        <f>+K68-K66</f>
        <v>137.988</v>
      </c>
      <c r="L67" s="128">
        <f>+L68-L66</f>
        <v>129.98200000000003</v>
      </c>
      <c r="M67" s="135"/>
      <c r="N67" s="128">
        <f>+N68-N66</f>
        <v>97.315999999999974</v>
      </c>
      <c r="O67" s="128">
        <f>+O68-O66</f>
        <v>104.05399999999997</v>
      </c>
      <c r="P67" s="128">
        <f>+P68-P66</f>
        <v>112.050344</v>
      </c>
      <c r="Q67" s="128">
        <f>+Q68-Q66</f>
        <v>115.20570900000007</v>
      </c>
      <c r="R67" s="135"/>
      <c r="S67" s="128">
        <f>+S68-S66</f>
        <v>118.59616400000004</v>
      </c>
      <c r="T67" s="128">
        <f>+T68-T66</f>
        <v>117.85902399999998</v>
      </c>
      <c r="U67" s="128">
        <f>+U68-U66</f>
        <v>111.21580599999993</v>
      </c>
      <c r="V67" s="128">
        <f>795-V66</f>
        <v>115.54399999999998</v>
      </c>
      <c r="W67" s="135"/>
      <c r="X67" s="139">
        <f>+V67/(V52+V55)*(X52+X55)</f>
        <v>116.09102392723464</v>
      </c>
      <c r="Y67" s="139">
        <f>+X67/(X52+X55)*(Y52+Y55)</f>
        <v>128.08818875430063</v>
      </c>
      <c r="Z67" s="139">
        <f t="shared" ref="Z67:AA67" si="75">+Y67/(Y52+Y55)*(Z52+Z55)</f>
        <v>120.20056182139494</v>
      </c>
      <c r="AA67" s="139">
        <f t="shared" si="75"/>
        <v>119.14427377141456</v>
      </c>
      <c r="AB67" s="135"/>
      <c r="AC67" s="139">
        <f>(AA67/(AA52+AA55)*(AC52+AC55))*(1+0.5%)</f>
        <v>121.68446430309649</v>
      </c>
      <c r="AD67" s="139">
        <f>(AC67/(AC52+AC55)*(AD52+AD55))*(1+0.5%)</f>
        <v>135.62357791494455</v>
      </c>
      <c r="AE67" s="139">
        <f t="shared" ref="AE67:AF67" si="76">(AD67/(AD52+AD55)*(AE52+AE55))*(1+0.5%)</f>
        <v>128.32664953464135</v>
      </c>
      <c r="AF67" s="139">
        <f t="shared" si="76"/>
        <v>128.74812652611078</v>
      </c>
      <c r="AG67" s="135"/>
      <c r="AH67" s="139">
        <f>(AF67/(AF52+AF55)*(AH52+AH55))*(1+0.5%)</f>
        <v>130.73056045193132</v>
      </c>
      <c r="AI67" s="139">
        <f>(AH67/(AH52+AH55)*(AI52+AI55))*(1+0.5%)</f>
        <v>146.26895401374173</v>
      </c>
      <c r="AJ67" s="139">
        <f t="shared" ref="AJ67:AK67" si="77">(AI67/(AI52+AI55)*(AJ52+AJ55))*(1+0.5%)</f>
        <v>138.48641446691826</v>
      </c>
      <c r="AK67" s="139">
        <f t="shared" si="77"/>
        <v>139.28200020538054</v>
      </c>
      <c r="AL67" s="135"/>
      <c r="AM67" s="139">
        <f>(AK67/(AK52+AK55)*(AM52+AM55))*(1+0.5%)</f>
        <v>141.04385700079928</v>
      </c>
      <c r="AN67" s="139">
        <f>(AM67/(AM52+AM55)*(AN52+AN55))*(1+0.5%)</f>
        <v>158.20503970175548</v>
      </c>
      <c r="AO67" s="139">
        <f t="shared" ref="AO67" si="78">(AN67/(AN52+AN55)*(AO52+AO55))*(1+0.5%)</f>
        <v>149.68751651539614</v>
      </c>
      <c r="AP67" s="139">
        <f>(AO67/(AO52+AO55)*(AP52+AP55))*(1+0.5%)</f>
        <v>150.74049448645633</v>
      </c>
      <c r="AQ67" s="135"/>
      <c r="AR67" s="139">
        <f>(AP67/(AP52+AP55)*(AR52+AR55))*(1+0.5%)</f>
        <v>152.49529538618756</v>
      </c>
      <c r="AS67" s="139">
        <f>(AR67/(AR52+AR55)*(AS52+AS55))*(1+0.5%)</f>
        <v>171.38584259750368</v>
      </c>
      <c r="AT67" s="139">
        <f t="shared" ref="AT67" si="79">(AS67/(AS52+AS55)*(AT52+AT55))*(1+0.5%)</f>
        <v>162.0153252463829</v>
      </c>
      <c r="AU67" s="139">
        <f>(AT67/(AT52+AT55)*(AU52+AU55))*(1+0.5%)</f>
        <v>163.34119987368777</v>
      </c>
      <c r="AV67" s="135"/>
    </row>
    <row r="68" spans="1:48" s="55" customFormat="1" outlineLevel="1" x14ac:dyDescent="0.25">
      <c r="A68" s="195"/>
      <c r="B68" s="171" t="s">
        <v>251</v>
      </c>
      <c r="C68" s="133"/>
      <c r="D68" s="148">
        <v>607</v>
      </c>
      <c r="E68" s="148">
        <v>517</v>
      </c>
      <c r="F68" s="148">
        <v>455</v>
      </c>
      <c r="G68" s="148">
        <v>444</v>
      </c>
      <c r="H68" s="172"/>
      <c r="I68" s="148">
        <v>555</v>
      </c>
      <c r="J68" s="148">
        <v>565</v>
      </c>
      <c r="K68" s="148">
        <v>633</v>
      </c>
      <c r="L68" s="148">
        <v>625</v>
      </c>
      <c r="M68" s="172"/>
      <c r="N68" s="148">
        <v>603</v>
      </c>
      <c r="O68" s="148">
        <v>703</v>
      </c>
      <c r="P68" s="148">
        <v>782</v>
      </c>
      <c r="Q68" s="168">
        <v>801</v>
      </c>
      <c r="R68" s="172"/>
      <c r="S68" s="168">
        <v>845</v>
      </c>
      <c r="T68" s="168">
        <v>899</v>
      </c>
      <c r="U68" s="168">
        <v>771</v>
      </c>
      <c r="V68" s="168">
        <f>+V67+V66</f>
        <v>795</v>
      </c>
      <c r="W68" s="172"/>
      <c r="X68" s="168">
        <f>+X67+X66</f>
        <v>791.61836841497518</v>
      </c>
      <c r="Y68" s="168">
        <f>+Y67+Y66</f>
        <v>831.48794443493307</v>
      </c>
      <c r="Z68" s="168">
        <f>+Z67+Z66</f>
        <v>826.87050189480874</v>
      </c>
      <c r="AA68" s="168">
        <f>+AA67+AA66</f>
        <v>782.69587057657839</v>
      </c>
      <c r="AB68" s="172"/>
      <c r="AC68" s="168">
        <f>+AC67+AC66</f>
        <v>794.21185717030289</v>
      </c>
      <c r="AD68" s="168">
        <f>+AD67+AD66</f>
        <v>839.49416319589545</v>
      </c>
      <c r="AE68" s="168">
        <f>+AE67+AE66</f>
        <v>837.78254907246708</v>
      </c>
      <c r="AF68" s="168">
        <f>+AF67+AF66</f>
        <v>799.67441550248134</v>
      </c>
      <c r="AG68" s="172"/>
      <c r="AH68" s="168">
        <f>+AH67+AH66</f>
        <v>872.70869288996141</v>
      </c>
      <c r="AI68" s="168">
        <f>+AI67+AI66</f>
        <v>925.82781754021039</v>
      </c>
      <c r="AJ68" s="168">
        <f>+AJ67+AJ66</f>
        <v>924.72591554754274</v>
      </c>
      <c r="AK68" s="168">
        <f>+AK67+AK66</f>
        <v>884.6453342842899</v>
      </c>
      <c r="AL68" s="172"/>
      <c r="AM68" s="168">
        <f>+AM67+AM66</f>
        <v>925.74432496578061</v>
      </c>
      <c r="AN68" s="168">
        <f>+AN67+AN66</f>
        <v>984.72400838141334</v>
      </c>
      <c r="AO68" s="168">
        <f>+AO67+AO66</f>
        <v>982.73359449419854</v>
      </c>
      <c r="AP68" s="168">
        <f>+AP67+AP66</f>
        <v>941.4896170886343</v>
      </c>
      <c r="AQ68" s="172"/>
      <c r="AR68" s="168">
        <f>+AR67+AR66</f>
        <v>984.14786625802287</v>
      </c>
      <c r="AS68" s="168">
        <f>+AS67+AS66</f>
        <v>1049.0800013092767</v>
      </c>
      <c r="AT68" s="168">
        <f>+AT67+AT66</f>
        <v>1045.858659644643</v>
      </c>
      <c r="AU68" s="168">
        <f>+AU67+AU66</f>
        <v>1003.2657542037783</v>
      </c>
      <c r="AV68" s="172"/>
    </row>
    <row r="69" spans="1:48" outlineLevel="1" x14ac:dyDescent="0.25">
      <c r="A69" s="53"/>
      <c r="B69" s="177" t="s">
        <v>153</v>
      </c>
      <c r="C69" s="127"/>
      <c r="D69" s="128">
        <v>345</v>
      </c>
      <c r="E69" s="128">
        <v>347</v>
      </c>
      <c r="F69" s="128">
        <v>340</v>
      </c>
      <c r="G69" s="128">
        <v>345</v>
      </c>
      <c r="H69" s="135"/>
      <c r="I69" s="128">
        <v>418</v>
      </c>
      <c r="J69" s="128">
        <v>410</v>
      </c>
      <c r="K69" s="128">
        <v>418</v>
      </c>
      <c r="L69" s="128">
        <v>416</v>
      </c>
      <c r="M69" s="135"/>
      <c r="N69" s="128">
        <v>415</v>
      </c>
      <c r="O69" s="128">
        <v>410</v>
      </c>
      <c r="P69" s="128">
        <v>423</v>
      </c>
      <c r="Q69" s="167">
        <v>431</v>
      </c>
      <c r="R69" s="135"/>
      <c r="S69" s="167">
        <v>436</v>
      </c>
      <c r="T69" s="167">
        <v>449</v>
      </c>
      <c r="U69" s="167">
        <v>456</v>
      </c>
      <c r="V69" s="167">
        <v>460</v>
      </c>
      <c r="W69" s="135"/>
      <c r="X69" s="167">
        <f>V69/(V69+V151+V168+V182)*X18</f>
        <v>470.51477052728262</v>
      </c>
      <c r="Y69" s="167">
        <f>X69/(X69+X151+X168+X182)*Y18</f>
        <v>481.48629074187136</v>
      </c>
      <c r="Z69" s="167">
        <f>Y69/(Y69+Y151+Y168+Y182)*Z18</f>
        <v>487.10056167793493</v>
      </c>
      <c r="AA69" s="167">
        <f>Z69/(Z69+Z151+Z168+Z182)*AA18</f>
        <v>499.30056206714869</v>
      </c>
      <c r="AB69" s="135"/>
      <c r="AC69" s="167">
        <f>AA69/(AA69+AA151+AA168+AA182)*AC18</f>
        <v>517.21110286698172</v>
      </c>
      <c r="AD69" s="167">
        <f>AC69/(AC69+AC151+AC168+AC182)*AD18</f>
        <v>529.20385316454508</v>
      </c>
      <c r="AE69" s="167">
        <f>AD69/(AD69+AD151+AD168+AD182)*AE18</f>
        <v>535.28829462882584</v>
      </c>
      <c r="AF69" s="167">
        <f>AE69/(AE69+AE151+AE168+AE182)*AF18</f>
        <v>547.99292796796328</v>
      </c>
      <c r="AG69" s="135"/>
      <c r="AH69" s="167">
        <f>AF69/(AF69+AF151+AF168+AF182)*AH18</f>
        <v>566.78083288997414</v>
      </c>
      <c r="AI69" s="167">
        <f>AH69/(AH69+AH151+AH168+AH182)*AI18</f>
        <v>579.46038770758082</v>
      </c>
      <c r="AJ69" s="167">
        <f>AI69/(AI69+AI151+AI168+AI182)*AJ18</f>
        <v>585.83794351646429</v>
      </c>
      <c r="AK69" s="167">
        <f>AJ69/(AJ69+AJ151+AJ168+AJ182)*AK18</f>
        <v>599.11154349631533</v>
      </c>
      <c r="AL69" s="135"/>
      <c r="AM69" s="167">
        <f>AK69/(AK69+AK151+AK168+AK182)*AM18</f>
        <v>618.70930021949778</v>
      </c>
      <c r="AN69" s="167">
        <f>AM69/(AM69+AM151+AM168+AM182)*AN18</f>
        <v>631.9414306031116</v>
      </c>
      <c r="AO69" s="167">
        <f>AN69/(AN69+AN151+AN168+AN182)*AO18</f>
        <v>638.56983099000422</v>
      </c>
      <c r="AP69" s="167">
        <f>AO69/(AO69+AO151+AO168+AO182)*AP18</f>
        <v>652.36616761743073</v>
      </c>
      <c r="AQ69" s="135"/>
      <c r="AR69" s="167">
        <f>AP69/(AP69+AP151+AP168+AP182)*AR18</f>
        <v>672.70049208801925</v>
      </c>
      <c r="AS69" s="167">
        <f>AR69/(AR69+AR151+AR168+AR182)*AS18</f>
        <v>686.40244668704599</v>
      </c>
      <c r="AT69" s="167">
        <f>AS69/(AS69+AS151+AS168+AS182)*AT18</f>
        <v>693.25062543697595</v>
      </c>
      <c r="AU69" s="167">
        <f>AT69/(AT69+AT151+AT168+AT182)*AU18</f>
        <v>707.50198976405409</v>
      </c>
      <c r="AV69" s="135"/>
    </row>
    <row r="70" spans="1:48" outlineLevel="1" x14ac:dyDescent="0.25">
      <c r="A70" s="53"/>
      <c r="B70" s="177" t="s">
        <v>248</v>
      </c>
      <c r="C70" s="127"/>
      <c r="D70" s="128">
        <v>4863</v>
      </c>
      <c r="E70" s="128">
        <v>4855</v>
      </c>
      <c r="F70" s="128">
        <v>4970</v>
      </c>
      <c r="G70" s="128">
        <v>4980</v>
      </c>
      <c r="H70" s="135"/>
      <c r="I70" s="128">
        <f>6669+97</f>
        <v>6766</v>
      </c>
      <c r="J70" s="128">
        <f>6705+97</f>
        <v>6802</v>
      </c>
      <c r="K70" s="128">
        <f>6748+98</f>
        <v>6846</v>
      </c>
      <c r="L70" s="128">
        <f>6893+97</f>
        <v>6990</v>
      </c>
      <c r="M70" s="135"/>
      <c r="N70" s="128">
        <f>6944+118</f>
        <v>7062</v>
      </c>
      <c r="O70" s="128">
        <f>7244+118</f>
        <v>7362</v>
      </c>
      <c r="P70" s="128">
        <f>7462+114</f>
        <v>7576</v>
      </c>
      <c r="Q70" s="128">
        <f>7376+123</f>
        <v>7499</v>
      </c>
      <c r="R70" s="135"/>
      <c r="S70" s="167">
        <v>7573.5</v>
      </c>
      <c r="T70" s="128">
        <f>3441+1354+474+514+527+1326</f>
        <v>7636</v>
      </c>
      <c r="U70" s="128">
        <v>7408</v>
      </c>
      <c r="V70" s="128">
        <v>7479</v>
      </c>
      <c r="W70" s="135"/>
      <c r="X70" s="128">
        <f>+X71*(X54+X57+X58)</f>
        <v>7307.140732580101</v>
      </c>
      <c r="Y70" s="128">
        <f>+Y71*(Y54+Y57+Y58)</f>
        <v>7654.2148647864215</v>
      </c>
      <c r="Z70" s="128">
        <f>+Z71*(Z54+Z57+Z58)</f>
        <v>7482.6186650860845</v>
      </c>
      <c r="AA70" s="128">
        <f>+AA71*(AA54+AA57+AA58)</f>
        <v>7466.014649723129</v>
      </c>
      <c r="AB70" s="135"/>
      <c r="AC70" s="128">
        <f>+AC71*(AC54+AC57+AC58)</f>
        <v>7451.7275021456417</v>
      </c>
      <c r="AD70" s="128">
        <f>+AD71*(AD54+AD57+AD58)</f>
        <v>7764.4467967541959</v>
      </c>
      <c r="AE70" s="128">
        <f>+AE71*(AE54+AE57+AE58)</f>
        <v>7542.3797337846163</v>
      </c>
      <c r="AF70" s="128">
        <f>+AF71*(AF54+AF57+AF58)</f>
        <v>7825.7890399043536</v>
      </c>
      <c r="AG70" s="135"/>
      <c r="AH70" s="128">
        <f>+AH71*(AH54+AH57+AH58)</f>
        <v>7591.8323272788011</v>
      </c>
      <c r="AI70" s="128">
        <f>+AI71*(AI54+AI57+AI58)</f>
        <v>7917.6273023104059</v>
      </c>
      <c r="AJ70" s="128">
        <f>+AJ71*(AJ54+AJ57+AJ58)</f>
        <v>7709.5282032815167</v>
      </c>
      <c r="AK70" s="128">
        <f>+AK71*(AK54+AK57+AK58)</f>
        <v>7971.3212855109887</v>
      </c>
      <c r="AL70" s="135"/>
      <c r="AM70" s="128">
        <f>+AM71*(AM54+AM57+AM58)</f>
        <v>7807.8419895687866</v>
      </c>
      <c r="AN70" s="128">
        <f>+AN71*(AN54+AN57+AN58)</f>
        <v>8151.1433232875324</v>
      </c>
      <c r="AO70" s="128">
        <f>+AO71*(AO54+AO57+AO58)</f>
        <v>7934.2508504957186</v>
      </c>
      <c r="AP70" s="128">
        <f>+AP71*(AP54+AP57+AP58)</f>
        <v>8190.5455550863317</v>
      </c>
      <c r="AQ70" s="135"/>
      <c r="AR70" s="128">
        <f>+AR71*(AR54+AR57+AR58)</f>
        <v>7997.0378678866664</v>
      </c>
      <c r="AS70" s="128">
        <f>+AS71*(AS54+AS57+AS58)</f>
        <v>8347.1318514398154</v>
      </c>
      <c r="AT70" s="128">
        <f>+AT71*(AT54+AT57+AT58)</f>
        <v>8118.3591767414027</v>
      </c>
      <c r="AU70" s="128">
        <f>+AU71*(AU54+AU57+AU58)</f>
        <v>8366.7336485211436</v>
      </c>
      <c r="AV70" s="135"/>
    </row>
    <row r="71" spans="1:48" outlineLevel="1" x14ac:dyDescent="0.25">
      <c r="A71" s="53"/>
      <c r="B71" s="126" t="s">
        <v>250</v>
      </c>
      <c r="C71" s="127"/>
      <c r="D71" s="145">
        <f>+D70/(D54+D57+D58)</f>
        <v>0.76603429408350565</v>
      </c>
      <c r="E71" s="145">
        <f>+E70/(E54+E57+E58)</f>
        <v>0.76696953817486646</v>
      </c>
      <c r="F71" s="145">
        <f>+F70/(F54+F57+F58)</f>
        <v>0.7823097369669022</v>
      </c>
      <c r="G71" s="145">
        <f>+G70/(G54+G57+G58)</f>
        <v>0.76357241359418604</v>
      </c>
      <c r="H71" s="135"/>
      <c r="I71" s="145">
        <f>+I70/(I54+I57+I58)</f>
        <v>0.82018835035356952</v>
      </c>
      <c r="J71" s="145">
        <f>+J70/(J54+J57+J58)</f>
        <v>0.81074870759486339</v>
      </c>
      <c r="K71" s="145">
        <f>+K70/(K54+K57+K58)</f>
        <v>0.81865283910378295</v>
      </c>
      <c r="L71" s="145">
        <f>+L70/(L54+L57+L58)</f>
        <v>0.7923818484765025</v>
      </c>
      <c r="M71" s="135"/>
      <c r="N71" s="145">
        <f>+N70/(N54+N57+N58)</f>
        <v>0.84067555784298453</v>
      </c>
      <c r="O71" s="145">
        <f>+O70/(O54+O57+O58)</f>
        <v>0.81117525370408738</v>
      </c>
      <c r="P71" s="145">
        <f>+P70/(P54+P57+P58)</f>
        <v>0.83266920640531594</v>
      </c>
      <c r="Q71" s="145">
        <f>+Q70/(Q54+Q57+Q58)</f>
        <v>0.78131123171234529</v>
      </c>
      <c r="R71" s="520"/>
      <c r="S71" s="145">
        <f>+S70/(S54+S57+S58)</f>
        <v>0.82130523124020871</v>
      </c>
      <c r="T71" s="145">
        <f>+T70/(T54+T57+T58)</f>
        <v>0.79511841254292448</v>
      </c>
      <c r="U71" s="145">
        <f>+U70/(U54+U57+U58)</f>
        <v>0.82262327565600524</v>
      </c>
      <c r="V71" s="145">
        <f>+V70/(V54+V57+V58)</f>
        <v>0.78727874415767551</v>
      </c>
      <c r="W71" s="135"/>
      <c r="X71" s="176">
        <f>+S71+0.2%</f>
        <v>0.82330523124020871</v>
      </c>
      <c r="Y71" s="176">
        <f>+T71+0.8%</f>
        <v>0.80311841254292449</v>
      </c>
      <c r="Z71" s="176">
        <f>+U71-0.95%</f>
        <v>0.81312327565600528</v>
      </c>
      <c r="AA71" s="176">
        <f>+V71-0.29%</f>
        <v>0.7843787441576755</v>
      </c>
      <c r="AB71" s="135"/>
      <c r="AC71" s="176">
        <f>+X71-1.1%</f>
        <v>0.8123052312402087</v>
      </c>
      <c r="AD71" s="176">
        <f>+Y71-1.1%</f>
        <v>0.79211841254292448</v>
      </c>
      <c r="AE71" s="176">
        <f>+Z71-1.1%</f>
        <v>0.80212327565600527</v>
      </c>
      <c r="AF71" s="176">
        <f>+AA71-1.05%</f>
        <v>0.77387874415767555</v>
      </c>
      <c r="AG71" s="135"/>
      <c r="AH71" s="176">
        <f>+AC71-1%</f>
        <v>0.80230523124020869</v>
      </c>
      <c r="AI71" s="176">
        <f>+AD71-1.25%</f>
        <v>0.77961841254292452</v>
      </c>
      <c r="AJ71" s="176">
        <f>+AE71-1.25%</f>
        <v>0.78962327565600532</v>
      </c>
      <c r="AK71" s="176">
        <f>+AF71-1.48%</f>
        <v>0.75907874415767551</v>
      </c>
      <c r="AL71" s="135"/>
      <c r="AM71" s="176">
        <f>+AH71-0.25%</f>
        <v>0.79980523124020875</v>
      </c>
      <c r="AN71" s="176">
        <f>+AI71-0.25%</f>
        <v>0.77711841254292457</v>
      </c>
      <c r="AO71" s="176">
        <f>+AJ71-0.25%</f>
        <v>0.78712327565600537</v>
      </c>
      <c r="AP71" s="176">
        <f>+AK71-0.25%</f>
        <v>0.75657874415767556</v>
      </c>
      <c r="AQ71" s="135"/>
      <c r="AR71" s="176">
        <f>+AM71-0.25%</f>
        <v>0.7973052312402088</v>
      </c>
      <c r="AS71" s="176">
        <f>+AN71-0.25%</f>
        <v>0.77461841254292463</v>
      </c>
      <c r="AT71" s="176">
        <f>+AO71-0.25%</f>
        <v>0.78462327565600543</v>
      </c>
      <c r="AU71" s="176">
        <f>+AP71-0.25%</f>
        <v>0.75407874415767562</v>
      </c>
      <c r="AV71" s="135"/>
    </row>
    <row r="72" spans="1:48" outlineLevel="1" x14ac:dyDescent="0.25">
      <c r="A72" s="53"/>
      <c r="B72" s="134" t="s">
        <v>257</v>
      </c>
      <c r="C72" s="133"/>
      <c r="D72" s="148">
        <f>+D54+D57+D58-D68-D69-D70</f>
        <v>533.27975399999923</v>
      </c>
      <c r="E72" s="148">
        <f>+E54+E57+E58-E68-E69-E70</f>
        <v>611.10798780000096</v>
      </c>
      <c r="F72" s="148">
        <f>+F54+F57+F58-F68-F69-F70</f>
        <v>587.98241240000061</v>
      </c>
      <c r="G72" s="148">
        <f>+G54+G57+G58-G68-G69-G70</f>
        <v>752.9747483526935</v>
      </c>
      <c r="H72" s="135"/>
      <c r="I72" s="148">
        <f>+I54+I57+I58-I68-I69-I70</f>
        <v>510.3246790000012</v>
      </c>
      <c r="J72" s="148">
        <f>+J54+J57+J58-J68-J69-J70</f>
        <v>612.77593954920667</v>
      </c>
      <c r="K72" s="148">
        <f>+K54+K57+K58-K68-K69-K70</f>
        <v>465.51909599999999</v>
      </c>
      <c r="L72" s="148">
        <f>+L54+L57+L58-L68-L69-L70</f>
        <v>790.50444692737437</v>
      </c>
      <c r="M72" s="189">
        <f>+SUM(I72:L72)</f>
        <v>2379.1241614765822</v>
      </c>
      <c r="N72" s="148">
        <f>+N54+N57+N58-N68-N69-N70</f>
        <v>320.38696750000054</v>
      </c>
      <c r="O72" s="148">
        <f>+O54+O57+O58-O68-O69-O70</f>
        <v>600.72064900000078</v>
      </c>
      <c r="P72" s="148">
        <f>+P54+P57+P58-P68-P69-P70</f>
        <v>317.45103159999962</v>
      </c>
      <c r="Q72" s="148">
        <f>+Q54+Q57+Q58-Q68-Q69-Q70</f>
        <v>866.96774399999958</v>
      </c>
      <c r="R72" s="189">
        <f>+SUM(N72:Q72)</f>
        <v>2105.5263921000005</v>
      </c>
      <c r="S72" s="148">
        <f>+S54+S57+S58-S68-S69-S70</f>
        <v>366.79765149999912</v>
      </c>
      <c r="T72" s="148">
        <f>+T54+T57+T58-T68-T69-T70</f>
        <v>619.60102286999972</v>
      </c>
      <c r="U72" s="148">
        <f>+U54+U57+U58-U68-U69-U70</f>
        <v>370.33721720000176</v>
      </c>
      <c r="V72" s="148">
        <f>+V54+V57+V58-V68-V69-V70</f>
        <v>765.81192239849406</v>
      </c>
      <c r="W72" s="189">
        <f>+SUM(S72:V72)</f>
        <v>2122.5478139684947</v>
      </c>
      <c r="X72" s="148">
        <f>+X54+X57+X58-X68-X69-X70</f>
        <v>306.09877924142438</v>
      </c>
      <c r="Y72" s="148">
        <f>+Y54+Y57+Y58-Y68-Y69-Y70</f>
        <v>563.42898230782885</v>
      </c>
      <c r="Z72" s="148">
        <f>+Z54+Z57+Z58-Z68-Z69-Z70</f>
        <v>405.72791382818014</v>
      </c>
      <c r="AA72" s="148">
        <f>+AA54+AA57+AA58-AA68-AA69-AA70</f>
        <v>770.3685337721472</v>
      </c>
      <c r="AB72" s="835">
        <f>+SUM(X72:AA72)</f>
        <v>2045.6242091495806</v>
      </c>
      <c r="AC72" s="148">
        <f>+AC54+AC57+AC58-AC68-AC69-AC70</f>
        <v>410.40550614257336</v>
      </c>
      <c r="AD72" s="148">
        <f>+AD54+AD57+AD58-AD68-AD69-AD70</f>
        <v>668.98410322770997</v>
      </c>
      <c r="AE72" s="148">
        <f>+AE54+AE57+AE58-AE68-AE69-AE70</f>
        <v>487.56759028411034</v>
      </c>
      <c r="AF72" s="148">
        <f>+AF54+AF57+AF58-AF68-AF69-AF70</f>
        <v>938.96639472113566</v>
      </c>
      <c r="AG72" s="189">
        <f>+SUM(AC72:AF72)</f>
        <v>2505.9235943755293</v>
      </c>
      <c r="AH72" s="148">
        <f>+AH54+AH57+AH58-AH68-AH69-AH70</f>
        <v>431.20192426139602</v>
      </c>
      <c r="AI72" s="148">
        <f>+AI54+AI57+AI58-AI68-AI69-AI70</f>
        <v>732.85707929624004</v>
      </c>
      <c r="AJ72" s="148">
        <f>+AJ54+AJ57+AJ58-AJ68-AJ69-AJ70</f>
        <v>543.46030618942768</v>
      </c>
      <c r="AK72" s="148">
        <f>+AK54+AK57+AK58-AK68-AK69-AK70</f>
        <v>1046.2319403874371</v>
      </c>
      <c r="AL72" s="189">
        <f>+SUM(AH72:AK72)</f>
        <v>2753.7512501345009</v>
      </c>
      <c r="AM72" s="148">
        <f>+AM54+AM57+AM58-AM68-AM69-AM70</f>
        <v>409.88358162559143</v>
      </c>
      <c r="AN72" s="148">
        <f>+AN54+AN57+AN58-AN68-AN69-AN70</f>
        <v>721.12470233980912</v>
      </c>
      <c r="AO72" s="148">
        <f>+AO54+AO57+AO58-AO68-AO69-AO70</f>
        <v>524.50700016916016</v>
      </c>
      <c r="AP72" s="148">
        <f>+AP54+AP57+AP58-AP68-AP69-AP70</f>
        <v>1041.3661276840248</v>
      </c>
      <c r="AQ72" s="189">
        <f>+SUM(AM72:AP72)</f>
        <v>2696.8814118185855</v>
      </c>
      <c r="AR72" s="148">
        <f>+AR54+AR57+AR58-AR68-AR69-AR70</f>
        <v>376.19705247257389</v>
      </c>
      <c r="AS72" s="148">
        <f>+AS54+AS57+AS58-AS68-AS69-AS70</f>
        <v>693.18410178927297</v>
      </c>
      <c r="AT72" s="148">
        <f>+AT54+AT57+AT58-AT68-AT69-AT70</f>
        <v>489.35584051981732</v>
      </c>
      <c r="AU72" s="148">
        <f>+AU54+AU57+AU58-AU68-AU69-AU70</f>
        <v>1017.8035916967146</v>
      </c>
      <c r="AV72" s="189">
        <f>+SUM(AR72:AU72)</f>
        <v>2576.5405864783788</v>
      </c>
    </row>
    <row r="73" spans="1:48" outlineLevel="1" x14ac:dyDescent="0.25">
      <c r="A73" s="53"/>
      <c r="B73" s="134" t="s">
        <v>249</v>
      </c>
      <c r="C73" s="133"/>
      <c r="D73" s="318">
        <f>+D72/(D54+D57+D58)</f>
        <v>8.4003820667163262E-2</v>
      </c>
      <c r="E73" s="318">
        <f>+E72/(E54+E57+E58)</f>
        <v>9.6539899315744318E-2</v>
      </c>
      <c r="F73" s="318">
        <f>+F72/(F54+F57+F58)</f>
        <v>9.255218639553503E-2</v>
      </c>
      <c r="G73" s="318">
        <f>+G72/(G54+G57+G58)</f>
        <v>0.11545195702312068</v>
      </c>
      <c r="H73" s="135"/>
      <c r="I73" s="318">
        <f>+I72/(I54+I57+I58)</f>
        <v>6.1862600741017716E-2</v>
      </c>
      <c r="J73" s="318">
        <f>+J72/(J54+J57+J58)</f>
        <v>7.303841532413223E-2</v>
      </c>
      <c r="K73" s="318">
        <f>+K72/(K54+K57+K58)</f>
        <v>5.5667328308125395E-2</v>
      </c>
      <c r="L73" s="318">
        <f>+L72/(L54+L57+L58)</f>
        <v>8.961106936841319E-2</v>
      </c>
      <c r="M73" s="135"/>
      <c r="N73" s="318">
        <f>+N72/(N54+N57+N58)</f>
        <v>3.8139548658833913E-2</v>
      </c>
      <c r="O73" s="318">
        <f>+O72/(O54+O57+O58)</f>
        <v>6.6189856677242545E-2</v>
      </c>
      <c r="P73" s="318">
        <f>+P72/(P54+P57+P58)</f>
        <v>3.4890667707882864E-2</v>
      </c>
      <c r="Q73" s="318">
        <f>+Q72/(Q54+Q57+Q58)</f>
        <v>9.0328261890853842E-2</v>
      </c>
      <c r="R73" s="135"/>
      <c r="S73" s="318">
        <f>+S72/(S54+S57+S58)</f>
        <v>3.9777227171528651E-2</v>
      </c>
      <c r="T73" s="318">
        <f>+T72/(T54+T57+T58)</f>
        <v>6.4517572251750449E-2</v>
      </c>
      <c r="U73" s="318">
        <f>+U72/(U54+U57+U58)</f>
        <v>4.1124192050539271E-2</v>
      </c>
      <c r="V73" s="318">
        <f>+V72/(V54+V57+V58)</f>
        <v>8.0613377259909302E-2</v>
      </c>
      <c r="W73" s="331"/>
      <c r="X73" s="318">
        <f>+X72/(X54+X57+X58)</f>
        <v>3.4488555161126963E-2</v>
      </c>
      <c r="Y73" s="318">
        <f>+Y72/(Y54+Y57+Y58)</f>
        <v>5.9117779921947E-2</v>
      </c>
      <c r="Z73" s="318">
        <f>+Z72/(Z54+Z57+Z58)</f>
        <v>4.4089753211184364E-2</v>
      </c>
      <c r="AA73" s="318">
        <f>+AA72/(AA54+AA57+AA58)</f>
        <v>8.093484026061952E-2</v>
      </c>
      <c r="AB73" s="189"/>
      <c r="AC73" s="318">
        <f>+AC72/(AC54+AC57+AC58)</f>
        <v>4.4737886546898885E-2</v>
      </c>
      <c r="AD73" s="318">
        <f>+AD72/(AD54+AD57+AD58)</f>
        <v>6.8248857869269958E-2</v>
      </c>
      <c r="AE73" s="318">
        <f>+AE72/(AE54+AE57+AE58)</f>
        <v>5.1852243777993239E-2</v>
      </c>
      <c r="AF73" s="318">
        <f>+AF72/(AF54+AF57+AF58)</f>
        <v>9.2852762916023318E-2</v>
      </c>
      <c r="AG73" s="189"/>
      <c r="AH73" s="318">
        <f>+AH72/(AH54+AH57+AH58)</f>
        <v>4.5569441557959937E-2</v>
      </c>
      <c r="AI73" s="318">
        <f>+AI72/(AI54+AI57+AI58)</f>
        <v>7.2161627589499719E-2</v>
      </c>
      <c r="AJ73" s="318">
        <f>+AJ72/(AJ54+AJ57+AJ58)</f>
        <v>5.5662148947020547E-2</v>
      </c>
      <c r="AK73" s="318">
        <f>+AK72/(AK54+AK57+AK58)</f>
        <v>9.9628706328832237E-2</v>
      </c>
      <c r="AL73" s="189"/>
      <c r="AM73" s="318">
        <f>+AM72/(AM54+AM57+AM58)</f>
        <v>4.1986893846160743E-2</v>
      </c>
      <c r="AN73" s="318">
        <f>+AN72/(AN54+AN57+AN58)</f>
        <v>6.8751003595625693E-2</v>
      </c>
      <c r="AO73" s="318">
        <f>+AO72/(AO54+AO57+AO58)</f>
        <v>5.2034108305494278E-2</v>
      </c>
      <c r="AP73" s="318">
        <f>+AP72/(AP54+AP57+AP58)</f>
        <v>9.6193284292552431E-2</v>
      </c>
      <c r="AQ73" s="189"/>
      <c r="AR73" s="318">
        <f>+AR72/(AR54+AR57+AR58)</f>
        <v>3.7506872278046999E-2</v>
      </c>
      <c r="AS73" s="318">
        <f>+AS72/(AS54+AS57+AS58)</f>
        <v>6.4327864718631403E-2</v>
      </c>
      <c r="AT73" s="318">
        <f>+AT72/(AT54+AT57+AT58)</f>
        <v>4.7295269178293874E-2</v>
      </c>
      <c r="AU73" s="318">
        <f>+AU72/(AU54+AU57+AU58)</f>
        <v>9.173281790337498E-2</v>
      </c>
      <c r="AV73" s="189"/>
    </row>
    <row r="74" spans="1:48" outlineLevel="1" x14ac:dyDescent="0.25">
      <c r="A74" s="53"/>
      <c r="B74" s="642" t="s">
        <v>735</v>
      </c>
      <c r="C74" s="133"/>
      <c r="D74" s="318"/>
      <c r="E74" s="318"/>
      <c r="F74" s="318"/>
      <c r="G74" s="318"/>
      <c r="H74" s="135"/>
      <c r="I74" s="649">
        <f>+I243</f>
        <v>68</v>
      </c>
      <c r="J74" s="649">
        <f t="shared" ref="J74:L74" si="80">+J243</f>
        <v>58</v>
      </c>
      <c r="K74" s="649">
        <f t="shared" si="80"/>
        <v>78</v>
      </c>
      <c r="L74" s="649">
        <f t="shared" si="80"/>
        <v>83</v>
      </c>
      <c r="M74" s="135"/>
      <c r="N74" s="649">
        <f>+N243</f>
        <v>88</v>
      </c>
      <c r="O74" s="649">
        <f t="shared" ref="O74:Q74" si="81">+O243</f>
        <v>96</v>
      </c>
      <c r="P74" s="649">
        <f t="shared" si="81"/>
        <v>86</v>
      </c>
      <c r="Q74" s="649">
        <f t="shared" si="81"/>
        <v>110</v>
      </c>
      <c r="R74" s="135"/>
      <c r="S74" s="649">
        <f>+S243</f>
        <v>102</v>
      </c>
      <c r="T74" s="649">
        <f t="shared" ref="T74:V74" si="82">+T243</f>
        <v>99</v>
      </c>
      <c r="U74" s="649">
        <f t="shared" si="82"/>
        <v>56</v>
      </c>
      <c r="V74" s="649">
        <f t="shared" si="82"/>
        <v>68</v>
      </c>
      <c r="W74" s="331"/>
      <c r="X74" s="649">
        <f>+X243</f>
        <v>74.375</v>
      </c>
      <c r="Y74" s="649">
        <f t="shared" ref="Y74:AA74" si="83">+Y243</f>
        <v>74.375</v>
      </c>
      <c r="Z74" s="649">
        <f t="shared" si="83"/>
        <v>74.375</v>
      </c>
      <c r="AA74" s="649">
        <f t="shared" si="83"/>
        <v>74.375</v>
      </c>
      <c r="AB74" s="189"/>
      <c r="AC74" s="649">
        <f>+AC243</f>
        <v>63.75</v>
      </c>
      <c r="AD74" s="649">
        <f t="shared" ref="AD74:AF74" si="84">+AD243</f>
        <v>42.5</v>
      </c>
      <c r="AE74" s="649">
        <f t="shared" si="84"/>
        <v>28.9</v>
      </c>
      <c r="AF74" s="649">
        <f t="shared" si="84"/>
        <v>0</v>
      </c>
      <c r="AG74" s="189"/>
      <c r="AH74" s="649">
        <f>+AH243</f>
        <v>0</v>
      </c>
      <c r="AI74" s="649">
        <f t="shared" ref="AI74:AK74" si="85">+AI243</f>
        <v>0</v>
      </c>
      <c r="AJ74" s="649">
        <f t="shared" si="85"/>
        <v>0</v>
      </c>
      <c r="AK74" s="649">
        <f t="shared" si="85"/>
        <v>0</v>
      </c>
      <c r="AL74" s="189"/>
      <c r="AM74" s="649">
        <f>+AM243</f>
        <v>0</v>
      </c>
      <c r="AN74" s="649">
        <f t="shared" ref="AN74:AP74" si="86">+AN243</f>
        <v>0</v>
      </c>
      <c r="AO74" s="649">
        <f t="shared" si="86"/>
        <v>0</v>
      </c>
      <c r="AP74" s="649">
        <f t="shared" si="86"/>
        <v>0</v>
      </c>
      <c r="AQ74" s="189"/>
      <c r="AR74" s="649">
        <f>+AR243</f>
        <v>0</v>
      </c>
      <c r="AS74" s="649">
        <f t="shared" ref="AS74:AU74" si="87">+AS243</f>
        <v>0</v>
      </c>
      <c r="AT74" s="649">
        <f t="shared" si="87"/>
        <v>0</v>
      </c>
      <c r="AU74" s="649">
        <f t="shared" si="87"/>
        <v>0</v>
      </c>
      <c r="AV74" s="189"/>
    </row>
    <row r="75" spans="1:48" outlineLevel="1" x14ac:dyDescent="0.25">
      <c r="A75" s="53"/>
      <c r="B75" s="650" t="s">
        <v>738</v>
      </c>
      <c r="C75" s="133"/>
      <c r="D75" s="318"/>
      <c r="E75" s="318"/>
      <c r="F75" s="318"/>
      <c r="G75" s="318"/>
      <c r="H75" s="135"/>
      <c r="I75" s="652">
        <f>+I72+I74</f>
        <v>578.3246790000012</v>
      </c>
      <c r="J75" s="652">
        <f t="shared" ref="J75:L75" si="88">+J72+J74</f>
        <v>670.77593954920667</v>
      </c>
      <c r="K75" s="652">
        <f t="shared" si="88"/>
        <v>543.51909599999999</v>
      </c>
      <c r="L75" s="652">
        <f t="shared" si="88"/>
        <v>873.50444692737437</v>
      </c>
      <c r="M75" s="654">
        <f>SUM(I75:L75)</f>
        <v>2666.1241614765822</v>
      </c>
      <c r="N75" s="652">
        <f>+N72+N74</f>
        <v>408.38696750000054</v>
      </c>
      <c r="O75" s="652">
        <f t="shared" ref="O75" si="89">+O72+O74</f>
        <v>696.72064900000078</v>
      </c>
      <c r="P75" s="652">
        <f t="shared" ref="P75" si="90">+P72+P74</f>
        <v>403.45103159999962</v>
      </c>
      <c r="Q75" s="652">
        <f t="shared" ref="Q75" si="91">+Q72+Q74</f>
        <v>976.96774399999958</v>
      </c>
      <c r="R75" s="654">
        <f>SUM(N75:Q75)</f>
        <v>2485.5263921000005</v>
      </c>
      <c r="S75" s="652">
        <f>+S72+S74</f>
        <v>468.79765149999912</v>
      </c>
      <c r="T75" s="652">
        <f t="shared" ref="T75" si="92">+T72+T74</f>
        <v>718.60102286999972</v>
      </c>
      <c r="U75" s="652">
        <f t="shared" ref="U75" si="93">+U72+U74</f>
        <v>426.33721720000176</v>
      </c>
      <c r="V75" s="652">
        <f t="shared" ref="V75" si="94">+V72+V74</f>
        <v>833.81192239849406</v>
      </c>
      <c r="W75" s="654">
        <f>SUM(S75:V75)</f>
        <v>2447.5478139684947</v>
      </c>
      <c r="X75" s="652">
        <f>+X72+X74</f>
        <v>380.47377924142438</v>
      </c>
      <c r="Y75" s="652">
        <f t="shared" ref="Y75" si="95">+Y72+Y74</f>
        <v>637.80398230782885</v>
      </c>
      <c r="Z75" s="652">
        <f t="shared" ref="Z75" si="96">+Z72+Z74</f>
        <v>480.10291382818014</v>
      </c>
      <c r="AA75" s="652">
        <f t="shared" ref="AA75" si="97">+AA72+AA74</f>
        <v>844.7435337721472</v>
      </c>
      <c r="AB75" s="654">
        <f>SUM(X75:AA75)</f>
        <v>2343.1242091495806</v>
      </c>
      <c r="AC75" s="652">
        <f>+AC72+AC74</f>
        <v>474.15550614257336</v>
      </c>
      <c r="AD75" s="652">
        <f t="shared" ref="AD75" si="98">+AD72+AD74</f>
        <v>711.48410322770997</v>
      </c>
      <c r="AE75" s="652">
        <f t="shared" ref="AE75" si="99">+AE72+AE74</f>
        <v>516.46759028411032</v>
      </c>
      <c r="AF75" s="652">
        <f t="shared" ref="AF75" si="100">+AF72+AF74</f>
        <v>938.96639472113566</v>
      </c>
      <c r="AG75" s="654">
        <f>SUM(AC75:AF75)</f>
        <v>2641.0735943755294</v>
      </c>
      <c r="AH75" s="652">
        <f>+AH72+AH74</f>
        <v>431.20192426139602</v>
      </c>
      <c r="AI75" s="652">
        <f t="shared" ref="AI75" si="101">+AI72+AI74</f>
        <v>732.85707929624004</v>
      </c>
      <c r="AJ75" s="652">
        <f t="shared" ref="AJ75" si="102">+AJ72+AJ74</f>
        <v>543.46030618942768</v>
      </c>
      <c r="AK75" s="652">
        <f t="shared" ref="AK75" si="103">+AK72+AK74</f>
        <v>1046.2319403874371</v>
      </c>
      <c r="AL75" s="654">
        <f>SUM(AH75:AK75)</f>
        <v>2753.7512501345009</v>
      </c>
      <c r="AM75" s="652">
        <f>+AM72+AM74</f>
        <v>409.88358162559143</v>
      </c>
      <c r="AN75" s="652">
        <f t="shared" ref="AN75" si="104">+AN72+AN74</f>
        <v>721.12470233980912</v>
      </c>
      <c r="AO75" s="652">
        <f t="shared" ref="AO75" si="105">+AO72+AO74</f>
        <v>524.50700016916016</v>
      </c>
      <c r="AP75" s="652">
        <f t="shared" ref="AP75" si="106">+AP72+AP74</f>
        <v>1041.3661276840248</v>
      </c>
      <c r="AQ75" s="654">
        <f>SUM(AM75:AP75)</f>
        <v>2696.8814118185855</v>
      </c>
      <c r="AR75" s="652">
        <f>+AR72+AR74</f>
        <v>376.19705247257389</v>
      </c>
      <c r="AS75" s="652">
        <f t="shared" ref="AS75:AU75" si="107">+AS72+AS74</f>
        <v>693.18410178927297</v>
      </c>
      <c r="AT75" s="652">
        <f t="shared" si="107"/>
        <v>489.35584051981732</v>
      </c>
      <c r="AU75" s="652">
        <f t="shared" si="107"/>
        <v>1017.8035916967146</v>
      </c>
      <c r="AV75" s="654">
        <f>SUM(AR75:AU75)</f>
        <v>2576.5405864783788</v>
      </c>
    </row>
    <row r="76" spans="1:48" ht="15.75" outlineLevel="1" thickBot="1" x14ac:dyDescent="0.3">
      <c r="A76" s="53"/>
      <c r="B76" s="651" t="s">
        <v>739</v>
      </c>
      <c r="C76" s="180"/>
      <c r="D76" s="181"/>
      <c r="E76" s="181"/>
      <c r="F76" s="181"/>
      <c r="G76" s="181"/>
      <c r="H76" s="137"/>
      <c r="I76" s="653">
        <f>+I75/(I54+I57+I58)</f>
        <v>7.0105699739546057E-2</v>
      </c>
      <c r="J76" s="653">
        <f t="shared" ref="J76:L76" si="108">+J75/(J54+J57+J58)</f>
        <v>7.9951591601771468E-2</v>
      </c>
      <c r="K76" s="653">
        <f t="shared" si="108"/>
        <v>6.4994661268992338E-2</v>
      </c>
      <c r="L76" s="653">
        <f t="shared" si="108"/>
        <v>9.901989532314133E-2</v>
      </c>
      <c r="M76" s="137"/>
      <c r="N76" s="653">
        <f>+N75/(N54+N57+N58)</f>
        <v>4.86152565447278E-2</v>
      </c>
      <c r="O76" s="653">
        <f t="shared" ref="O76" si="109">+O75/(O54+O57+O58)</f>
        <v>7.676752909718175E-2</v>
      </c>
      <c r="P76" s="653">
        <f t="shared" ref="P76" si="110">+P75/(P54+P57+P58)</f>
        <v>4.4342826069928426E-2</v>
      </c>
      <c r="Q76" s="653">
        <f t="shared" ref="Q76" si="111">+Q75/(Q54+Q57+Q58)</f>
        <v>0.1017890213905682</v>
      </c>
      <c r="R76" s="137"/>
      <c r="S76" s="653">
        <f>+S75/(S54+S57+S58)</f>
        <v>5.0838577087221698E-2</v>
      </c>
      <c r="T76" s="653">
        <f t="shared" ref="T76" si="112">+T75/(T54+T57+T58)</f>
        <v>7.4826205415939748E-2</v>
      </c>
      <c r="U76" s="653">
        <f t="shared" ref="U76" si="113">+U75/(U54+U57+U58)</f>
        <v>4.7342726531740174E-2</v>
      </c>
      <c r="V76" s="653">
        <f t="shared" ref="V76" si="114">+V75/(V54+V57+V58)</f>
        <v>8.777141370899634E-2</v>
      </c>
      <c r="W76" s="845">
        <f>W72/W60</f>
        <v>5.685896317481437E-2</v>
      </c>
      <c r="X76" s="653">
        <f>+X75/(X54+X57+X58)</f>
        <v>4.286848498791565E-2</v>
      </c>
      <c r="Y76" s="653">
        <f t="shared" ref="Y76" si="115">+Y75/(Y54+Y57+Y58)</f>
        <v>6.6921575998756866E-2</v>
      </c>
      <c r="Z76" s="653">
        <f t="shared" ref="Z76" si="116">+Z75/(Z54+Z57+Z58)</f>
        <v>5.2171956291918217E-2</v>
      </c>
      <c r="AA76" s="653">
        <f t="shared" ref="AA76" si="117">+AA75/(AA54+AA57+AA58)</f>
        <v>8.8748670240030358E-2</v>
      </c>
      <c r="AB76" s="837">
        <f>+AB75-M75</f>
        <v>-322.99995232700167</v>
      </c>
      <c r="AC76" s="653">
        <f>+AC75/(AC54+AC57+AC58)</f>
        <v>5.1687209167278196E-2</v>
      </c>
      <c r="AD76" s="653">
        <f t="shared" ref="AD76" si="118">+AD75/(AD54+AD57+AD58)</f>
        <v>7.2584650671295145E-2</v>
      </c>
      <c r="AE76" s="653">
        <f t="shared" ref="AE76" si="119">+AE75/(AE54+AE57+AE58)</f>
        <v>5.4925725024584704E-2</v>
      </c>
      <c r="AF76" s="653">
        <f t="shared" ref="AF76" si="120">+AF75/(AF54+AF57+AF58)</f>
        <v>9.2852762916023318E-2</v>
      </c>
      <c r="AG76" s="845">
        <f>AG72/AG60</f>
        <v>6.5103930849111688E-2</v>
      </c>
      <c r="AH76" s="653">
        <f>+AH75/(AH54+AH57+AH58)</f>
        <v>4.5569441557959937E-2</v>
      </c>
      <c r="AI76" s="653">
        <f t="shared" ref="AI76" si="121">+AI75/(AI54+AI57+AI58)</f>
        <v>7.2161627589499719E-2</v>
      </c>
      <c r="AJ76" s="653">
        <f t="shared" ref="AJ76" si="122">+AJ75/(AJ54+AJ57+AJ58)</f>
        <v>5.5662148947020547E-2</v>
      </c>
      <c r="AK76" s="653">
        <f t="shared" ref="AK76" si="123">+AK75/(AK54+AK57+AK58)</f>
        <v>9.9628706328832237E-2</v>
      </c>
      <c r="AL76" s="845">
        <f>AL72/AL60</f>
        <v>6.9045465065370806E-2</v>
      </c>
      <c r="AM76" s="653">
        <f>+AM75/(AM54+AM57+AM58)</f>
        <v>4.1986893846160743E-2</v>
      </c>
      <c r="AN76" s="653">
        <f t="shared" ref="AN76" si="124">+AN75/(AN54+AN57+AN58)</f>
        <v>6.8751003595625693E-2</v>
      </c>
      <c r="AO76" s="653">
        <f t="shared" ref="AO76" si="125">+AO75/(AO54+AO57+AO58)</f>
        <v>5.2034108305494278E-2</v>
      </c>
      <c r="AP76" s="653">
        <f t="shared" ref="AP76" si="126">+AP75/(AP54+AP57+AP58)</f>
        <v>9.6193284292552431E-2</v>
      </c>
      <c r="AQ76" s="845">
        <f>AQ72/AQ60</f>
        <v>6.5526769477482275E-2</v>
      </c>
      <c r="AR76" s="653">
        <f>+AR75/(AR54+AR57+AR58)</f>
        <v>3.7506872278046999E-2</v>
      </c>
      <c r="AS76" s="653">
        <f t="shared" ref="AS76:AU76" si="127">+AS75/(AS54+AS57+AS58)</f>
        <v>6.4327864718631403E-2</v>
      </c>
      <c r="AT76" s="653">
        <f t="shared" si="127"/>
        <v>4.7295269178293874E-2</v>
      </c>
      <c r="AU76" s="653">
        <f t="shared" si="127"/>
        <v>9.173281790337498E-2</v>
      </c>
      <c r="AV76" s="845">
        <f>AV72/AV60</f>
        <v>6.0986080232839808E-2</v>
      </c>
    </row>
    <row r="77" spans="1:48" ht="15.75" x14ac:dyDescent="0.25">
      <c r="A77" s="53"/>
      <c r="B77" s="717" t="s">
        <v>196</v>
      </c>
      <c r="C77" s="718"/>
      <c r="D77" s="638" t="s">
        <v>69</v>
      </c>
      <c r="E77" s="638" t="s">
        <v>72</v>
      </c>
      <c r="F77" s="638" t="s">
        <v>73</v>
      </c>
      <c r="G77" s="638" t="s">
        <v>76</v>
      </c>
      <c r="H77" s="639"/>
      <c r="I77" s="638" t="s">
        <v>78</v>
      </c>
      <c r="J77" s="638" t="s">
        <v>89</v>
      </c>
      <c r="K77" s="638" t="s">
        <v>105</v>
      </c>
      <c r="L77" s="638" t="s">
        <v>109</v>
      </c>
      <c r="M77" s="639"/>
      <c r="N77" s="638" t="s">
        <v>111</v>
      </c>
      <c r="O77" s="638" t="s">
        <v>112</v>
      </c>
      <c r="P77" s="638" t="s">
        <v>113</v>
      </c>
      <c r="Q77" s="638" t="s">
        <v>114</v>
      </c>
      <c r="R77" s="639"/>
      <c r="S77" s="638" t="s">
        <v>492</v>
      </c>
      <c r="T77" s="638" t="s">
        <v>734</v>
      </c>
      <c r="U77" s="638" t="s">
        <v>753</v>
      </c>
      <c r="V77" s="638" t="s">
        <v>771</v>
      </c>
      <c r="W77" s="639"/>
      <c r="X77" s="640" t="s">
        <v>371</v>
      </c>
      <c r="Y77" s="640" t="s">
        <v>372</v>
      </c>
      <c r="Z77" s="640" t="s">
        <v>373</v>
      </c>
      <c r="AA77" s="640" t="s">
        <v>374</v>
      </c>
      <c r="AB77" s="641"/>
      <c r="AC77" s="640" t="s">
        <v>376</v>
      </c>
      <c r="AD77" s="640" t="s">
        <v>377</v>
      </c>
      <c r="AE77" s="640" t="s">
        <v>378</v>
      </c>
      <c r="AF77" s="640" t="s">
        <v>379</v>
      </c>
      <c r="AG77" s="641"/>
      <c r="AH77" s="640" t="s">
        <v>381</v>
      </c>
      <c r="AI77" s="640" t="s">
        <v>382</v>
      </c>
      <c r="AJ77" s="640" t="s">
        <v>383</v>
      </c>
      <c r="AK77" s="640" t="s">
        <v>384</v>
      </c>
      <c r="AL77" s="641"/>
      <c r="AM77" s="640" t="s">
        <v>386</v>
      </c>
      <c r="AN77" s="640" t="s">
        <v>387</v>
      </c>
      <c r="AO77" s="640" t="s">
        <v>388</v>
      </c>
      <c r="AP77" s="640" t="s">
        <v>389</v>
      </c>
      <c r="AQ77" s="641"/>
      <c r="AR77" s="640" t="s">
        <v>781</v>
      </c>
      <c r="AS77" s="640" t="s">
        <v>782</v>
      </c>
      <c r="AT77" s="640" t="s">
        <v>783</v>
      </c>
      <c r="AU77" s="640" t="s">
        <v>784</v>
      </c>
      <c r="AV77" s="641"/>
    </row>
    <row r="78" spans="1:48" ht="17.25" outlineLevel="1" x14ac:dyDescent="0.4">
      <c r="A78" s="53"/>
      <c r="B78" s="713" t="s">
        <v>164</v>
      </c>
      <c r="C78" s="714"/>
      <c r="D78" s="263">
        <f>+ROUND((1658-D83),0)</f>
        <v>0</v>
      </c>
      <c r="E78" s="263">
        <f>ROUND((1682-E83),0)</f>
        <v>0</v>
      </c>
      <c r="F78" s="263">
        <f>ROUND((1704-F83),0)</f>
        <v>0</v>
      </c>
      <c r="G78" s="263">
        <f>ROUND((1719-G83),0)</f>
        <v>0</v>
      </c>
      <c r="H78" s="264"/>
      <c r="I78" s="263">
        <f>ROUND((1722-I83),0)</f>
        <v>0</v>
      </c>
      <c r="J78" s="263">
        <f>ROUND((1709-J83),0)</f>
        <v>0</v>
      </c>
      <c r="K78" s="263">
        <f>ROUND((1742-K83),0)</f>
        <v>0</v>
      </c>
      <c r="L78" s="263">
        <f>ROUND((1782-L83),0)</f>
        <v>0</v>
      </c>
      <c r="M78" s="48"/>
      <c r="N78" s="263">
        <f>ROUND((1750-N83),0)</f>
        <v>0</v>
      </c>
      <c r="O78" s="263">
        <f>ROUND((1787-O83),0)</f>
        <v>0</v>
      </c>
      <c r="P78" s="263">
        <f>ROUND((1836-P83),0)</f>
        <v>0</v>
      </c>
      <c r="Q78" s="263"/>
      <c r="R78" s="74"/>
      <c r="S78" s="47"/>
      <c r="T78" s="47"/>
      <c r="U78" s="47"/>
      <c r="V78" s="47"/>
      <c r="W78" s="74"/>
      <c r="X78" s="839"/>
      <c r="Y78" s="839"/>
      <c r="Z78" s="839"/>
      <c r="AA78" s="839"/>
      <c r="AB78" s="840"/>
      <c r="AC78" s="839"/>
      <c r="AD78" s="839"/>
      <c r="AE78" s="839"/>
      <c r="AF78" s="839"/>
      <c r="AG78" s="840"/>
      <c r="AH78" s="839"/>
      <c r="AI78" s="839"/>
      <c r="AJ78" s="839"/>
      <c r="AK78" s="839"/>
      <c r="AL78" s="840"/>
      <c r="AM78" s="839"/>
      <c r="AN78" s="839"/>
      <c r="AO78" s="839"/>
      <c r="AP78" s="839"/>
      <c r="AQ78" s="840"/>
      <c r="AR78" s="839"/>
      <c r="AS78" s="839"/>
      <c r="AT78" s="839"/>
      <c r="AU78" s="839"/>
      <c r="AV78" s="840"/>
    </row>
    <row r="79" spans="1:48" outlineLevel="2" x14ac:dyDescent="0.25">
      <c r="A79" s="53"/>
      <c r="B79" s="122" t="s">
        <v>353</v>
      </c>
      <c r="C79" s="283"/>
      <c r="D79" s="261">
        <v>1210</v>
      </c>
      <c r="E79" s="261">
        <v>1290</v>
      </c>
      <c r="F79" s="261">
        <v>1315.5</v>
      </c>
      <c r="G79" s="261">
        <v>1269.5039999999999</v>
      </c>
      <c r="H79" s="54"/>
      <c r="I79" s="261">
        <v>1255</v>
      </c>
      <c r="J79" s="261">
        <v>1282.604</v>
      </c>
      <c r="K79" s="261">
        <v>1322.4</v>
      </c>
      <c r="L79" s="261">
        <v>1201.7</v>
      </c>
      <c r="M79" s="54"/>
      <c r="N79" s="261">
        <v>1188.2</v>
      </c>
      <c r="O79" s="261">
        <v>1248</v>
      </c>
      <c r="P79" s="261">
        <v>1314.5</v>
      </c>
      <c r="Q79" s="261">
        <v>1257.2</v>
      </c>
      <c r="R79" s="50"/>
      <c r="S79" s="261">
        <v>1231</v>
      </c>
      <c r="T79" s="123">
        <v>1308</v>
      </c>
      <c r="U79" s="123">
        <v>1307</v>
      </c>
      <c r="V79" s="123">
        <v>1295.5</v>
      </c>
      <c r="W79" s="50"/>
      <c r="X79" s="123">
        <f>+S79*(1+X80)</f>
        <v>1261.423157994041</v>
      </c>
      <c r="Y79" s="123">
        <f>+T79*(1+Y80)</f>
        <v>1339.8988623926841</v>
      </c>
      <c r="Z79" s="123">
        <f>+U79*(1+Z80)</f>
        <v>1357.2739589886273</v>
      </c>
      <c r="AA79" s="123">
        <f>+V79*(1+AA80)</f>
        <v>1346.6824105576929</v>
      </c>
      <c r="AB79" s="50"/>
      <c r="AC79" s="123">
        <f>+X79*(1+AC80)</f>
        <v>1301.4968973330624</v>
      </c>
      <c r="AD79" s="123">
        <f>+Y79*(1+AD80)</f>
        <v>1384.8287466946999</v>
      </c>
      <c r="AE79" s="123">
        <f>+Z79*(1+AE80)</f>
        <v>1405.8894650695702</v>
      </c>
      <c r="AF79" s="123">
        <f>+AA79*(1+AF80)</f>
        <v>1394.0274892704356</v>
      </c>
      <c r="AG79" s="50"/>
      <c r="AH79" s="123">
        <f>+AC79*(1+AH80)</f>
        <v>1342.5839457088296</v>
      </c>
      <c r="AI79" s="123">
        <f>+AD79*(1+AI80)</f>
        <v>1428.4774007627332</v>
      </c>
      <c r="AJ79" s="123">
        <f>+AE79*(1+AJ80)</f>
        <v>1449.4943779651153</v>
      </c>
      <c r="AK79" s="123">
        <f>+AF79*(1+AK80)</f>
        <v>1435.5907526948808</v>
      </c>
      <c r="AL79" s="50"/>
      <c r="AM79" s="123">
        <f>+AH79*(1+AM80)</f>
        <v>1380.8205256014487</v>
      </c>
      <c r="AN79" s="123">
        <f>+AI79*(1+AN80)</f>
        <v>1468.0569895279757</v>
      </c>
      <c r="AO79" s="123">
        <f>+AJ79*(1+AO80)</f>
        <v>1488.2750594433717</v>
      </c>
      <c r="AP79" s="123">
        <f>+AK79*(1+AP80)</f>
        <v>1472.4700904661572</v>
      </c>
      <c r="AQ79" s="50"/>
      <c r="AR79" s="123">
        <f>+AM79*(1+AR80)</f>
        <v>1414.8685623871047</v>
      </c>
      <c r="AS79" s="123">
        <f>+AN79*(1+AS80)</f>
        <v>1502.8533546849858</v>
      </c>
      <c r="AT79" s="123">
        <f>+AO79*(1+AT80)</f>
        <v>1522.0604263576183</v>
      </c>
      <c r="AU79" s="123">
        <f>+AP79*(1+AU80)</f>
        <v>1504.404465871909</v>
      </c>
      <c r="AV79" s="50"/>
    </row>
    <row r="80" spans="1:48" outlineLevel="2" x14ac:dyDescent="0.25">
      <c r="A80" s="53"/>
      <c r="B80" s="140" t="s">
        <v>200</v>
      </c>
      <c r="C80" s="283"/>
      <c r="D80" s="165">
        <f>+D79/1211-1</f>
        <v>-8.2576383154420174E-4</v>
      </c>
      <c r="E80" s="165">
        <f>+E79/1259-1</f>
        <v>2.4622716441620396E-2</v>
      </c>
      <c r="F80" s="165">
        <f>+F79/1258-1</f>
        <v>4.5707472178060371E-2</v>
      </c>
      <c r="G80" s="165">
        <f>+G79/1231-1</f>
        <v>3.1278635255889364E-2</v>
      </c>
      <c r="H80" s="83"/>
      <c r="I80" s="165">
        <f>+I79/D79-1</f>
        <v>3.7190082644628086E-2</v>
      </c>
      <c r="J80" s="165">
        <f>+J79/E79-1</f>
        <v>-5.733333333333257E-3</v>
      </c>
      <c r="K80" s="165">
        <f>+K79/F79-1</f>
        <v>5.2451539338655984E-3</v>
      </c>
      <c r="L80" s="165">
        <f>+L79/G79-1</f>
        <v>-5.3409835652349136E-2</v>
      </c>
      <c r="M80" s="83"/>
      <c r="N80" s="165">
        <f>+N79/I79-1</f>
        <v>-5.3227091633466062E-2</v>
      </c>
      <c r="O80" s="165">
        <f>+O79/J79-1</f>
        <v>-2.697948860287358E-2</v>
      </c>
      <c r="P80" s="165">
        <f>+P79/K79-1</f>
        <v>-5.9739866908651296E-3</v>
      </c>
      <c r="Q80" s="165">
        <f>+Q79/L79-1</f>
        <v>4.6184571856536571E-2</v>
      </c>
      <c r="R80" s="75"/>
      <c r="S80" s="165">
        <f>+S79/N79-1</f>
        <v>3.6020871907086249E-2</v>
      </c>
      <c r="T80" s="165">
        <f>+T79/O79-1</f>
        <v>4.8076923076923128E-2</v>
      </c>
      <c r="U80" s="165">
        <f>+U79/P79-1</f>
        <v>-5.7055914796501073E-3</v>
      </c>
      <c r="V80" s="165">
        <f>+V79/Q79-1</f>
        <v>3.0464524339802734E-2</v>
      </c>
      <c r="W80" s="57"/>
      <c r="X80" s="141">
        <f>AVERAGE(V80,U80,T80,S80)-0.25%</f>
        <v>2.4714181961040502E-2</v>
      </c>
      <c r="Y80" s="141">
        <f>AVERAGE(X80,V80,U80,T80)</f>
        <v>2.4387509474529064E-2</v>
      </c>
      <c r="Z80" s="141">
        <f>AVERAGE(Y80,X80,V80,U80)+2%</f>
        <v>3.846515607393055E-2</v>
      </c>
      <c r="AA80" s="141">
        <f>AVERAGE(Z80,Y80,X80,V80)+1%</f>
        <v>3.9507842962325714E-2</v>
      </c>
      <c r="AB80" s="57"/>
      <c r="AC80" s="141">
        <f>AVERAGE(AA80,Z80,Y80,X80)</f>
        <v>3.1768672617956455E-2</v>
      </c>
      <c r="AD80" s="141">
        <f>AVERAGE(AC80,AA80,Z80,Y80)</f>
        <v>3.3532295282185445E-2</v>
      </c>
      <c r="AE80" s="141">
        <f>AVERAGE(AD80,AC80,AA80,Z80)</f>
        <v>3.5818491734099539E-2</v>
      </c>
      <c r="AF80" s="141">
        <f>AVERAGE(AE80,AD80,AC80,AA80)</f>
        <v>3.5156825649141785E-2</v>
      </c>
      <c r="AG80" s="57"/>
      <c r="AH80" s="176">
        <f>AVERAGE(AF80,AE80,AD80,AC80)-0.25%</f>
        <v>3.1569071320845805E-2</v>
      </c>
      <c r="AI80" s="176">
        <f>AVERAGE(AH80,AF80,AE80,AD80)-0.25%</f>
        <v>3.1519170996568147E-2</v>
      </c>
      <c r="AJ80" s="176">
        <f>AVERAGE(AI80,AH80,AF80,AE80)-0.25%</f>
        <v>3.1015889925163815E-2</v>
      </c>
      <c r="AK80" s="176">
        <f>AVERAGE(AJ80,AI80,AH80,AF80)-0.25%</f>
        <v>2.9815239472929887E-2</v>
      </c>
      <c r="AL80" s="57"/>
      <c r="AM80" s="176">
        <f>AVERAGE(AK80,AJ80,AI80,AH80)-0.25%</f>
        <v>2.8479842928876915E-2</v>
      </c>
      <c r="AN80" s="176">
        <f>AVERAGE(AM80,AK80,AJ80,AI80)-0.25%</f>
        <v>2.7707535830884693E-2</v>
      </c>
      <c r="AO80" s="176">
        <f>AVERAGE(AN80,AM80,AK80,AJ80)-0.25%</f>
        <v>2.6754627039463828E-2</v>
      </c>
      <c r="AP80" s="176">
        <f>AVERAGE(AO80,AN80,AM80,AK80)-0.25%</f>
        <v>2.5689311318038831E-2</v>
      </c>
      <c r="AQ80" s="57"/>
      <c r="AR80" s="176">
        <f>AVERAGE(AP80,AO80,AN80,AM80)-0.25%</f>
        <v>2.4657829279316069E-2</v>
      </c>
      <c r="AS80" s="176">
        <f>AVERAGE(AR80,AP80,AO80,AN80)-0.25%</f>
        <v>2.3702325866925857E-2</v>
      </c>
      <c r="AT80" s="176">
        <f>AVERAGE(AS80,AR80,AP80,AO80)-0.25%</f>
        <v>2.2701023375936148E-2</v>
      </c>
      <c r="AU80" s="176">
        <f>AVERAGE(AT80,AS80,AR80,AP80)-0.25%</f>
        <v>2.1687622460054231E-2</v>
      </c>
      <c r="AV80" s="57"/>
    </row>
    <row r="81" spans="1:48" outlineLevel="2" x14ac:dyDescent="0.25">
      <c r="A81" s="53"/>
      <c r="B81" s="122" t="s">
        <v>169</v>
      </c>
      <c r="C81" s="283"/>
      <c r="D81" s="142">
        <v>21.074999999999999</v>
      </c>
      <c r="E81" s="142">
        <v>20.7</v>
      </c>
      <c r="F81" s="142">
        <v>20.56</v>
      </c>
      <c r="G81" s="142">
        <v>20.834</v>
      </c>
      <c r="H81" s="54"/>
      <c r="I81" s="142">
        <v>21.11</v>
      </c>
      <c r="J81" s="142">
        <v>21.155999999999999</v>
      </c>
      <c r="K81" s="142">
        <v>21.244</v>
      </c>
      <c r="L81" s="142">
        <v>22.814</v>
      </c>
      <c r="M81" s="54"/>
      <c r="N81" s="142">
        <v>22.664999999999999</v>
      </c>
      <c r="O81" s="142">
        <v>22.73</v>
      </c>
      <c r="P81" s="142">
        <v>22.53</v>
      </c>
      <c r="Q81" s="142">
        <v>23.263000000000002</v>
      </c>
      <c r="R81" s="411"/>
      <c r="S81" s="142">
        <v>23.57</v>
      </c>
      <c r="T81" s="142">
        <v>23.6343</v>
      </c>
      <c r="U81" s="142">
        <v>22.75</v>
      </c>
      <c r="V81" s="142">
        <v>23.57</v>
      </c>
      <c r="W81" s="50"/>
      <c r="X81" s="142">
        <f>+S81*(1+X82)</f>
        <v>23.85183441301681</v>
      </c>
      <c r="Y81" s="142">
        <f>+T81*(1+Y82)</f>
        <v>23.124397576901369</v>
      </c>
      <c r="Z81" s="142">
        <f>+U81*(1+Z82)</f>
        <v>22.663377052531779</v>
      </c>
      <c r="AA81" s="142">
        <f>+V81*(1+AA82)</f>
        <v>23.870080395553991</v>
      </c>
      <c r="AB81" s="50"/>
      <c r="AC81" s="142">
        <f>+X81*(1+AC82)</f>
        <v>23.847699164755603</v>
      </c>
      <c r="AD81" s="142">
        <f>+Y81*(1+AD82)</f>
        <v>23.050259614590924</v>
      </c>
      <c r="AE81" s="142">
        <f>+Z81*(1+AE82)</f>
        <v>22.694790936071072</v>
      </c>
      <c r="AF81" s="142">
        <f>+AA81*(1+AF82)</f>
        <v>23.934160468091868</v>
      </c>
      <c r="AG81" s="50"/>
      <c r="AH81" s="142">
        <f>+AC81*(1+AH82)</f>
        <v>23.792200926014996</v>
      </c>
      <c r="AI81" s="142">
        <f>+AD81*(1+AI82)</f>
        <v>22.984205631859776</v>
      </c>
      <c r="AJ81" s="142">
        <f>+AE81*(1+AJ82)</f>
        <v>22.631686924344336</v>
      </c>
      <c r="AK81" s="142">
        <f>+AF81*(1+AK82)</f>
        <v>23.842678959923024</v>
      </c>
      <c r="AL81" s="50"/>
      <c r="AM81" s="142">
        <f>+AH81*(1+AM82)</f>
        <v>23.662559540086448</v>
      </c>
      <c r="AN81" s="142">
        <f>+AI81*(1+AN82)</f>
        <v>22.841029439336918</v>
      </c>
      <c r="AO81" s="142">
        <f>+AJ81*(1+AO82)</f>
        <v>22.471675252662664</v>
      </c>
      <c r="AP81" s="142">
        <f>+AK81*(1+AP82)</f>
        <v>23.648535793706607</v>
      </c>
      <c r="AQ81" s="50"/>
      <c r="AR81" s="142">
        <f>+AM81*(1+AR82)</f>
        <v>23.444324747255273</v>
      </c>
      <c r="AS81" s="142">
        <f>+AN81*(1+AS82)</f>
        <v>22.608821583005707</v>
      </c>
      <c r="AT81" s="142">
        <f>+AO81*(1+AT82)</f>
        <v>22.221104988831168</v>
      </c>
      <c r="AU81" s="142">
        <f>+AP81*(1+AU82)</f>
        <v>23.360720006184742</v>
      </c>
      <c r="AV81" s="50"/>
    </row>
    <row r="82" spans="1:48" outlineLevel="2" x14ac:dyDescent="0.25">
      <c r="A82" s="53"/>
      <c r="B82" s="140" t="s">
        <v>199</v>
      </c>
      <c r="C82" s="288"/>
      <c r="D82" s="165">
        <f>+D81/21.69-1</f>
        <v>-2.835408022130026E-2</v>
      </c>
      <c r="E82" s="165">
        <f>+E81/21.5-1</f>
        <v>-3.7209302325581395E-2</v>
      </c>
      <c r="F82" s="165">
        <f>+F81/20.85-1</f>
        <v>-1.3908872901678748E-2</v>
      </c>
      <c r="G82" s="165">
        <f>+G81/21.12-1</f>
        <v>-1.3541666666666785E-2</v>
      </c>
      <c r="H82" s="83"/>
      <c r="I82" s="165">
        <f>+I81/D81-1</f>
        <v>1.6607354685647113E-3</v>
      </c>
      <c r="J82" s="165">
        <f>+J81/E81-1</f>
        <v>2.2028985507246412E-2</v>
      </c>
      <c r="K82" s="165">
        <f>+K81/F81-1</f>
        <v>3.3268482490272477E-2</v>
      </c>
      <c r="L82" s="165">
        <f>+L81/G81-1</f>
        <v>9.5036958817317885E-2</v>
      </c>
      <c r="M82" s="83"/>
      <c r="N82" s="165">
        <f>+N81/I81-1</f>
        <v>7.3661771672193233E-2</v>
      </c>
      <c r="O82" s="165">
        <f>+O81/J81-1</f>
        <v>7.4399697485347138E-2</v>
      </c>
      <c r="P82" s="165">
        <f>+P81/K81-1</f>
        <v>6.05347392204858E-2</v>
      </c>
      <c r="Q82" s="165">
        <f>+Q81/L81-1</f>
        <v>1.9680897694398292E-2</v>
      </c>
      <c r="R82" s="57"/>
      <c r="S82" s="165">
        <f>+S81/N81-1</f>
        <v>3.9929406574012782E-2</v>
      </c>
      <c r="T82" s="165">
        <f>+T81/O81-1</f>
        <v>3.9784425868895745E-2</v>
      </c>
      <c r="U82" s="165">
        <f>+U81/P81-1</f>
        <v>9.7647581003106332E-3</v>
      </c>
      <c r="V82" s="165">
        <f>+V81/Q81-1</f>
        <v>1.3196922151055279E-2</v>
      </c>
      <c r="W82" s="57"/>
      <c r="X82" s="141">
        <f>AVERAGE(V82,U82,T82,S82)-1.37115420252101%</f>
        <v>1.195733614835851E-2</v>
      </c>
      <c r="Y82" s="141">
        <f>AVERAGE(X82,V82,U82,T82)-4.02505390259472%</f>
        <v>-2.1574678458792157E-2</v>
      </c>
      <c r="Z82" s="141">
        <f>AVERAGE(Y82,X82,V82,U82)-0.714368657174826%</f>
        <v>-3.8076020865151932E-3</v>
      </c>
      <c r="AA82" s="141">
        <f>AVERAGE(Z82,Y82,X82,V82)+1.27884606125549%</f>
        <v>1.2731455051081508E-2</v>
      </c>
      <c r="AB82" s="57"/>
      <c r="AC82" s="141">
        <f>AVERAGE(AA82,Z82,Y82,X82)</f>
        <v>-1.7337233646683289E-4</v>
      </c>
      <c r="AD82" s="141">
        <f>AVERAGE(AC82,AA82,Z82,Y82)</f>
        <v>-3.2060494576731688E-3</v>
      </c>
      <c r="AE82" s="141">
        <f>AVERAGE(AD82,AC82,AA82,Z82)</f>
        <v>1.3861077926065782E-3</v>
      </c>
      <c r="AF82" s="141">
        <f>AVERAGE(AE82,AD82,AC82,AA82)</f>
        <v>2.684535262387021E-3</v>
      </c>
      <c r="AG82" s="57"/>
      <c r="AH82" s="176">
        <f>AVERAGE(AF82,AE82,AD82,AC82)-0.25%</f>
        <v>-2.327194684786601E-3</v>
      </c>
      <c r="AI82" s="176">
        <f>AVERAGE(AH82,AF82,AE82,AD82)-0.25%</f>
        <v>-2.8656502718665427E-3</v>
      </c>
      <c r="AJ82" s="176">
        <f>AVERAGE(AI82,AH82,AF82,AE82)-0.25%</f>
        <v>-2.7805504754148864E-3</v>
      </c>
      <c r="AK82" s="176">
        <f>AVERAGE(AJ82,AI82,AH82,AF82)-0.25%</f>
        <v>-3.8222150424202525E-3</v>
      </c>
      <c r="AL82" s="57"/>
      <c r="AM82" s="176">
        <f>AVERAGE(AK82,AJ82,AI82,AH82)-0.25%</f>
        <v>-5.4489026186220705E-3</v>
      </c>
      <c r="AN82" s="176">
        <f>AVERAGE(AM82,AK82,AJ82,AI82)-0.25%</f>
        <v>-6.2293296020809377E-3</v>
      </c>
      <c r="AO82" s="176">
        <f>AVERAGE(AN82,AM82,AK82,AJ82)-0.25%</f>
        <v>-7.0702494346345374E-3</v>
      </c>
      <c r="AP82" s="176">
        <f>AVERAGE(AO82,AN82,AM82,AK82)-0.25%</f>
        <v>-8.1426741744394498E-3</v>
      </c>
      <c r="AQ82" s="57"/>
      <c r="AR82" s="176">
        <f>AVERAGE(AP82,AO82,AN82,AM82)-0.25%</f>
        <v>-9.2227889574442497E-3</v>
      </c>
      <c r="AS82" s="176">
        <f>AVERAGE(AR82,AP82,AO82,AN82)-0.25%</f>
        <v>-1.0166260542149794E-2</v>
      </c>
      <c r="AT82" s="176">
        <f>AVERAGE(AS82,AR82,AP82,AO82)-0.25%</f>
        <v>-1.1150493277167009E-2</v>
      </c>
      <c r="AU82" s="176">
        <f>AVERAGE(AT82,AS82,AR82,AP82)-0.25%</f>
        <v>-1.2170554237800127E-2</v>
      </c>
      <c r="AV82" s="57"/>
    </row>
    <row r="83" spans="1:48" s="55" customFormat="1" outlineLevel="2" x14ac:dyDescent="0.25">
      <c r="A83" s="195"/>
      <c r="B83" s="118" t="s">
        <v>163</v>
      </c>
      <c r="C83" s="166"/>
      <c r="D83" s="143">
        <f>+D79*D81*D61/1000</f>
        <v>1657.5487499999999</v>
      </c>
      <c r="E83" s="143">
        <f>+E79*E81*E61/1000</f>
        <v>1682.289</v>
      </c>
      <c r="F83" s="143">
        <f>+F79*F81*F61/1000</f>
        <v>1703.9408399999998</v>
      </c>
      <c r="G83" s="143">
        <f>+G79*G81*G61/1000</f>
        <v>1719.1750118399998</v>
      </c>
      <c r="H83" s="121"/>
      <c r="I83" s="143">
        <f>+I79*I81*I61/1000</f>
        <v>1722.0482500000001</v>
      </c>
      <c r="J83" s="143">
        <f>+J79*J81*J61/1000</f>
        <v>1709.490524112</v>
      </c>
      <c r="K83" s="143">
        <f>+K79*K81*K61/1000</f>
        <v>1741.7700672000001</v>
      </c>
      <c r="L83" s="143">
        <f>+L79*L81*L61/1000</f>
        <v>1782.0129469999999</v>
      </c>
      <c r="M83" s="121"/>
      <c r="N83" s="143">
        <f>+N79*N81*N61/1000</f>
        <v>1750.4859450000001</v>
      </c>
      <c r="O83" s="143">
        <f>+O79*O81*O61/1000</f>
        <v>1787.1235200000001</v>
      </c>
      <c r="P83" s="143">
        <f>+P79*P81*P61/1000</f>
        <v>1836.17247</v>
      </c>
      <c r="Q83" s="143">
        <f>+Q79*Q81*Q61/1000</f>
        <v>1901.005834</v>
      </c>
      <c r="R83" s="121"/>
      <c r="S83" s="143">
        <f>+S79*S81*S61/1000</f>
        <v>1885.95355</v>
      </c>
      <c r="T83" s="143">
        <f>+T79*T81*T61/1000</f>
        <v>1947.5608571999999</v>
      </c>
      <c r="U83" s="143">
        <f>+U79*U81*U61/1000</f>
        <v>1843.5235</v>
      </c>
      <c r="V83" s="143">
        <f>+V79*V81*V61/1000</f>
        <v>1984.7707750000002</v>
      </c>
      <c r="W83" s="120"/>
      <c r="X83" s="143">
        <f>+X79*X81*X61/1000</f>
        <v>1925.5844025099912</v>
      </c>
      <c r="Y83" s="143">
        <f>+Y79*Y81*Y61/1000</f>
        <v>1952.0143024287959</v>
      </c>
      <c r="Z83" s="143">
        <f>+Z79*Z81*Z61/1000</f>
        <v>1937.9059242569342</v>
      </c>
      <c r="AA83" s="143">
        <f>+AA79*AA81*AA61/1000</f>
        <v>2057.3067140665971</v>
      </c>
      <c r="AB83" s="120"/>
      <c r="AC83" s="143">
        <f>+AC79*AC81*AC61/1000</f>
        <v>2017.4509206450093</v>
      </c>
      <c r="AD83" s="143">
        <f>+AD79*AD81*AD61/1000</f>
        <v>2011.0017143828686</v>
      </c>
      <c r="AE83" s="143">
        <f>+AE79*AE81*AE61/1000</f>
        <v>1978.1947843166788</v>
      </c>
      <c r="AF83" s="143">
        <f>+AF79*AF81*AF61/1000</f>
        <v>2168.7170456334379</v>
      </c>
      <c r="AG83" s="120"/>
      <c r="AH83" s="143">
        <f>+AH79*AH81*AH61/1000</f>
        <v>2076.2967547625212</v>
      </c>
      <c r="AI83" s="143">
        <f>+AI79*AI81*AI61/1000</f>
        <v>2068.4423541344995</v>
      </c>
      <c r="AJ83" s="143">
        <f>+AJ79*AJ81*AJ61/1000</f>
        <v>2033.8791835636312</v>
      </c>
      <c r="AK83" s="143">
        <f>+AK79*AK81*AK61/1000</f>
        <v>2224.8414132319895</v>
      </c>
      <c r="AL83" s="120"/>
      <c r="AM83" s="143">
        <f>+AM79*AM81*AM61/1000</f>
        <v>2123.7936135791529</v>
      </c>
      <c r="AN83" s="143">
        <f>+AN79*AN81*AN61/1000</f>
        <v>2112.511773735268</v>
      </c>
      <c r="AO83" s="143">
        <f>+AO79*AO81*AO61/1000</f>
        <v>2073.5300969918176</v>
      </c>
      <c r="AP83" s="143">
        <f>+AP79*AP81*AP61/1000</f>
        <v>2263.4145065708362</v>
      </c>
      <c r="AQ83" s="120"/>
      <c r="AR83" s="143">
        <f>+AR79*AR81*AR61/1000</f>
        <v>2156.0914733335567</v>
      </c>
      <c r="AS83" s="143">
        <f>+AS79*AS81*AS61/1000</f>
        <v>2140.5978317741497</v>
      </c>
      <c r="AT83" s="143">
        <f>+AT79*AT81*AT61/1000</f>
        <v>2096.9556010731412</v>
      </c>
      <c r="AU83" s="143">
        <f>+AU79*AU81*AU61/1000</f>
        <v>2284.3581477136922</v>
      </c>
      <c r="AV83" s="120"/>
    </row>
    <row r="84" spans="1:48" ht="17.25" outlineLevel="1" x14ac:dyDescent="0.4">
      <c r="A84" s="53"/>
      <c r="B84" s="719" t="s">
        <v>165</v>
      </c>
      <c r="C84" s="720"/>
      <c r="D84" s="125"/>
      <c r="E84" s="125"/>
      <c r="F84" s="125"/>
      <c r="G84" s="125"/>
      <c r="H84" s="135"/>
      <c r="I84" s="125"/>
      <c r="J84" s="125"/>
      <c r="K84" s="125"/>
      <c r="L84" s="125"/>
      <c r="M84" s="135"/>
      <c r="N84" s="125"/>
      <c r="O84" s="125"/>
      <c r="P84" s="125"/>
      <c r="Q84" s="125"/>
      <c r="R84" s="135"/>
      <c r="S84" s="125"/>
      <c r="T84" s="125"/>
      <c r="U84" s="125"/>
      <c r="V84" s="125"/>
      <c r="W84" s="135"/>
      <c r="X84" s="125"/>
      <c r="Y84" s="125"/>
      <c r="Z84" s="125"/>
      <c r="AA84" s="125"/>
      <c r="AB84" s="135"/>
      <c r="AC84" s="125"/>
      <c r="AD84" s="125"/>
      <c r="AE84" s="125"/>
      <c r="AF84" s="125"/>
      <c r="AG84" s="135"/>
      <c r="AH84" s="125"/>
      <c r="AI84" s="125"/>
      <c r="AJ84" s="125"/>
      <c r="AK84" s="125"/>
      <c r="AL84" s="135"/>
      <c r="AM84" s="125"/>
      <c r="AN84" s="125"/>
      <c r="AO84" s="125"/>
      <c r="AP84" s="125"/>
      <c r="AQ84" s="135"/>
      <c r="AR84" s="125"/>
      <c r="AS84" s="125"/>
      <c r="AT84" s="125"/>
      <c r="AU84" s="125"/>
      <c r="AV84" s="135"/>
    </row>
    <row r="85" spans="1:48" outlineLevel="2" x14ac:dyDescent="0.25">
      <c r="A85" s="53"/>
      <c r="B85" s="126" t="s">
        <v>354</v>
      </c>
      <c r="C85" s="127"/>
      <c r="D85" s="128">
        <v>541</v>
      </c>
      <c r="E85" s="128">
        <v>531</v>
      </c>
      <c r="F85" s="128">
        <v>535</v>
      </c>
      <c r="G85" s="128">
        <v>558</v>
      </c>
      <c r="H85" s="135"/>
      <c r="I85" s="128">
        <v>570</v>
      </c>
      <c r="J85" s="128">
        <v>557.4</v>
      </c>
      <c r="K85" s="128">
        <v>549.4</v>
      </c>
      <c r="L85" s="128">
        <v>565</v>
      </c>
      <c r="M85" s="135"/>
      <c r="N85" s="128">
        <v>557.29999999999995</v>
      </c>
      <c r="O85" s="128">
        <v>547</v>
      </c>
      <c r="P85" s="128">
        <v>541</v>
      </c>
      <c r="Q85" s="128">
        <v>551</v>
      </c>
      <c r="R85" s="135"/>
      <c r="S85" s="128">
        <v>550.5</v>
      </c>
      <c r="T85" s="128">
        <v>532</v>
      </c>
      <c r="U85" s="128">
        <v>524</v>
      </c>
      <c r="V85" s="128">
        <v>548.5</v>
      </c>
      <c r="W85" s="135"/>
      <c r="X85" s="128">
        <f>+S85*(1+X86)</f>
        <v>538.72143518825942</v>
      </c>
      <c r="Y85" s="128">
        <f>+T85*(1+Y86)</f>
        <v>512.74440362350163</v>
      </c>
      <c r="Z85" s="128">
        <f>+U85*(1+Z86)</f>
        <v>503.88477358471454</v>
      </c>
      <c r="AA85" s="128">
        <f>+V85*(1+AA86)</f>
        <v>534.71675815199364</v>
      </c>
      <c r="AB85" s="135"/>
      <c r="AC85" s="128">
        <f>+X85*(1+AC86)</f>
        <v>522.41061190401285</v>
      </c>
      <c r="AD85" s="128">
        <f>+Y85*(1+AD86)</f>
        <v>496.08169037234404</v>
      </c>
      <c r="AE85" s="128">
        <f>+Z85*(1+AE86)</f>
        <v>487.9757658647739</v>
      </c>
      <c r="AF85" s="128">
        <f>+AA85*(1+AF86)</f>
        <v>518.74534177035207</v>
      </c>
      <c r="AG85" s="135"/>
      <c r="AH85" s="128">
        <f>+AC85*(1+AH86)</f>
        <v>504.88168972128562</v>
      </c>
      <c r="AI85" s="128">
        <f>+AD85*(1+AI86)</f>
        <v>479.02979153062307</v>
      </c>
      <c r="AJ85" s="128">
        <f>+AE85*(1+AJ86)</f>
        <v>470.97362618730205</v>
      </c>
      <c r="AK85" s="128">
        <f>+AF85*(1+AK86)</f>
        <v>500.24711731098438</v>
      </c>
      <c r="AL85" s="135"/>
      <c r="AM85" s="128">
        <f>+AH85*(1+AM86)</f>
        <v>486.14694232295</v>
      </c>
      <c r="AN85" s="128">
        <f>+AI85*(1+AN86)</f>
        <v>460.8288032651335</v>
      </c>
      <c r="AO85" s="128">
        <f>+AJ85*(1+AO86)</f>
        <v>452.65222743076902</v>
      </c>
      <c r="AP85" s="128">
        <f>+AK85*(1+AP86)</f>
        <v>480.27932967316707</v>
      </c>
      <c r="AQ85" s="135"/>
      <c r="AR85" s="128">
        <f>+AM85*(1+AR86)</f>
        <v>466.22467838522522</v>
      </c>
      <c r="AS85" s="128">
        <f>+AN85*(1+AS86)</f>
        <v>441.49790955660848</v>
      </c>
      <c r="AT85" s="128">
        <f>+AO85*(1+AT86)</f>
        <v>433.21703981238284</v>
      </c>
      <c r="AU85" s="128">
        <f>+AP85*(1+AU86)</f>
        <v>459.17344030736803</v>
      </c>
      <c r="AV85" s="135"/>
    </row>
    <row r="86" spans="1:48" outlineLevel="2" x14ac:dyDescent="0.25">
      <c r="A86" s="53"/>
      <c r="B86" s="144" t="s">
        <v>200</v>
      </c>
      <c r="C86" s="127"/>
      <c r="D86" s="145">
        <f>+D85/527-1</f>
        <v>2.6565464895635715E-2</v>
      </c>
      <c r="E86" s="145">
        <f>+E85/521.4-1</f>
        <v>1.8411967779056404E-2</v>
      </c>
      <c r="F86" s="145">
        <f>+F85/516-1</f>
        <v>3.6821705426356655E-2</v>
      </c>
      <c r="G86" s="145">
        <f>+G85/547-1</f>
        <v>2.0109689213893889E-2</v>
      </c>
      <c r="H86" s="146"/>
      <c r="I86" s="145">
        <f>+I85/D85-1</f>
        <v>5.3604436229205188E-2</v>
      </c>
      <c r="J86" s="145">
        <f>+J85/E85-1</f>
        <v>4.9717514124293816E-2</v>
      </c>
      <c r="K86" s="145">
        <f>+K85/F85-1</f>
        <v>2.6915887850467168E-2</v>
      </c>
      <c r="L86" s="145">
        <f>+L85/G85-1</f>
        <v>1.2544802867383575E-2</v>
      </c>
      <c r="M86" s="146"/>
      <c r="N86" s="145">
        <f>+N85/I85-1</f>
        <v>-2.2280701754386012E-2</v>
      </c>
      <c r="O86" s="145">
        <f>+O85/J85-1</f>
        <v>-1.8658055256548178E-2</v>
      </c>
      <c r="P86" s="145">
        <f>+P85/K85-1</f>
        <v>-1.5289406625409452E-2</v>
      </c>
      <c r="Q86" s="145">
        <f>+Q85/L85-1</f>
        <v>-2.4778761061946875E-2</v>
      </c>
      <c r="R86" s="146"/>
      <c r="S86" s="145">
        <f>+S85/N85-1</f>
        <v>-1.2201686703750103E-2</v>
      </c>
      <c r="T86" s="145">
        <f>+T85/O85-1</f>
        <v>-2.7422303473491727E-2</v>
      </c>
      <c r="U86" s="145">
        <f>+U85/P85-1</f>
        <v>-3.1423290203327126E-2</v>
      </c>
      <c r="V86" s="145">
        <f>+V85/Q85-1</f>
        <v>-4.5372050816696596E-3</v>
      </c>
      <c r="W86" s="135"/>
      <c r="X86" s="141">
        <f>AVERAGE(V86,U86,T86,S86)-0.25%</f>
        <v>-2.1396121365559653E-2</v>
      </c>
      <c r="Y86" s="141">
        <f>AVERAGE(X86,V86,U86,T86)-1.5%</f>
        <v>-3.6194730031012042E-2</v>
      </c>
      <c r="Z86" s="141">
        <f>AVERAGE(Y86,X86,V86,U86)-1.5%</f>
        <v>-3.8387836670392118E-2</v>
      </c>
      <c r="AA86" s="141">
        <f>AVERAGE(Z86,Y86,X86,V86)</f>
        <v>-2.5128973287158369E-2</v>
      </c>
      <c r="AB86" s="146"/>
      <c r="AC86" s="141">
        <f>AVERAGE(AA86,Z86,Y86,X86)</f>
        <v>-3.0276915338530545E-2</v>
      </c>
      <c r="AD86" s="141">
        <f>AVERAGE(AC86,AA86,Z86,Y86)</f>
        <v>-3.2497113831773269E-2</v>
      </c>
      <c r="AE86" s="141">
        <f>AVERAGE(AD86,AC86,AA86,Z86)</f>
        <v>-3.1572709781963575E-2</v>
      </c>
      <c r="AF86" s="141">
        <f>AVERAGE(AE86,AD86,AC86,AA86)</f>
        <v>-2.9868928059856439E-2</v>
      </c>
      <c r="AG86" s="146"/>
      <c r="AH86" s="176">
        <f>AVERAGE(AF86,AE86,AD86,AC86)-0.25%</f>
        <v>-3.355391675303096E-2</v>
      </c>
      <c r="AI86" s="176">
        <f>AVERAGE(AH86,AF86,AE86,AD86)-0.25%</f>
        <v>-3.4373167106656069E-2</v>
      </c>
      <c r="AJ86" s="176">
        <f>AVERAGE(AI86,AH86,AF86,AE86)-0.25%</f>
        <v>-3.4842180425376762E-2</v>
      </c>
      <c r="AK86" s="176">
        <f>AVERAGE(AJ86,AI86,AH86,AF86)-0.25%</f>
        <v>-3.5659548086230057E-2</v>
      </c>
      <c r="AL86" s="146"/>
      <c r="AM86" s="176">
        <f>AVERAGE(AK86,AJ86,AI86,AH86)-0.25%</f>
        <v>-3.7107203092823463E-2</v>
      </c>
      <c r="AN86" s="176">
        <f>AVERAGE(AM86,AK86,AJ86,AI86)-0.25%</f>
        <v>-3.7995524677771592E-2</v>
      </c>
      <c r="AO86" s="176">
        <f>AVERAGE(AN86,AM86,AK86,AJ86)-0.25%</f>
        <v>-3.8901114070550469E-2</v>
      </c>
      <c r="AP86" s="176">
        <f>AVERAGE(AO86,AN86,AM86,AK86)-0.25%</f>
        <v>-3.9915847481843895E-2</v>
      </c>
      <c r="AQ86" s="146"/>
      <c r="AR86" s="176">
        <f>AVERAGE(AP86,AO86,AN86,AM86)-0.25%</f>
        <v>-4.0979922330747362E-2</v>
      </c>
      <c r="AS86" s="176">
        <f>AVERAGE(AR86,AP86,AO86,AN86)-0.25%</f>
        <v>-4.194810214022833E-2</v>
      </c>
      <c r="AT86" s="176">
        <f>AVERAGE(AS86,AR86,AP86,AO86)-0.25%</f>
        <v>-4.2936246505842518E-2</v>
      </c>
      <c r="AU86" s="176">
        <f>AVERAGE(AT86,AS86,AR86,AP86)-0.25%</f>
        <v>-4.394502961466553E-2</v>
      </c>
      <c r="AV86" s="146"/>
    </row>
    <row r="87" spans="1:48" outlineLevel="2" x14ac:dyDescent="0.25">
      <c r="A87" s="53"/>
      <c r="B87" s="126" t="s">
        <v>170</v>
      </c>
      <c r="C87" s="127"/>
      <c r="D87" s="129">
        <v>11.99</v>
      </c>
      <c r="E87" s="129">
        <v>11.87</v>
      </c>
      <c r="F87" s="129">
        <v>12.11</v>
      </c>
      <c r="G87" s="129">
        <v>11.994</v>
      </c>
      <c r="H87" s="135"/>
      <c r="I87" s="129">
        <v>11.96</v>
      </c>
      <c r="J87" s="129">
        <v>12.004</v>
      </c>
      <c r="K87" s="129">
        <v>12.414</v>
      </c>
      <c r="L87" s="129">
        <v>12.6</v>
      </c>
      <c r="M87" s="135"/>
      <c r="N87" s="129">
        <v>12.43</v>
      </c>
      <c r="O87" s="129">
        <v>12.53</v>
      </c>
      <c r="P87" s="129">
        <v>12.97</v>
      </c>
      <c r="Q87" s="129">
        <v>13.15</v>
      </c>
      <c r="R87" s="135"/>
      <c r="S87" s="129">
        <v>13.085000000000001</v>
      </c>
      <c r="T87" s="129">
        <v>13.243</v>
      </c>
      <c r="U87" s="129">
        <v>13.314</v>
      </c>
      <c r="V87" s="129">
        <v>13.585000000000001</v>
      </c>
      <c r="W87" s="135"/>
      <c r="X87" s="129">
        <f>+S87*(1+X88)</f>
        <v>13.459083626541549</v>
      </c>
      <c r="Y87" s="129">
        <f>+T87*(1+Y88)</f>
        <v>13.190334593943088</v>
      </c>
      <c r="Z87" s="129">
        <f>+U87*(1+Z88)</f>
        <v>13.499196858064799</v>
      </c>
      <c r="AA87" s="129">
        <f>+V87*(1+AA88)</f>
        <v>14.00190841012822</v>
      </c>
      <c r="AB87" s="135"/>
      <c r="AC87" s="129">
        <f>+X87*(1+AC88)</f>
        <v>13.691961778215413</v>
      </c>
      <c r="AD87" s="129">
        <f>+Y87*(1+AD88)</f>
        <v>13.3813459346368</v>
      </c>
      <c r="AE87" s="129">
        <f>+Z87*(1+AE88)</f>
        <v>13.756972954159581</v>
      </c>
      <c r="AF87" s="129">
        <f>+AA87*(1+AF88)</f>
        <v>14.287436637774556</v>
      </c>
      <c r="AG87" s="135"/>
      <c r="AH87" s="129">
        <f>+AC87*(1+AH88)</f>
        <v>13.901693845617768</v>
      </c>
      <c r="AI87" s="129">
        <f>+AD87*(1+AI88)</f>
        <v>13.579680271402523</v>
      </c>
      <c r="AJ87" s="129">
        <f>+AE87*(1+AJ88)</f>
        <v>13.962045935016251</v>
      </c>
      <c r="AK87" s="129">
        <f>+AF87*(1+AK88)</f>
        <v>14.485455270687545</v>
      </c>
      <c r="AL87" s="135"/>
      <c r="AM87" s="129">
        <f>+AH87*(1+AM88)</f>
        <v>14.071663158973744</v>
      </c>
      <c r="AN87" s="129">
        <f>+AI87*(1+AN88)</f>
        <v>13.735217494352746</v>
      </c>
      <c r="AO87" s="129">
        <f>+AJ87*(1+AO88)</f>
        <v>14.110206503057638</v>
      </c>
      <c r="AP87" s="129">
        <f>+AK87*(1+AP88)</f>
        <v>14.623615699684409</v>
      </c>
      <c r="AQ87" s="135"/>
      <c r="AR87" s="129">
        <f>+AM87*(1+AR88)</f>
        <v>14.190673301686283</v>
      </c>
      <c r="AS87" s="129">
        <f>+AN87*(1+AS88)</f>
        <v>13.838439867776311</v>
      </c>
      <c r="AT87" s="129">
        <f>+AO87*(1+AT88)</f>
        <v>14.202353674105488</v>
      </c>
      <c r="AU87" s="129">
        <f>+AP87*(1+AU88)</f>
        <v>14.704195476850604</v>
      </c>
      <c r="AV87" s="135"/>
    </row>
    <row r="88" spans="1:48" outlineLevel="2" x14ac:dyDescent="0.25">
      <c r="A88" s="53"/>
      <c r="B88" s="144" t="s">
        <v>199</v>
      </c>
      <c r="C88" s="127"/>
      <c r="D88" s="145">
        <f>+D87/12.32-1</f>
        <v>-2.6785714285714302E-2</v>
      </c>
      <c r="E88" s="145">
        <f>+E87/12.15-1</f>
        <v>-2.3045267489712029E-2</v>
      </c>
      <c r="F88" s="145">
        <f>+F87/12.07-1</f>
        <v>3.314001657000798E-3</v>
      </c>
      <c r="G88" s="145">
        <f>+G87/12.07-1</f>
        <v>-6.2966031483016049E-3</v>
      </c>
      <c r="H88" s="146"/>
      <c r="I88" s="145">
        <f>+I87/D87-1</f>
        <v>-2.5020850708923348E-3</v>
      </c>
      <c r="J88" s="145">
        <f>+J87/E87-1</f>
        <v>1.1288963774220839E-2</v>
      </c>
      <c r="K88" s="145">
        <f>+K87/F87-1</f>
        <v>2.5103220478942978E-2</v>
      </c>
      <c r="L88" s="145">
        <f>+L87/G87-1</f>
        <v>5.0525262631315737E-2</v>
      </c>
      <c r="M88" s="146"/>
      <c r="N88" s="145">
        <f>+N87/I87-1</f>
        <v>3.9297658862876172E-2</v>
      </c>
      <c r="O88" s="145">
        <f>+O87/J87-1</f>
        <v>4.3818727090969567E-2</v>
      </c>
      <c r="P88" s="145">
        <f>+P87/K87-1</f>
        <v>4.4788142419848631E-2</v>
      </c>
      <c r="Q88" s="145">
        <f>+Q87/L87-1</f>
        <v>4.3650793650793718E-2</v>
      </c>
      <c r="R88" s="146"/>
      <c r="S88" s="145">
        <f>+S87/N87-1</f>
        <v>5.2695092518101561E-2</v>
      </c>
      <c r="T88" s="145">
        <f>+T87/O87-1</f>
        <v>5.6903431763767109E-2</v>
      </c>
      <c r="U88" s="145">
        <f>+U87/P87-1</f>
        <v>2.6522744795682396E-2</v>
      </c>
      <c r="V88" s="145">
        <f>+V87/Q87-1</f>
        <v>3.3079847908745297E-2</v>
      </c>
      <c r="W88" s="135"/>
      <c r="X88" s="141">
        <f>AVERAGE(V88,U88,T88,S88)-1.37115420252101%</f>
        <v>2.8588737221363993E-2</v>
      </c>
      <c r="Y88" s="141">
        <f>AVERAGE(X88,V88,U88,T88)-4.02505390259472%</f>
        <v>-3.9768486035575007E-3</v>
      </c>
      <c r="Z88" s="141">
        <f>AVERAGE(Y88,X88,V88,U88)-0.714368657174826%</f>
        <v>1.3909933758810288E-2</v>
      </c>
      <c r="AA88" s="141">
        <f>AVERAGE(Z88,Y88,X88,V88)+1.27884606125549%</f>
        <v>3.0688878183895416E-2</v>
      </c>
      <c r="AB88" s="146"/>
      <c r="AC88" s="141">
        <f>AVERAGE(AA88,Z88,Y88,X88)</f>
        <v>1.7302675140128052E-2</v>
      </c>
      <c r="AD88" s="141">
        <f>AVERAGE(AC88,AA88,Z88,Y88)</f>
        <v>1.4481159619819065E-2</v>
      </c>
      <c r="AE88" s="141">
        <f>AVERAGE(AD88,AC88,AA88,Z88)</f>
        <v>1.9095661675663206E-2</v>
      </c>
      <c r="AF88" s="141">
        <f>AVERAGE(AE88,AD88,AC88,AA88)</f>
        <v>2.0392093654876434E-2</v>
      </c>
      <c r="AG88" s="146"/>
      <c r="AH88" s="176">
        <f>AVERAGE(AF88,AE88,AD88,AC88)-0.25%</f>
        <v>1.5317897522621688E-2</v>
      </c>
      <c r="AI88" s="176">
        <f>AVERAGE(AH88,AF88,AE88,AD88)-0.25%</f>
        <v>1.4821703118245098E-2</v>
      </c>
      <c r="AJ88" s="176">
        <f>AVERAGE(AI88,AH88,AF88,AE88)-0.25%</f>
        <v>1.4906838992851607E-2</v>
      </c>
      <c r="AK88" s="176">
        <f>AVERAGE(AJ88,AI88,AH88,AF88)-0.25%</f>
        <v>1.3859633322148705E-2</v>
      </c>
      <c r="AL88" s="146"/>
      <c r="AM88" s="176">
        <f>AVERAGE(AK88,AJ88,AI88,AH88)-0.25%</f>
        <v>1.2226518238966774E-2</v>
      </c>
      <c r="AN88" s="176">
        <f>AVERAGE(AM88,AK88,AJ88,AI88)-0.25%</f>
        <v>1.1453673418053046E-2</v>
      </c>
      <c r="AO88" s="176">
        <f>AVERAGE(AN88,AM88,AK88,AJ88)-0.25%</f>
        <v>1.0611665993005032E-2</v>
      </c>
      <c r="AP88" s="176">
        <f>AVERAGE(AO88,AN88,AM88,AK88)-0.25%</f>
        <v>9.53787274304339E-3</v>
      </c>
      <c r="AQ88" s="146"/>
      <c r="AR88" s="176">
        <f>AVERAGE(AP88,AO88,AN88,AM88)-0.25%</f>
        <v>8.45743259826706E-3</v>
      </c>
      <c r="AS88" s="176">
        <f>AVERAGE(AR88,AP88,AO88,AN88)-0.25%</f>
        <v>7.5151611880921315E-3</v>
      </c>
      <c r="AT88" s="176">
        <f>AVERAGE(AS88,AR88,AP88,AO88)-0.25%</f>
        <v>6.5305331306019041E-3</v>
      </c>
      <c r="AU88" s="176">
        <f>AVERAGE(AT88,AS88,AR88,AP88)-0.25%</f>
        <v>5.5102499150011201E-3</v>
      </c>
      <c r="AV88" s="146"/>
    </row>
    <row r="89" spans="1:48" outlineLevel="2" x14ac:dyDescent="0.25">
      <c r="A89" s="53"/>
      <c r="B89" s="131" t="s">
        <v>166</v>
      </c>
      <c r="C89" s="130"/>
      <c r="D89" s="147">
        <f>+D85*D87*D61/1000</f>
        <v>421.62835000000001</v>
      </c>
      <c r="E89" s="147">
        <f>+E85*E87*E61/1000</f>
        <v>397.08711</v>
      </c>
      <c r="F89" s="147">
        <f>+F85*F87*F61/1000</f>
        <v>408.16755000000001</v>
      </c>
      <c r="G89" s="147">
        <f>+G85*G87*G61/1000</f>
        <v>435.02238</v>
      </c>
      <c r="H89" s="136"/>
      <c r="I89" s="147">
        <f>+I85*I87*I61/1000</f>
        <v>443.11800000000005</v>
      </c>
      <c r="J89" s="147">
        <f>+J85*J87*J61/1000</f>
        <v>421.53486479999998</v>
      </c>
      <c r="K89" s="147">
        <f>+K85*K87*K61/1000</f>
        <v>422.85559919999997</v>
      </c>
      <c r="L89" s="147">
        <f>+L85*L87*L61/1000</f>
        <v>462.73500000000001</v>
      </c>
      <c r="M89" s="136"/>
      <c r="N89" s="147">
        <f>+N85*N87*N61/1000</f>
        <v>450.270535</v>
      </c>
      <c r="O89" s="147">
        <f>+O85*O87*O61/1000</f>
        <v>431.79633000000001</v>
      </c>
      <c r="P89" s="147">
        <f>+P85*P87*P61/1000</f>
        <v>435.03974000000005</v>
      </c>
      <c r="Q89" s="147">
        <f>+Q85*Q87*Q61/1000</f>
        <v>470.96725000000004</v>
      </c>
      <c r="R89" s="136"/>
      <c r="S89" s="147">
        <f>+S85*S87*S61/1000</f>
        <v>468.21401250000002</v>
      </c>
      <c r="T89" s="147">
        <f>+T85*T87*T61/1000</f>
        <v>443.85238799999996</v>
      </c>
      <c r="U89" s="147">
        <f>+U85*U87*U61/1000</f>
        <v>432.545232</v>
      </c>
      <c r="V89" s="147">
        <f>+V85*V87*V61/1000</f>
        <v>484.33921250000003</v>
      </c>
      <c r="W89" s="136"/>
      <c r="X89" s="147">
        <f>+X85*X87*X61/1000</f>
        <v>464.04459824699308</v>
      </c>
      <c r="Y89" s="147">
        <f>+Y85*Y87*Y61/1000</f>
        <v>426.08602543284491</v>
      </c>
      <c r="Z89" s="147">
        <f>+Z85*Z87*Z61/1000</f>
        <v>428.52850440129271</v>
      </c>
      <c r="AA89" s="147">
        <f>+AA85*AA87*AA61/1000</f>
        <v>479.17152467231341</v>
      </c>
      <c r="AB89" s="136"/>
      <c r="AC89" s="147">
        <f>+AC85*AC87*AC61/1000</f>
        <v>464.93369849705152</v>
      </c>
      <c r="AD89" s="147">
        <f>+AD85*AD87*AD61/1000</f>
        <v>418.20916477483826</v>
      </c>
      <c r="AE89" s="147">
        <f>+AE85*AE87*AE61/1000</f>
        <v>416.21030362379418</v>
      </c>
      <c r="AF89" s="147">
        <f>+AF85*AF87*AF61/1000</f>
        <v>481.75017810949981</v>
      </c>
      <c r="AG89" s="136"/>
      <c r="AH89" s="147">
        <f>+AH85*AH87*AH61/1000</f>
        <v>456.21619411962723</v>
      </c>
      <c r="AI89" s="147">
        <f>+AI85*AI87*AI61/1000</f>
        <v>409.81949879613529</v>
      </c>
      <c r="AJ89" s="147">
        <f>+AJ85*AJ87*AJ61/1000</f>
        <v>407.69683498651358</v>
      </c>
      <c r="AK89" s="147">
        <f>+AK85*AK87*AK61/1000</f>
        <v>471.00997073641224</v>
      </c>
      <c r="AL89" s="136"/>
      <c r="AM89" s="147">
        <f>+AM85*AM87*AM61/1000</f>
        <v>444.65824117868328</v>
      </c>
      <c r="AN89" s="147">
        <f>+AN85*AN87*AN61/1000</f>
        <v>398.76378195206081</v>
      </c>
      <c r="AO89" s="147">
        <f>+AO85*AO87*AO61/1000</f>
        <v>395.99501699326402</v>
      </c>
      <c r="AP89" s="147">
        <f>+AP85*AP87*AP61/1000</f>
        <v>456.52232246675794</v>
      </c>
      <c r="AQ89" s="136"/>
      <c r="AR89" s="147">
        <f>+AR85*AR87*AR61/1000</f>
        <v>430.0427362496518</v>
      </c>
      <c r="AS89" s="147">
        <f>+AS85*AS87*AS61/1000</f>
        <v>384.90746320832847</v>
      </c>
      <c r="AT89" s="147">
        <f>+AT85*AT87*AT61/1000</f>
        <v>381.46750025799895</v>
      </c>
      <c r="AU89" s="147">
        <f>+AU85*AU87*AU61/1000</f>
        <v>438.86544156373958</v>
      </c>
      <c r="AV89" s="136"/>
    </row>
    <row r="90" spans="1:48" ht="17.25" outlineLevel="1" x14ac:dyDescent="0.4">
      <c r="A90" s="53"/>
      <c r="B90" s="713" t="s">
        <v>167</v>
      </c>
      <c r="C90" s="714"/>
      <c r="D90" s="46"/>
      <c r="E90" s="46"/>
      <c r="F90" s="46"/>
      <c r="G90" s="46"/>
      <c r="H90" s="54"/>
      <c r="I90" s="46"/>
      <c r="J90" s="46"/>
      <c r="K90" s="46"/>
      <c r="L90" s="46"/>
      <c r="M90" s="54"/>
      <c r="N90" s="46"/>
      <c r="O90" s="46"/>
      <c r="P90" s="46"/>
      <c r="Q90" s="46"/>
      <c r="R90" s="50"/>
      <c r="S90" s="47"/>
      <c r="T90" s="47"/>
      <c r="U90" s="47"/>
      <c r="V90" s="47"/>
      <c r="W90" s="50"/>
      <c r="X90" s="47"/>
      <c r="Y90" s="47"/>
      <c r="Z90" s="47"/>
      <c r="AA90" s="47"/>
      <c r="AB90" s="50"/>
      <c r="AC90" s="47"/>
      <c r="AD90" s="47"/>
      <c r="AE90" s="47"/>
      <c r="AF90" s="47"/>
      <c r="AG90" s="50"/>
      <c r="AH90" s="47"/>
      <c r="AI90" s="47"/>
      <c r="AJ90" s="47"/>
      <c r="AK90" s="47"/>
      <c r="AL90" s="50"/>
      <c r="AM90" s="47"/>
      <c r="AN90" s="47"/>
      <c r="AO90" s="47"/>
      <c r="AP90" s="47"/>
      <c r="AQ90" s="50"/>
      <c r="AR90" s="47"/>
      <c r="AS90" s="47"/>
      <c r="AT90" s="47"/>
      <c r="AU90" s="47"/>
      <c r="AV90" s="50"/>
    </row>
    <row r="91" spans="1:48" outlineLevel="2" x14ac:dyDescent="0.25">
      <c r="A91" s="53"/>
      <c r="B91" s="122" t="s">
        <v>358</v>
      </c>
      <c r="C91" s="283"/>
      <c r="D91" s="261">
        <v>865</v>
      </c>
      <c r="E91" s="261">
        <v>900.4</v>
      </c>
      <c r="F91" s="261">
        <v>1015</v>
      </c>
      <c r="G91" s="261">
        <v>825.2</v>
      </c>
      <c r="H91" s="54"/>
      <c r="I91" s="261">
        <v>824</v>
      </c>
      <c r="J91" s="261">
        <v>865.5</v>
      </c>
      <c r="K91" s="261">
        <v>1025.4000000000001</v>
      </c>
      <c r="L91" s="261">
        <v>890.4</v>
      </c>
      <c r="M91" s="54"/>
      <c r="N91" s="261">
        <v>876</v>
      </c>
      <c r="O91" s="261">
        <v>939</v>
      </c>
      <c r="P91" s="261">
        <v>1026</v>
      </c>
      <c r="Q91" s="261">
        <v>878</v>
      </c>
      <c r="R91" s="50"/>
      <c r="S91" s="261">
        <v>916</v>
      </c>
      <c r="T91" s="123">
        <v>1082.3</v>
      </c>
      <c r="U91" s="123">
        <v>1223.5</v>
      </c>
      <c r="V91" s="123">
        <v>1092</v>
      </c>
      <c r="W91" s="50"/>
      <c r="X91" s="123">
        <f>+S91*(1+X92)</f>
        <v>1059.0109921071844</v>
      </c>
      <c r="Y91" s="123">
        <f>+T91*(1+Y92)</f>
        <v>1267.6345633556389</v>
      </c>
      <c r="Z91" s="123">
        <f>+U91*(1+Z92)</f>
        <v>1438.7129842532781</v>
      </c>
      <c r="AA91" s="123">
        <f>+V91*(1+AA92)</f>
        <v>1295.9315876678158</v>
      </c>
      <c r="AB91" s="50"/>
      <c r="AC91" s="123">
        <f>+X91*(1+AC92)</f>
        <v>1241.6948698977887</v>
      </c>
      <c r="AD91" s="123">
        <f>+Y91*(1+AD92)</f>
        <v>1491.49743993738</v>
      </c>
      <c r="AE91" s="123">
        <f>+Z91*(1+AE92)</f>
        <v>1694.7151022358537</v>
      </c>
      <c r="AF91" s="123">
        <f>+AA91*(1+AF92)</f>
        <v>1527.18797419768</v>
      </c>
      <c r="AG91" s="50"/>
      <c r="AH91" s="123">
        <f>+AC91*(1+AH92)</f>
        <v>1457.5912780268245</v>
      </c>
      <c r="AI91" s="123">
        <f>+AD91*(1+AI92)</f>
        <v>1751.3377456709607</v>
      </c>
      <c r="AJ91" s="123">
        <f>+AE91*(1+AJ92)</f>
        <v>1988.9485757936841</v>
      </c>
      <c r="AK91" s="123">
        <f>+AF91*(1+AK92)</f>
        <v>1790.6863058024755</v>
      </c>
      <c r="AL91" s="50"/>
      <c r="AM91" s="123">
        <f>+AH91*(1+AM92)</f>
        <v>1706.9280195149856</v>
      </c>
      <c r="AN91" s="123">
        <f>+AI91*(1+AN92)</f>
        <v>2049.6920041224289</v>
      </c>
      <c r="AO91" s="123">
        <f>+AJ91*(1+AO92)</f>
        <v>2325.864145765936</v>
      </c>
      <c r="AP91" s="123">
        <f>+AK91*(1+AP92)</f>
        <v>2092.126311006547</v>
      </c>
      <c r="AQ91" s="50"/>
      <c r="AR91" s="123">
        <f>+AM91*(1+AR92)</f>
        <v>1992.4758390973016</v>
      </c>
      <c r="AS91" s="123">
        <f>+AN91*(1+AS92)</f>
        <v>2390.6464734219976</v>
      </c>
      <c r="AT91" s="123">
        <f>+AO91*(1+AT92)</f>
        <v>2710.4244449704497</v>
      </c>
      <c r="AU91" s="123">
        <f>+AP91*(1+AU92)</f>
        <v>2435.9203668376695</v>
      </c>
      <c r="AV91" s="50"/>
    </row>
    <row r="92" spans="1:48" outlineLevel="2" x14ac:dyDescent="0.25">
      <c r="A92" s="53"/>
      <c r="B92" s="140" t="s">
        <v>200</v>
      </c>
      <c r="C92" s="283"/>
      <c r="D92" s="165">
        <f>+D91/846.4-1</f>
        <v>2.197542533081287E-2</v>
      </c>
      <c r="E92" s="165">
        <f>+E91/915-1</f>
        <v>-1.595628415300554E-2</v>
      </c>
      <c r="F92" s="165">
        <f>+F91/1024-1</f>
        <v>-8.7890625E-3</v>
      </c>
      <c r="G92" s="165">
        <f>+G91/881-1</f>
        <v>-6.3337116912599245E-2</v>
      </c>
      <c r="H92" s="83"/>
      <c r="I92" s="165">
        <f>+I91/D91-1</f>
        <v>-4.739884393063587E-2</v>
      </c>
      <c r="J92" s="165">
        <f>+J91/E91-1</f>
        <v>-3.8760550866281607E-2</v>
      </c>
      <c r="K92" s="165">
        <f>+K91/F91-1</f>
        <v>1.0246305418719404E-2</v>
      </c>
      <c r="L92" s="165">
        <f>+L91/G91-1</f>
        <v>7.9011148812409004E-2</v>
      </c>
      <c r="M92" s="83"/>
      <c r="N92" s="165">
        <f>+N91/I91-1</f>
        <v>6.3106796116504826E-2</v>
      </c>
      <c r="O92" s="165">
        <f>+O91/J91-1</f>
        <v>8.4922010398613468E-2</v>
      </c>
      <c r="P92" s="165">
        <f>+P91/K91-1</f>
        <v>5.8513750731403746E-4</v>
      </c>
      <c r="Q92" s="165">
        <f>+Q91/L91-1</f>
        <v>-1.3926325247079929E-2</v>
      </c>
      <c r="R92" s="57"/>
      <c r="S92" s="165">
        <f>+S91/N91-1</f>
        <v>4.5662100456621113E-2</v>
      </c>
      <c r="T92" s="165">
        <f>+T91/O91-1</f>
        <v>0.15260915867944624</v>
      </c>
      <c r="U92" s="165">
        <f>+U91/P91-1</f>
        <v>0.19249512670565294</v>
      </c>
      <c r="V92" s="165">
        <f>+V91/Q91-1</f>
        <v>0.24373576309794998</v>
      </c>
      <c r="W92" s="57"/>
      <c r="X92" s="141">
        <f>AVERAGE(V92,U92,T92,S92)-0.25%</f>
        <v>0.15612553723491757</v>
      </c>
      <c r="Y92" s="141">
        <f>AVERAGE(X92,V92,U92,T92)-1.5%</f>
        <v>0.17124139642949165</v>
      </c>
      <c r="Z92" s="141">
        <f>AVERAGE(Y92,X92,V92,U92)-1.5%</f>
        <v>0.17589945586700301</v>
      </c>
      <c r="AA92" s="141">
        <f>AVERAGE(Z92,Y92,X92,V92)</f>
        <v>0.18675053815734055</v>
      </c>
      <c r="AB92" s="57"/>
      <c r="AC92" s="141">
        <f>AVERAGE(AA92,Z92,Y92,X92)</f>
        <v>0.17250423192218817</v>
      </c>
      <c r="AD92" s="141">
        <f>AVERAGE(AC92,AA92,Z92,Y92)</f>
        <v>0.17659890559400584</v>
      </c>
      <c r="AE92" s="141">
        <f>AVERAGE(AD92,AC92,AA92,Z92)</f>
        <v>0.17793828288513441</v>
      </c>
      <c r="AF92" s="141">
        <f>AVERAGE(AE92,AD92,AC92,AA92)</f>
        <v>0.17844798963966726</v>
      </c>
      <c r="AG92" s="57"/>
      <c r="AH92" s="176">
        <f>AVERAGE(AF92,AE92,AD92,AC92)-0.25%</f>
        <v>0.17387235251024891</v>
      </c>
      <c r="AI92" s="176">
        <f>AVERAGE(AH92,AF92,AE92,AD92)-0.25%</f>
        <v>0.17421438265726408</v>
      </c>
      <c r="AJ92" s="176">
        <f>AVERAGE(AI92,AH92,AF92,AE92)-0.25%</f>
        <v>0.17361825192307867</v>
      </c>
      <c r="AK92" s="176">
        <f>AVERAGE(AJ92,AI92,AH92,AF92)-0.25%</f>
        <v>0.17253824418256472</v>
      </c>
      <c r="AL92" s="57"/>
      <c r="AM92" s="176">
        <f>AVERAGE(AK92,AJ92,AI92,AH92)-0.25%</f>
        <v>0.17106080781828908</v>
      </c>
      <c r="AN92" s="176">
        <f>AVERAGE(AM92,AK92,AJ92,AI92)-0.25%</f>
        <v>0.17035792164529914</v>
      </c>
      <c r="AO92" s="176">
        <f>AVERAGE(AN92,AM92,AK92,AJ92)-0.25%</f>
        <v>0.16939380639230789</v>
      </c>
      <c r="AP92" s="176">
        <f>AVERAGE(AO92,AN92,AM92,AK92)-0.25%</f>
        <v>0.16833769500961521</v>
      </c>
      <c r="AQ92" s="57"/>
      <c r="AR92" s="176">
        <f>AVERAGE(AP92,AO92,AN92,AM92)-0.25%</f>
        <v>0.16728755771637782</v>
      </c>
      <c r="AS92" s="176">
        <f>AVERAGE(AR92,AP92,AO92,AN92)-0.25%</f>
        <v>0.16634424519090002</v>
      </c>
      <c r="AT92" s="176">
        <f>AVERAGE(AS92,AR92,AP92,AO92)-0.25%</f>
        <v>0.16534082607730022</v>
      </c>
      <c r="AU92" s="176">
        <f>AVERAGE(AT92,AS92,AR92,AP92)-0.25%</f>
        <v>0.16432758099854833</v>
      </c>
      <c r="AV92" s="57"/>
    </row>
    <row r="93" spans="1:48" outlineLevel="2" x14ac:dyDescent="0.25">
      <c r="A93" s="53"/>
      <c r="B93" s="122" t="s">
        <v>171</v>
      </c>
      <c r="C93" s="283"/>
      <c r="D93" s="142">
        <v>14.52</v>
      </c>
      <c r="E93" s="142">
        <v>14.554</v>
      </c>
      <c r="F93" s="142">
        <v>14.48</v>
      </c>
      <c r="G93" s="142">
        <v>15.124999989999999</v>
      </c>
      <c r="H93" s="54"/>
      <c r="I93" s="142">
        <v>15.12</v>
      </c>
      <c r="J93" s="142">
        <v>15.3</v>
      </c>
      <c r="K93" s="142">
        <v>15</v>
      </c>
      <c r="L93" s="142">
        <v>16.042999999999999</v>
      </c>
      <c r="M93" s="54"/>
      <c r="N93" s="142">
        <v>15.42</v>
      </c>
      <c r="O93" s="142">
        <v>15.58</v>
      </c>
      <c r="P93" s="142">
        <v>15.66</v>
      </c>
      <c r="Q93" s="142">
        <v>16.52</v>
      </c>
      <c r="R93" s="50"/>
      <c r="S93" s="142">
        <v>15.984</v>
      </c>
      <c r="T93" s="142">
        <v>15.5443</v>
      </c>
      <c r="U93" s="142">
        <v>14.755000000000001</v>
      </c>
      <c r="V93" s="142">
        <v>15.41</v>
      </c>
      <c r="W93" s="50"/>
      <c r="X93" s="142">
        <f>+S93*(1+X94)</f>
        <v>15.402408076868914</v>
      </c>
      <c r="Y93" s="142">
        <f>+T93*(1+Y94)</f>
        <v>14.282641959563666</v>
      </c>
      <c r="Z93" s="142">
        <f>+U93*(1+Z94)</f>
        <v>13.754951187425645</v>
      </c>
      <c r="AA93" s="142">
        <f>+V93*(1+AA94)</f>
        <v>14.634239089955173</v>
      </c>
      <c r="AB93" s="50"/>
      <c r="AC93" s="142">
        <f>+X93*(1+AC94)</f>
        <v>14.494938476414589</v>
      </c>
      <c r="AD93" s="142">
        <f>+Y93*(1+AD94)</f>
        <v>13.360693700692718</v>
      </c>
      <c r="AE93" s="142">
        <f>+Z93*(1+AE94)</f>
        <v>12.924200328944131</v>
      </c>
      <c r="AF93" s="142">
        <f>+AA93*(1+AF94)</f>
        <v>13.777384132941231</v>
      </c>
      <c r="AG93" s="50"/>
      <c r="AH93" s="142">
        <f>+AC93*(1+AH94)</f>
        <v>13.580251597568134</v>
      </c>
      <c r="AI93" s="142">
        <f>+AD93*(1+AI94)</f>
        <v>12.503598444250809</v>
      </c>
      <c r="AJ93" s="142">
        <f>+AE93*(1+AJ94)</f>
        <v>12.096397970958968</v>
      </c>
      <c r="AK93" s="142">
        <f>+AF93*(1+AK94)</f>
        <v>12.882348984997524</v>
      </c>
      <c r="AL93" s="50"/>
      <c r="AM93" s="142">
        <f>+AH93*(1+AM94)</f>
        <v>12.67625146358524</v>
      </c>
      <c r="AN93" s="142">
        <f>+AI93*(1+AN94)</f>
        <v>11.660441987658331</v>
      </c>
      <c r="AO93" s="142">
        <f>+AJ93*(1+AO94)</f>
        <v>11.270773401672527</v>
      </c>
      <c r="AP93" s="142">
        <f>+AK93*(1+AP94)</f>
        <v>11.989543578520315</v>
      </c>
      <c r="AQ93" s="50"/>
      <c r="AR93" s="142">
        <f>+AM93*(1+AR94)</f>
        <v>11.783974343625946</v>
      </c>
      <c r="AS93" s="142">
        <f>+AN93*(1+AS94)</f>
        <v>10.828524618512981</v>
      </c>
      <c r="AT93" s="142">
        <f>+AO93*(1+AT94)</f>
        <v>10.455633762067196</v>
      </c>
      <c r="AU93" s="142">
        <f>+AP93*(1+AU94)</f>
        <v>11.110222070012796</v>
      </c>
      <c r="AV93" s="50"/>
    </row>
    <row r="94" spans="1:48" outlineLevel="2" x14ac:dyDescent="0.25">
      <c r="A94" s="53"/>
      <c r="B94" s="140" t="s">
        <v>199</v>
      </c>
      <c r="C94" s="283"/>
      <c r="D94" s="165">
        <f>+D93/14.68-1</f>
        <v>-1.0899182561307952E-2</v>
      </c>
      <c r="E94" s="165">
        <f>+E93/14.48-1</f>
        <v>5.1104972375690672E-3</v>
      </c>
      <c r="F94" s="165">
        <f>+F93/13.88-1</f>
        <v>4.3227665706051743E-2</v>
      </c>
      <c r="G94" s="165">
        <f>+G93/14.5-1</f>
        <v>4.3103447586206878E-2</v>
      </c>
      <c r="H94" s="83"/>
      <c r="I94" s="165">
        <f>+I93/D93-1</f>
        <v>4.1322314049586861E-2</v>
      </c>
      <c r="J94" s="165">
        <f>+J93/E93-1</f>
        <v>5.1257386285557205E-2</v>
      </c>
      <c r="K94" s="165">
        <f>+K93/F93-1</f>
        <v>3.5911602209944826E-2</v>
      </c>
      <c r="L94" s="165">
        <f>+L93/G93-1</f>
        <v>6.0694215577318467E-2</v>
      </c>
      <c r="M94" s="83"/>
      <c r="N94" s="165">
        <f>+N93/I93-1</f>
        <v>1.9841269841269993E-2</v>
      </c>
      <c r="O94" s="165">
        <f>+O93/J93-1</f>
        <v>1.8300653594771177E-2</v>
      </c>
      <c r="P94" s="165">
        <f>+P93/K93-1</f>
        <v>4.4000000000000039E-2</v>
      </c>
      <c r="Q94" s="165">
        <f>+Q93/L93-1</f>
        <v>2.9732593654553385E-2</v>
      </c>
      <c r="R94" s="57"/>
      <c r="S94" s="165">
        <f>+S93/N93-1</f>
        <v>3.6575875486381415E-2</v>
      </c>
      <c r="T94" s="165">
        <f>+T93/O93-1</f>
        <v>-2.291399229781832E-3</v>
      </c>
      <c r="U94" s="165">
        <f>+U93/P93-1</f>
        <v>-5.7790549169859484E-2</v>
      </c>
      <c r="V94" s="165">
        <f>+V93/Q93-1</f>
        <v>-6.7191283292978188E-2</v>
      </c>
      <c r="W94" s="57"/>
      <c r="X94" s="141">
        <f>AVERAGE(V94,U94,T94,S94)-1.37115420252101%</f>
        <v>-3.638588107676962E-2</v>
      </c>
      <c r="Y94" s="141">
        <f>AVERAGE(X94,V94,U94,T94)-4.02505390259472%</f>
        <v>-8.116531721829448E-2</v>
      </c>
      <c r="Z94" s="141">
        <f>AVERAGE(Y94,X94,V94,U94)-0.714368657174826%</f>
        <v>-6.7776944261223701E-2</v>
      </c>
      <c r="AA94" s="141">
        <f>AVERAGE(Z94,Y94,X94,V94)+1.27884606125549%</f>
        <v>-5.0341395849761605E-2</v>
      </c>
      <c r="AB94" s="57"/>
      <c r="AC94" s="141">
        <f>AVERAGE(AA94,Z94,Y94,X94)</f>
        <v>-5.891738460151235E-2</v>
      </c>
      <c r="AD94" s="141">
        <f>AVERAGE(AC94,AA94,Z94,Y94)</f>
        <v>-6.4550260482698046E-2</v>
      </c>
      <c r="AE94" s="141">
        <f>AVERAGE(AD94,AC94,AA94,Z94)</f>
        <v>-6.0396496298798924E-2</v>
      </c>
      <c r="AF94" s="141">
        <f>AVERAGE(AE94,AD94,AC94,AA94)</f>
        <v>-5.8551384308192733E-2</v>
      </c>
      <c r="AG94" s="57"/>
      <c r="AH94" s="176">
        <f>AVERAGE(AF94,AE94,AD94,AC94)-0.25%</f>
        <v>-6.3103881422800517E-2</v>
      </c>
      <c r="AI94" s="176">
        <f>AVERAGE(AH94,AF94,AE94,AD94)-0.25%</f>
        <v>-6.4150505628122551E-2</v>
      </c>
      <c r="AJ94" s="176">
        <f>AVERAGE(AI94,AH94,AF94,AE94)-0.25%</f>
        <v>-6.4050566914478677E-2</v>
      </c>
      <c r="AK94" s="176">
        <f>AVERAGE(AJ94,AI94,AH94,AF94)-0.25%</f>
        <v>-6.4964084568398611E-2</v>
      </c>
      <c r="AL94" s="57"/>
      <c r="AM94" s="176">
        <f>AVERAGE(AK94,AJ94,AI94,AH94)-0.25%</f>
        <v>-6.6567259633450088E-2</v>
      </c>
      <c r="AN94" s="176">
        <f>AVERAGE(AM94,AK94,AJ94,AI94)-0.25%</f>
        <v>-6.743310418611248E-2</v>
      </c>
      <c r="AO94" s="176">
        <f>AVERAGE(AN94,AM94,AK94,AJ94)-0.25%</f>
        <v>-6.825375382560997E-2</v>
      </c>
      <c r="AP94" s="176">
        <f>AVERAGE(AO94,AN94,AM94,AK94)-0.25%</f>
        <v>-6.9304550553392796E-2</v>
      </c>
      <c r="AQ94" s="57"/>
      <c r="AR94" s="176">
        <f>AVERAGE(AP94,AO94,AN94,AM94)-0.25%</f>
        <v>-7.0389667049641336E-2</v>
      </c>
      <c r="AS94" s="176">
        <f>AVERAGE(AR94,AP94,AO94,AN94)-0.25%</f>
        <v>-7.1345268903689141E-2</v>
      </c>
      <c r="AT94" s="176">
        <f>AVERAGE(AS94,AR94,AP94,AO94)-0.25%</f>
        <v>-7.232331008308332E-2</v>
      </c>
      <c r="AU94" s="176">
        <f>AVERAGE(AT94,AS94,AR94,AP94)-0.25%</f>
        <v>-7.3340699147451643E-2</v>
      </c>
      <c r="AV94" s="57"/>
    </row>
    <row r="95" spans="1:48" outlineLevel="2" x14ac:dyDescent="0.25">
      <c r="A95" s="53"/>
      <c r="B95" s="118" t="s">
        <v>168</v>
      </c>
      <c r="C95" s="119"/>
      <c r="D95" s="143">
        <f>+D91*D93*D61/1000</f>
        <v>816.38699999999994</v>
      </c>
      <c r="E95" s="143">
        <f>+E91*E93*E61/1000</f>
        <v>825.57856079999999</v>
      </c>
      <c r="F95" s="143">
        <f>+F91*F93*F61/1000</f>
        <v>925.92360000000008</v>
      </c>
      <c r="G95" s="143">
        <f>+G91*G93*G61/1000</f>
        <v>811.27474946361997</v>
      </c>
      <c r="H95" s="56"/>
      <c r="I95" s="143">
        <f>+I91*I93*I61/1000</f>
        <v>809.82719999999995</v>
      </c>
      <c r="J95" s="143">
        <f>+J91*J93*J61/1000</f>
        <v>834.25545000000011</v>
      </c>
      <c r="K95" s="143">
        <f>+K91*K93*K61/1000</f>
        <v>953.62200000000007</v>
      </c>
      <c r="L95" s="143">
        <f>+L91*L93*L61/1000</f>
        <v>928.50466799999992</v>
      </c>
      <c r="M95" s="56"/>
      <c r="N95" s="143">
        <f>+N91*N93*N61/1000</f>
        <v>878.01480000000004</v>
      </c>
      <c r="O95" s="143">
        <f>+O91*O93*O61/1000</f>
        <v>921.66606000000002</v>
      </c>
      <c r="P95" s="143">
        <f>+P91*P93*P61/1000</f>
        <v>996.16392000000008</v>
      </c>
      <c r="Q95" s="143">
        <f>+Q91*Q93*Q61/1000</f>
        <v>942.79640000000006</v>
      </c>
      <c r="R95" s="56"/>
      <c r="S95" s="143">
        <f>+S91*S93*S61/1000</f>
        <v>951.68736000000001</v>
      </c>
      <c r="T95" s="143">
        <f>+T91*T93*T61/1000</f>
        <v>1059.88654107</v>
      </c>
      <c r="U95" s="143">
        <f>+U91*U93*U61/1000</f>
        <v>1119.270035</v>
      </c>
      <c r="V95" s="143">
        <f>+V91*V93*V61/1000</f>
        <v>1093.8018</v>
      </c>
      <c r="W95" s="51"/>
      <c r="X95" s="143">
        <f>+X91*X93*X61/1000</f>
        <v>1043.9244453327781</v>
      </c>
      <c r="Y95" s="143">
        <f>+Y91*Y93*Y61/1000</f>
        <v>1140.6257480505142</v>
      </c>
      <c r="Z95" s="143">
        <f>+Z91*Z93*Z61/1000</f>
        <v>1246.7338928805173</v>
      </c>
      <c r="AA95" s="143">
        <f>+AA91*AA93*AA61/1000</f>
        <v>1213.7582526819854</v>
      </c>
      <c r="AB95" s="51"/>
      <c r="AC95" s="143">
        <f>+AC91*AC93*AC61/1000</f>
        <v>1169.8888984671241</v>
      </c>
      <c r="AD95" s="143">
        <f>+AD91*AD93*AD61/1000</f>
        <v>1255.4287483733519</v>
      </c>
      <c r="AE95" s="143">
        <f>+AE91*AE93*AE61/1000</f>
        <v>1357.9759238705587</v>
      </c>
      <c r="AF95" s="143">
        <f>+AF91*AF93*AF61/1000</f>
        <v>1367.6425986424354</v>
      </c>
      <c r="AG95" s="51"/>
      <c r="AH95" s="143">
        <f>+AH91*AH93*AH61/1000</f>
        <v>1286.6396583316357</v>
      </c>
      <c r="AI95" s="143">
        <f>+AI91*AI93*AI61/1000</f>
        <v>1379.5755064641357</v>
      </c>
      <c r="AJ95" s="143">
        <f>+AJ91*AJ93*AJ61/1000</f>
        <v>1491.6650380274918</v>
      </c>
      <c r="AK95" s="143">
        <f>+AK91*AK93*AK61/1000</f>
        <v>1499.4359844102269</v>
      </c>
      <c r="AL95" s="51"/>
      <c r="AM95" s="143">
        <f>+AM91*AM93*AM61/1000</f>
        <v>1406.4341723647472</v>
      </c>
      <c r="AN95" s="143">
        <f>+AN91*AN93*AN61/1000</f>
        <v>1505.7198265181135</v>
      </c>
      <c r="AO95" s="143">
        <f>+AO91*AO93*AO61/1000</f>
        <v>1625.2858405001552</v>
      </c>
      <c r="AP95" s="143">
        <f>+AP91*AP93*AP61/1000</f>
        <v>1630.4365725428261</v>
      </c>
      <c r="AQ95" s="51"/>
      <c r="AR95" s="143">
        <f>+AR91*AR93*AR61/1000</f>
        <v>1526.1534709341167</v>
      </c>
      <c r="AS95" s="143">
        <f>+AS91*AS93*AS61/1000</f>
        <v>1630.8919740715144</v>
      </c>
      <c r="AT95" s="143">
        <f>+AT91*AT93*AT61/1000</f>
        <v>1757.0307308546469</v>
      </c>
      <c r="AU95" s="143">
        <f>+AU91*AU93*AU61/1000</f>
        <v>1759.1350543281801</v>
      </c>
      <c r="AV95" s="51"/>
    </row>
    <row r="96" spans="1:48" ht="17.25" outlineLevel="1" x14ac:dyDescent="0.4">
      <c r="A96" s="53"/>
      <c r="B96" s="719" t="s">
        <v>172</v>
      </c>
      <c r="C96" s="720"/>
      <c r="D96" s="125"/>
      <c r="E96" s="125"/>
      <c r="F96" s="125"/>
      <c r="G96" s="125"/>
      <c r="H96" s="135"/>
      <c r="I96" s="125"/>
      <c r="J96" s="125"/>
      <c r="K96" s="125"/>
      <c r="L96" s="125"/>
      <c r="M96" s="135"/>
      <c r="N96" s="125"/>
      <c r="O96" s="125"/>
      <c r="P96" s="125"/>
      <c r="Q96" s="125"/>
      <c r="R96" s="135"/>
      <c r="S96" s="125"/>
      <c r="T96" s="125"/>
      <c r="U96" s="125"/>
      <c r="V96" s="125"/>
      <c r="W96" s="135"/>
      <c r="X96" s="125"/>
      <c r="Y96" s="125"/>
      <c r="Z96" s="125"/>
      <c r="AA96" s="125"/>
      <c r="AB96" s="135"/>
      <c r="AC96" s="125"/>
      <c r="AD96" s="125"/>
      <c r="AE96" s="125"/>
      <c r="AF96" s="125"/>
      <c r="AG96" s="135"/>
      <c r="AH96" s="125"/>
      <c r="AI96" s="125"/>
      <c r="AJ96" s="125"/>
      <c r="AK96" s="125"/>
      <c r="AL96" s="135"/>
      <c r="AM96" s="125"/>
      <c r="AN96" s="125"/>
      <c r="AO96" s="125"/>
      <c r="AP96" s="125"/>
      <c r="AQ96" s="135"/>
      <c r="AR96" s="125"/>
      <c r="AS96" s="125"/>
      <c r="AT96" s="125"/>
      <c r="AU96" s="125"/>
      <c r="AV96" s="135"/>
    </row>
    <row r="97" spans="1:48" outlineLevel="2" x14ac:dyDescent="0.25">
      <c r="A97" s="53"/>
      <c r="B97" s="126" t="s">
        <v>359</v>
      </c>
      <c r="C97" s="127"/>
      <c r="D97" s="128">
        <v>389.4</v>
      </c>
      <c r="E97" s="128">
        <v>402.4</v>
      </c>
      <c r="F97" s="128">
        <v>386</v>
      </c>
      <c r="G97" s="128">
        <v>398.60399999999998</v>
      </c>
      <c r="H97" s="135"/>
      <c r="I97" s="128">
        <v>500</v>
      </c>
      <c r="J97" s="128">
        <v>533.59990000000005</v>
      </c>
      <c r="K97" s="128">
        <v>534.70000000000005</v>
      </c>
      <c r="L97" s="128">
        <v>540.29999999999995</v>
      </c>
      <c r="M97" s="135"/>
      <c r="N97" s="128">
        <v>503.7</v>
      </c>
      <c r="O97" s="128">
        <v>543</v>
      </c>
      <c r="P97" s="128">
        <v>529.20000000000005</v>
      </c>
      <c r="Q97" s="128">
        <v>534</v>
      </c>
      <c r="R97" s="412"/>
      <c r="S97" s="128">
        <v>518.4</v>
      </c>
      <c r="T97" s="128">
        <v>554.79999999999995</v>
      </c>
      <c r="U97" s="128">
        <v>529.5</v>
      </c>
      <c r="V97" s="128">
        <v>542.44443999999999</v>
      </c>
      <c r="W97" s="135"/>
      <c r="X97" s="128">
        <f>+S97*(1+X98)</f>
        <v>501.20151144259415</v>
      </c>
      <c r="Y97" s="128">
        <f>+T97*(1+Y98)</f>
        <v>558.35434342836811</v>
      </c>
      <c r="Z97" s="128">
        <f>+U97*(1+Z98)</f>
        <v>537.0963943525926</v>
      </c>
      <c r="AA97" s="128">
        <f>+V97*(1+AA98)</f>
        <v>552.09518778970744</v>
      </c>
      <c r="AB97" s="135"/>
      <c r="AC97" s="128">
        <f>+X97*(1+AC98)</f>
        <v>510.40753940989583</v>
      </c>
      <c r="AD97" s="128">
        <f>+Y97*(1+AD98)</f>
        <v>575.80510593966585</v>
      </c>
      <c r="AE97" s="128">
        <f>+Z97*(1+AE98)</f>
        <v>557.21912348450428</v>
      </c>
      <c r="AF97" s="128">
        <f>+AA97*(1+AF98)</f>
        <v>575.97088762866497</v>
      </c>
      <c r="AG97" s="135"/>
      <c r="AH97" s="128">
        <f>+AC97*(1+AH98)</f>
        <v>527.25143254750799</v>
      </c>
      <c r="AI97" s="128">
        <f>+AD97*(1+AI98)</f>
        <v>596.9136079887827</v>
      </c>
      <c r="AJ97" s="128">
        <f>+AE97*(1+AJ98)</f>
        <v>578.39924849452598</v>
      </c>
      <c r="AK97" s="128">
        <f>+AF97*(1+AK98)</f>
        <v>597.94219862356874</v>
      </c>
      <c r="AL97" s="135"/>
      <c r="AM97" s="128">
        <f>+AH97*(1+AM98)</f>
        <v>545.15385295856242</v>
      </c>
      <c r="AN97" s="128">
        <f>+AI97*(1+AN98)</f>
        <v>617.32362389545301</v>
      </c>
      <c r="AO97" s="128">
        <f>+AJ97*(1+AO98)</f>
        <v>597.81955099435004</v>
      </c>
      <c r="AP97" s="128">
        <f>+AK97*(1+AP98)</f>
        <v>617.35578666452204</v>
      </c>
      <c r="AQ97" s="135"/>
      <c r="AR97" s="128">
        <f>+AM97*(1+AR98)</f>
        <v>562.0795303179342</v>
      </c>
      <c r="AS97" s="128">
        <f>+AN97*(1+AS98)</f>
        <v>636.04139821889657</v>
      </c>
      <c r="AT97" s="128">
        <f>+AO97*(1+AT98)</f>
        <v>615.36729580970007</v>
      </c>
      <c r="AU97" s="128">
        <f>+AP97*(1+AU98)</f>
        <v>634.82519815763271</v>
      </c>
      <c r="AV97" s="135"/>
    </row>
    <row r="98" spans="1:48" outlineLevel="2" x14ac:dyDescent="0.25">
      <c r="A98" s="53"/>
      <c r="B98" s="144" t="s">
        <v>200</v>
      </c>
      <c r="C98" s="127"/>
      <c r="D98" s="145">
        <f>+D97/409.44-1</f>
        <v>-4.894490035169996E-2</v>
      </c>
      <c r="E98" s="145">
        <f>+E97/424.4-1</f>
        <v>-5.1837888784165842E-2</v>
      </c>
      <c r="F98" s="145">
        <f>+F97/397.7-1</f>
        <v>-2.9419160170983116E-2</v>
      </c>
      <c r="G98" s="145">
        <f>+G97/407.5-1</f>
        <v>-2.1830674846625819E-2</v>
      </c>
      <c r="H98" s="146"/>
      <c r="I98" s="145">
        <f>+I97/D97-1</f>
        <v>0.28402670775552141</v>
      </c>
      <c r="J98" s="145">
        <f>+J97/E97-1</f>
        <v>0.32604348906560654</v>
      </c>
      <c r="K98" s="145">
        <f>+K97/F97-1</f>
        <v>0.38523316062176183</v>
      </c>
      <c r="L98" s="145">
        <f>+L97/G97-1</f>
        <v>0.35548062738958963</v>
      </c>
      <c r="M98" s="146"/>
      <c r="N98" s="145">
        <f>+N97/I97-1</f>
        <v>7.4000000000000732E-3</v>
      </c>
      <c r="O98" s="145">
        <f>+O97/J97-1</f>
        <v>1.761638261176568E-2</v>
      </c>
      <c r="P98" s="145">
        <f>+P97/K97-1</f>
        <v>-1.028614176173559E-2</v>
      </c>
      <c r="Q98" s="145">
        <f>+Q97/L97-1</f>
        <v>-1.1660188784008763E-2</v>
      </c>
      <c r="R98" s="146"/>
      <c r="S98" s="145">
        <f>+S97/N97-1</f>
        <v>2.9184038117927358E-2</v>
      </c>
      <c r="T98" s="145">
        <f>+T97/O97-1</f>
        <v>2.1731123388581963E-2</v>
      </c>
      <c r="U98" s="145">
        <f>+U97/P97-1</f>
        <v>5.6689342403615228E-4</v>
      </c>
      <c r="V98" s="145">
        <f>+V97/Q97-1</f>
        <v>1.581355805243434E-2</v>
      </c>
      <c r="W98" s="146"/>
      <c r="X98" s="141">
        <f>AVERAGE(V98,U98,T98,S98)-5%</f>
        <v>-3.3176096754255049E-2</v>
      </c>
      <c r="Y98" s="141">
        <f>AVERAGE(X98,V98,U98,T98)+0.517266152559589%</f>
        <v>6.4065310532952415E-3</v>
      </c>
      <c r="Z98" s="141">
        <f>AVERAGE(Y98,X98,V98,U98)+1.69436323853812%</f>
        <v>1.4346353829258871E-2</v>
      </c>
      <c r="AA98" s="141">
        <f>AVERAGE(Z98,Y98,X98,V98)+1.69436323853812%</f>
        <v>1.779121893056455E-2</v>
      </c>
      <c r="AB98" s="146"/>
      <c r="AC98" s="141">
        <f>AVERAGE(AA98,Z98,Y98,X98)+1.7025915644001%</f>
        <v>1.8367917408716905E-2</v>
      </c>
      <c r="AD98" s="141">
        <f>AVERAGE(AC98,AA98,Z98,Y98)+1.7025915644001%</f>
        <v>3.125392094945989E-2</v>
      </c>
      <c r="AE98" s="141">
        <f>AVERAGE(AD98,AC98,AA98,Z98)+1.7025915644001%</f>
        <v>3.7465768423501057E-2</v>
      </c>
      <c r="AF98" s="141">
        <f>AVERAGE(AE98,AD98,AC98,AA98)+1.7025915644001%</f>
        <v>4.3245622072061604E-2</v>
      </c>
      <c r="AG98" s="146"/>
      <c r="AH98" s="141">
        <f>AVERAGE(AF98,AE98,AD98,AC98)+0.0417563340095869%</f>
        <v>3.3000870553530737E-2</v>
      </c>
      <c r="AI98" s="141">
        <f>AVERAGE(AH98,AF98,AE98,AD98)+0.0417563340095869%</f>
        <v>3.6659108839734195E-2</v>
      </c>
      <c r="AJ98" s="141">
        <f>AVERAGE(AI98,AH98,AF98,AE98)+0.0417563340095869%</f>
        <v>3.8010405812302771E-2</v>
      </c>
      <c r="AK98" s="141">
        <f>AVERAGE(AJ98,AI98,AH98,AF98)+0.0417563340095869%</f>
        <v>3.8146565159503203E-2</v>
      </c>
      <c r="AL98" s="146"/>
      <c r="AM98" s="176">
        <f>AVERAGE(AK98,AJ98,AI98,AH98)-0.25%</f>
        <v>3.3954237591267727E-2</v>
      </c>
      <c r="AN98" s="176">
        <f>AVERAGE(AM98,AK98,AJ98,AI98)-0.25%</f>
        <v>3.4192579350701975E-2</v>
      </c>
      <c r="AO98" s="176">
        <f>AVERAGE(AN98,AM98,AK98,AJ98)-0.25%</f>
        <v>3.3575946978443919E-2</v>
      </c>
      <c r="AP98" s="176">
        <f>AVERAGE(AO98,AN98,AM98,AK98)-0.25%</f>
        <v>3.2467332269979207E-2</v>
      </c>
      <c r="AQ98" s="146"/>
      <c r="AR98" s="176">
        <f>AVERAGE(AP98,AO98,AN98,AM98)-0.25%</f>
        <v>3.1047524047598207E-2</v>
      </c>
      <c r="AS98" s="176">
        <f>AVERAGE(AR98,AP98,AO98,AN98)-0.25%</f>
        <v>3.0320845661680831E-2</v>
      </c>
      <c r="AT98" s="176">
        <f>AVERAGE(AS98,AR98,AP98,AO98)-0.25%</f>
        <v>2.9352912239425547E-2</v>
      </c>
      <c r="AU98" s="176">
        <f>AVERAGE(AT98,AS98,AR98,AP98)-0.25%</f>
        <v>2.829715355467095E-2</v>
      </c>
      <c r="AV98" s="146"/>
    </row>
    <row r="99" spans="1:48" outlineLevel="2" x14ac:dyDescent="0.25">
      <c r="A99" s="53"/>
      <c r="B99" s="126" t="s">
        <v>173</v>
      </c>
      <c r="C99" s="127"/>
      <c r="D99" s="129">
        <v>57.86</v>
      </c>
      <c r="E99" s="129">
        <v>56.52</v>
      </c>
      <c r="F99" s="129">
        <v>55.35</v>
      </c>
      <c r="G99" s="129">
        <v>56.124999899999999</v>
      </c>
      <c r="H99" s="135"/>
      <c r="I99" s="129">
        <v>52.78</v>
      </c>
      <c r="J99" s="129">
        <v>52.419998999999997</v>
      </c>
      <c r="K99" s="129">
        <v>50.28</v>
      </c>
      <c r="L99" s="129">
        <v>51.201999999999998</v>
      </c>
      <c r="M99" s="135"/>
      <c r="N99" s="129">
        <v>53.17</v>
      </c>
      <c r="O99" s="129">
        <v>53.75</v>
      </c>
      <c r="P99" s="129">
        <v>55.26</v>
      </c>
      <c r="Q99" s="129">
        <v>56.5</v>
      </c>
      <c r="R99" s="135"/>
      <c r="S99" s="129">
        <v>54.844000000000001</v>
      </c>
      <c r="T99" s="129">
        <v>54.254100000000001</v>
      </c>
      <c r="U99" s="129">
        <v>52.945</v>
      </c>
      <c r="V99" s="129">
        <v>53.794444400000003</v>
      </c>
      <c r="W99" s="135"/>
      <c r="X99" s="129">
        <f>+S99*(1+X100)</f>
        <v>51.43110880625818</v>
      </c>
      <c r="Y99" s="129">
        <f>+T99*(1+Y100)</f>
        <v>52.600182335763982</v>
      </c>
      <c r="Z99" s="129">
        <f>+U99*(1+Z100)</f>
        <v>51.426563747713125</v>
      </c>
      <c r="AA99" s="129">
        <f>+V99*(1+AA100)</f>
        <v>52.42934794871924</v>
      </c>
      <c r="AB99" s="135"/>
      <c r="AC99" s="129">
        <f>+X99*(1+AC100)</f>
        <v>50.419642385683815</v>
      </c>
      <c r="AD99" s="129">
        <f>+Y99*(1+AD100)</f>
        <v>52.125425054244097</v>
      </c>
      <c r="AE99" s="129">
        <f>+Z99*(1+AE100)</f>
        <v>51.238288461252161</v>
      </c>
      <c r="AF99" s="129">
        <f>+AA99*(1+AF100)</f>
        <v>52.565326687195395</v>
      </c>
      <c r="AG99" s="135"/>
      <c r="AH99" s="129">
        <f>+AC99*(1+AH100)</f>
        <v>50.0655774897618</v>
      </c>
      <c r="AI99" s="129">
        <f>+AD99*(1+AI100)</f>
        <v>51.924150944707506</v>
      </c>
      <c r="AJ99" s="129">
        <f>+AE99*(1+AJ100)</f>
        <v>51.106594031210378</v>
      </c>
      <c r="AK99" s="129">
        <f>+AF99*(1+AK100)</f>
        <v>52.444556238914465</v>
      </c>
      <c r="AL99" s="135"/>
      <c r="AM99" s="129">
        <f>+AH99*(1+AM100)</f>
        <v>49.743261960266828</v>
      </c>
      <c r="AN99" s="129">
        <f>+AI99*(1+AN100)</f>
        <v>51.597457496213416</v>
      </c>
      <c r="AO99" s="129">
        <f>+AJ99*(1+AO100)</f>
        <v>50.753992057319621</v>
      </c>
      <c r="AP99" s="129">
        <f>+AK99*(1+AP100)</f>
        <v>52.025963649959245</v>
      </c>
      <c r="AQ99" s="135"/>
      <c r="AR99" s="129">
        <f>+AM99*(1+AR100)</f>
        <v>49.275543776160198</v>
      </c>
      <c r="AS99" s="129">
        <f>+AN99*(1+AS100)</f>
        <v>51.07406123270512</v>
      </c>
      <c r="AT99" s="129">
        <f>+AO99*(1+AT100)</f>
        <v>50.190274476350339</v>
      </c>
      <c r="AU99" s="129">
        <f>+AP99*(1+AU100)</f>
        <v>51.393393413005477</v>
      </c>
      <c r="AV99" s="135"/>
    </row>
    <row r="100" spans="1:48" outlineLevel="2" x14ac:dyDescent="0.25">
      <c r="A100" s="53"/>
      <c r="B100" s="144" t="s">
        <v>199</v>
      </c>
      <c r="C100" s="127"/>
      <c r="D100" s="145">
        <f>+D99/62.19-1</f>
        <v>-6.9625341694806164E-2</v>
      </c>
      <c r="E100" s="145">
        <f>+E99/61.65-1</f>
        <v>-8.3211678832116664E-2</v>
      </c>
      <c r="F100" s="145">
        <f>+F99/58.4-1</f>
        <v>-5.2226027397260233E-2</v>
      </c>
      <c r="G100" s="145">
        <f>+G99/57.85-1</f>
        <v>-2.9818497839239511E-2</v>
      </c>
      <c r="H100" s="146"/>
      <c r="I100" s="145">
        <f>+I99/D99-1</f>
        <v>-8.7798133425509794E-2</v>
      </c>
      <c r="J100" s="145">
        <f>+J99/E99-1</f>
        <v>-7.2540711252654044E-2</v>
      </c>
      <c r="K100" s="145">
        <f>+K99/F99-1</f>
        <v>-9.1598915989159924E-2</v>
      </c>
      <c r="L100" s="145">
        <f>+L99/G99-1</f>
        <v>-8.7714920423545562E-2</v>
      </c>
      <c r="M100" s="146"/>
      <c r="N100" s="145">
        <f>+N99/I99-1</f>
        <v>7.3891625615762901E-3</v>
      </c>
      <c r="O100" s="145">
        <f>+O99/J99-1</f>
        <v>2.5372014982297131E-2</v>
      </c>
      <c r="P100" s="145">
        <f>+P99/K99-1</f>
        <v>9.9045346062052397E-2</v>
      </c>
      <c r="Q100" s="145">
        <f>+Q99/L99-1</f>
        <v>0.10347252060466383</v>
      </c>
      <c r="R100" s="146"/>
      <c r="S100" s="145">
        <f>+S99/N99-1</f>
        <v>3.1483919503479285E-2</v>
      </c>
      <c r="T100" s="145">
        <f>+T99/O99-1</f>
        <v>9.378604651162803E-3</v>
      </c>
      <c r="U100" s="145">
        <f>+U99/P99-1</f>
        <v>-4.1892870068765742E-2</v>
      </c>
      <c r="V100" s="145">
        <f>+V99/Q99-1</f>
        <v>-4.7885939823008816E-2</v>
      </c>
      <c r="W100" s="146"/>
      <c r="X100" s="141">
        <f>AVERAGE(V100,U100,T100,S100)-5%</f>
        <v>-6.222907143428312E-2</v>
      </c>
      <c r="Y100" s="141">
        <f>AVERAGE(X100,V100,U100,T100)+0.517266152559589%</f>
        <v>-3.0484657643127834E-2</v>
      </c>
      <c r="Z100" s="141">
        <f>AVERAGE(Y100,X100,V100,U100)+1.69436323853812%</f>
        <v>-2.8679502356915181E-2</v>
      </c>
      <c r="AA100" s="141">
        <f>AVERAGE(Z100,Y100,X100,V100)+1.69436323853812%</f>
        <v>-2.5376160428952535E-2</v>
      </c>
      <c r="AB100" s="146"/>
      <c r="AC100" s="141">
        <f>AVERAGE(AA100,Z100,Y100,X100)+1.7025915644001%</f>
        <v>-1.9666432321818667E-2</v>
      </c>
      <c r="AD100" s="141">
        <f>AVERAGE(AC100,AA100,Z100,Y100)+1.7025915644001%</f>
        <v>-9.0257725437025496E-3</v>
      </c>
      <c r="AE100" s="141">
        <f>AVERAGE(AD100,AC100,AA100,Z100)+1.7025915644001%</f>
        <v>-3.661051268846232E-3</v>
      </c>
      <c r="AF100" s="141">
        <f>AVERAGE(AE100,AD100,AC100,AA100)+1.7025915644001%</f>
        <v>2.593561503171006E-3</v>
      </c>
      <c r="AG100" s="146"/>
      <c r="AH100" s="141">
        <f>AVERAGE(AF100,AE100,AD100,AC100)+0.0417563340095869%</f>
        <v>-7.0223603177032414E-3</v>
      </c>
      <c r="AI100" s="141">
        <f>AVERAGE(AH100,AF100,AE100,AD100)+0.0417563340095869%</f>
        <v>-3.8613423166743849E-3</v>
      </c>
      <c r="AJ100" s="141">
        <f>AVERAGE(AI100,AH100,AF100,AE100)+0.0417563340095869%</f>
        <v>-2.5702347599173437E-3</v>
      </c>
      <c r="AK100" s="141">
        <f>AVERAGE(AJ100,AI100,AH100,AF100)+0.0417563340095869%</f>
        <v>-2.2975306326851221E-3</v>
      </c>
      <c r="AL100" s="146"/>
      <c r="AM100" s="176">
        <f>AVERAGE(AK100,AJ100,AI100,AH100)-0.25%</f>
        <v>-6.4378670067450228E-3</v>
      </c>
      <c r="AN100" s="176">
        <f>AVERAGE(AM100,AK100,AJ100,AI100)-0.25%</f>
        <v>-6.2917436790054689E-3</v>
      </c>
      <c r="AO100" s="176">
        <f>AVERAGE(AN100,AM100,AK100,AJ100)-0.25%</f>
        <v>-6.899344019588239E-3</v>
      </c>
      <c r="AP100" s="176">
        <f>AVERAGE(AO100,AN100,AM100,AK100)-0.25%</f>
        <v>-7.9816213345059624E-3</v>
      </c>
      <c r="AQ100" s="146"/>
      <c r="AR100" s="176">
        <f>AVERAGE(AP100,AO100,AN100,AM100)-0.25%</f>
        <v>-9.4026440099611742E-3</v>
      </c>
      <c r="AS100" s="176">
        <f>AVERAGE(AR100,AP100,AO100,AN100)-0.25%</f>
        <v>-1.0143838260765212E-2</v>
      </c>
      <c r="AT100" s="176">
        <f>AVERAGE(AS100,AR100,AP100,AO100)-0.25%</f>
        <v>-1.1106861906205147E-2</v>
      </c>
      <c r="AU100" s="176">
        <f>AVERAGE(AT100,AS100,AR100,AP100)-0.25%</f>
        <v>-1.2158741377859375E-2</v>
      </c>
      <c r="AV100" s="146"/>
    </row>
    <row r="101" spans="1:48" outlineLevel="2" x14ac:dyDescent="0.25">
      <c r="A101" s="53"/>
      <c r="B101" s="131" t="s">
        <v>174</v>
      </c>
      <c r="C101" s="130"/>
      <c r="D101" s="147">
        <f>+D97*D99*D61/1000</f>
        <v>1464.4944599999997</v>
      </c>
      <c r="E101" s="147">
        <f>+E97*E99*E61/1000</f>
        <v>1432.8498240000001</v>
      </c>
      <c r="F101" s="147">
        <f>+F97*F99*F61/1000</f>
        <v>1346.0013000000001</v>
      </c>
      <c r="G101" s="147">
        <f>+G97*G99*G61/1000</f>
        <v>1454.1572149090739</v>
      </c>
      <c r="H101" s="136"/>
      <c r="I101" s="147">
        <f>+I97*I99*I61/1000</f>
        <v>1715.35</v>
      </c>
      <c r="J101" s="147">
        <f>+J97*J99*J61/1000</f>
        <v>1762.1922921372063</v>
      </c>
      <c r="K101" s="147">
        <f>+K97*K99*K61/1000</f>
        <v>1666.8523920000002</v>
      </c>
      <c r="L101" s="147">
        <f>+L97*L99*L61/1000</f>
        <v>1798.188639</v>
      </c>
      <c r="M101" s="136"/>
      <c r="N101" s="147">
        <f>+N97*N99*N61/1000</f>
        <v>1740.8123849999999</v>
      </c>
      <c r="O101" s="147">
        <f>+O97*O99*O61/1000</f>
        <v>1838.7337500000001</v>
      </c>
      <c r="P101" s="147">
        <f>+P97*P99*P61/1000</f>
        <v>1813.1027040000001</v>
      </c>
      <c r="Q101" s="147">
        <f>+Q97*Q99*Q61/1000</f>
        <v>1961.115</v>
      </c>
      <c r="R101" s="136"/>
      <c r="S101" s="147">
        <f>+S97*S99*S61/1000</f>
        <v>1848.0234240000002</v>
      </c>
      <c r="T101" s="147">
        <f>+T97*T99*T61/1000</f>
        <v>1896.3110048399999</v>
      </c>
      <c r="U101" s="147">
        <f>+U97*U99*U61/1000</f>
        <v>1738.1314050000001</v>
      </c>
      <c r="V101" s="147">
        <f>+V97*V99*V61/1000</f>
        <v>1896.7323223984938</v>
      </c>
      <c r="W101" s="136"/>
      <c r="X101" s="147">
        <f>+X97*X99*X61/1000</f>
        <v>1649.7503660073673</v>
      </c>
      <c r="Y101" s="147">
        <f>+Y97*Y99*Y61/1000</f>
        <v>1850.2810371547705</v>
      </c>
      <c r="Z101" s="147">
        <f>+Z97*Z99*Z61/1000</f>
        <v>1740.1243836589495</v>
      </c>
      <c r="AA101" s="147">
        <f>+AA97*AA99*AA61/1000</f>
        <v>1852.5434048921638</v>
      </c>
      <c r="AB101" s="136"/>
      <c r="AC101" s="147">
        <f>+AC97*AC99*AC61/1000</f>
        <v>1672.7467645202448</v>
      </c>
      <c r="AD101" s="147">
        <f>+AD97*AD99*AD61/1000</f>
        <v>1890.8874114170753</v>
      </c>
      <c r="AE101" s="147">
        <f>+AE97*AE99*AE61/1000</f>
        <v>1770.1591594839574</v>
      </c>
      <c r="AF101" s="147">
        <f>+AF97*AF99*AF61/1000</f>
        <v>1967.9463615834543</v>
      </c>
      <c r="AG101" s="136"/>
      <c r="AH101" s="147">
        <f>+AH97*AH99*AH61/1000</f>
        <v>1715.8145844316866</v>
      </c>
      <c r="AI101" s="147">
        <f>+AI97*AI99*AI61/1000</f>
        <v>1952.6366337760496</v>
      </c>
      <c r="AJ101" s="147">
        <f>+AJ97*AJ99*AJ61/1000</f>
        <v>1832.7209660075484</v>
      </c>
      <c r="AK101" s="147">
        <f>+AK97*AK99*AK61/1000</f>
        <v>2038.3228621167045</v>
      </c>
      <c r="AL101" s="136"/>
      <c r="AM101" s="147">
        <f>+AM97*AM99*AM61/1000</f>
        <v>1762.652509563826</v>
      </c>
      <c r="AN101" s="147">
        <f>+AN97*AN99*AN61/1000</f>
        <v>2006.6967550573065</v>
      </c>
      <c r="AO101" s="147">
        <f>+AO97*AO99*AO61/1000</f>
        <v>1881.1871820584129</v>
      </c>
      <c r="AP101" s="147">
        <f>+AP97*AP99*AP61/1000</f>
        <v>2087.7044315465268</v>
      </c>
      <c r="AQ101" s="136"/>
      <c r="AR101" s="147">
        <f>+AR97*AR99*AR61/1000</f>
        <v>1800.2903426212206</v>
      </c>
      <c r="AS101" s="147">
        <f>+AS97*AS99*AS61/1000</f>
        <v>2046.5686911075404</v>
      </c>
      <c r="AT101" s="147">
        <f>+AT97*AT99*AT61/1000</f>
        <v>1914.8981157884157</v>
      </c>
      <c r="AU101" s="147">
        <f>+AU97*AU99*AU61/1000</f>
        <v>2120.6783752312845</v>
      </c>
      <c r="AV101" s="136"/>
    </row>
    <row r="102" spans="1:48" ht="17.25" outlineLevel="1" x14ac:dyDescent="0.4">
      <c r="A102" s="53"/>
      <c r="B102" s="713" t="s">
        <v>175</v>
      </c>
      <c r="C102" s="714"/>
      <c r="D102" s="46"/>
      <c r="E102" s="46"/>
      <c r="F102" s="46"/>
      <c r="G102" s="46"/>
      <c r="H102" s="54"/>
      <c r="I102" s="46"/>
      <c r="J102" s="46"/>
      <c r="K102" s="46"/>
      <c r="L102" s="46"/>
      <c r="M102" s="54"/>
      <c r="N102" s="46"/>
      <c r="O102" s="46"/>
      <c r="P102" s="46"/>
      <c r="Q102" s="46"/>
      <c r="R102" s="50"/>
      <c r="S102" s="47"/>
      <c r="T102" s="47"/>
      <c r="U102" s="47"/>
      <c r="V102" s="47"/>
      <c r="W102" s="50"/>
      <c r="X102" s="47"/>
      <c r="Y102" s="47"/>
      <c r="Z102" s="47"/>
      <c r="AA102" s="47"/>
      <c r="AB102" s="50"/>
      <c r="AC102" s="47"/>
      <c r="AD102" s="47"/>
      <c r="AE102" s="47"/>
      <c r="AF102" s="47"/>
      <c r="AG102" s="50"/>
      <c r="AH102" s="47"/>
      <c r="AI102" s="47"/>
      <c r="AJ102" s="47"/>
      <c r="AK102" s="47"/>
      <c r="AL102" s="50"/>
      <c r="AM102" s="47"/>
      <c r="AN102" s="47"/>
      <c r="AO102" s="47"/>
      <c r="AP102" s="47"/>
      <c r="AQ102" s="50"/>
      <c r="AR102" s="47"/>
      <c r="AS102" s="47"/>
      <c r="AT102" s="47"/>
      <c r="AU102" s="47"/>
      <c r="AV102" s="50"/>
    </row>
    <row r="103" spans="1:48" outlineLevel="2" x14ac:dyDescent="0.25">
      <c r="A103" s="53"/>
      <c r="B103" s="122" t="s">
        <v>360</v>
      </c>
      <c r="C103" s="283"/>
      <c r="D103" s="261">
        <v>176</v>
      </c>
      <c r="E103" s="261">
        <v>185.7</v>
      </c>
      <c r="F103" s="261">
        <v>179.2</v>
      </c>
      <c r="G103" s="261">
        <v>184.4</v>
      </c>
      <c r="H103" s="54"/>
      <c r="I103" s="261">
        <v>238</v>
      </c>
      <c r="J103" s="261">
        <v>259.39999999999998</v>
      </c>
      <c r="K103" s="261">
        <v>253.4</v>
      </c>
      <c r="L103" s="261">
        <v>265.499999</v>
      </c>
      <c r="M103" s="54"/>
      <c r="N103" s="261">
        <v>252.2</v>
      </c>
      <c r="O103" s="261">
        <v>276.5</v>
      </c>
      <c r="P103" s="261">
        <v>266.39999999999998</v>
      </c>
      <c r="Q103" s="261">
        <v>277</v>
      </c>
      <c r="R103" s="50"/>
      <c r="S103" s="261">
        <v>275.8</v>
      </c>
      <c r="T103" s="123">
        <v>302.39999999999998</v>
      </c>
      <c r="U103" s="123">
        <v>289.39999999999998</v>
      </c>
      <c r="V103" s="123">
        <v>303.89999999999998</v>
      </c>
      <c r="W103" s="50"/>
      <c r="X103" s="123">
        <f>+S103*(1+X104)</f>
        <v>287.56946591806059</v>
      </c>
      <c r="Y103" s="123">
        <f>+T103*(1+Y104)</f>
        <v>328.14056752767704</v>
      </c>
      <c r="Z103" s="123">
        <f>+U103*(1+Z104)</f>
        <v>316.82192474790804</v>
      </c>
      <c r="AA103" s="123">
        <f>+V103*(1+AA104)</f>
        <v>333.33542636865599</v>
      </c>
      <c r="AB103" s="50"/>
      <c r="AC103" s="123">
        <f>+X103*(1+AC104)</f>
        <v>315.4286083602459</v>
      </c>
      <c r="AD103" s="123">
        <f>+Y103*(1+AD104)</f>
        <v>364.37679167289457</v>
      </c>
      <c r="AE103" s="123">
        <f>+Z103*(1+AE104)</f>
        <v>353.81277860813441</v>
      </c>
      <c r="AF103" s="123">
        <f>+AA103*(1+AF104)</f>
        <v>374.08780626514454</v>
      </c>
      <c r="AG103" s="50"/>
      <c r="AH103" s="123">
        <f>+AC103*(1+AH104)</f>
        <v>350.75578678472999</v>
      </c>
      <c r="AI103" s="123">
        <f>+AD103*(1+AI104)</f>
        <v>406.56333038301011</v>
      </c>
      <c r="AJ103" s="123">
        <f>+AE103*(1+AJ104)</f>
        <v>395.24931669215277</v>
      </c>
      <c r="AK103" s="123">
        <f>+AF103*(1+AK104)</f>
        <v>417.93235164215002</v>
      </c>
      <c r="AL103" s="50"/>
      <c r="AM103" s="123">
        <f>+AH103*(1+AM104)</f>
        <v>390.39932954125669</v>
      </c>
      <c r="AN103" s="123">
        <f>+AI103*(1+AN104)</f>
        <v>452.61868586146221</v>
      </c>
      <c r="AO103" s="123">
        <f>+AJ103*(1+AO104)</f>
        <v>439.77623292190231</v>
      </c>
      <c r="AP103" s="123">
        <f>+AK103*(1+AP104)</f>
        <v>464.54873670253562</v>
      </c>
      <c r="AQ103" s="50"/>
      <c r="AR103" s="123">
        <f>+AM103*(1+AR104)</f>
        <v>433.39192208971781</v>
      </c>
      <c r="AS103" s="123">
        <f>+AN103*(1+AS104)</f>
        <v>502.13517970827638</v>
      </c>
      <c r="AT103" s="123">
        <f>+AO103*(1+AT104)</f>
        <v>487.4612190108187</v>
      </c>
      <c r="AU103" s="123">
        <f>+AP103*(1+AU104)</f>
        <v>514.42911082941055</v>
      </c>
      <c r="AV103" s="50"/>
    </row>
    <row r="104" spans="1:48" outlineLevel="2" x14ac:dyDescent="0.25">
      <c r="A104" s="53"/>
      <c r="B104" s="140" t="s">
        <v>200</v>
      </c>
      <c r="C104" s="283"/>
      <c r="D104" s="165">
        <f>+D103/169.5-1</f>
        <v>3.8348082595870192E-2</v>
      </c>
      <c r="E104" s="165">
        <f>+E103/179.5-1</f>
        <v>3.4540389972144814E-2</v>
      </c>
      <c r="F104" s="165">
        <f>+F103/175.4-1</f>
        <v>2.1664766248574496E-2</v>
      </c>
      <c r="G104" s="165">
        <f>+G103/178.4-1</f>
        <v>3.3632286995515681E-2</v>
      </c>
      <c r="H104" s="83"/>
      <c r="I104" s="165">
        <f>+I103/D103-1</f>
        <v>0.35227272727272729</v>
      </c>
      <c r="J104" s="165">
        <f>+J103/E103-1</f>
        <v>0.39687668282175559</v>
      </c>
      <c r="K104" s="165">
        <f>+K103/F103-1</f>
        <v>0.41406250000000022</v>
      </c>
      <c r="L104" s="165">
        <f>+L103/G103-1</f>
        <v>0.43980476681127989</v>
      </c>
      <c r="M104" s="83"/>
      <c r="N104" s="165">
        <f>+N103/I103-1</f>
        <v>5.9663865546218497E-2</v>
      </c>
      <c r="O104" s="165">
        <f>+O103/J103-1</f>
        <v>6.5921356977640899E-2</v>
      </c>
      <c r="P104" s="165">
        <f>+P103/K103-1</f>
        <v>5.1302288871349466E-2</v>
      </c>
      <c r="Q104" s="165">
        <f>+Q103/L103-1</f>
        <v>4.3314504871241111E-2</v>
      </c>
      <c r="R104" s="57"/>
      <c r="S104" s="165">
        <f>+S103/N103-1</f>
        <v>9.35765265662174E-2</v>
      </c>
      <c r="T104" s="165">
        <f>+T103/O103-1</f>
        <v>9.36708860759492E-2</v>
      </c>
      <c r="U104" s="165">
        <f>+U103/P103-1</f>
        <v>8.6336336336336306E-2</v>
      </c>
      <c r="V104" s="165">
        <f>+V103/Q103-1</f>
        <v>9.7111913357400548E-2</v>
      </c>
      <c r="W104" s="50"/>
      <c r="X104" s="141">
        <f>AVERAGE(V104,U104,T104,S104)-5%</f>
        <v>4.267391558397586E-2</v>
      </c>
      <c r="Y104" s="141">
        <f>AVERAGE(X104,V104,U104,T104)+0.517266152559589%</f>
        <v>8.5120924364011377E-2</v>
      </c>
      <c r="Z104" s="141">
        <f>AVERAGE(Y104,X104,V104,U104)+1.69436323853812%</f>
        <v>9.4754404795812222E-2</v>
      </c>
      <c r="AA104" s="141">
        <f>AVERAGE(Z104,Y104,X104,V104)+1.69436323853812%</f>
        <v>9.6858921910681198E-2</v>
      </c>
      <c r="AB104" s="57"/>
      <c r="AC104" s="141">
        <f>AVERAGE(AA104,Z104,Y104,X104)+1.7025915644001%</f>
        <v>9.6877957307621165E-2</v>
      </c>
      <c r="AD104" s="141">
        <f>AVERAGE(AC104,AA104,Z104,Y104)+1.7025915644001%</f>
        <v>0.11042896773853247</v>
      </c>
      <c r="AE104" s="141">
        <f>AVERAGE(AD104,AC104,AA104,Z104)+1.7025915644001%</f>
        <v>0.11675597858216277</v>
      </c>
      <c r="AF104" s="141">
        <f>AVERAGE(AE104,AD104,AC104,AA104)+1.7025915644001%</f>
        <v>0.12225637202875039</v>
      </c>
      <c r="AG104" s="57"/>
      <c r="AH104" s="141">
        <f>AVERAGE(AF104,AE104,AD104,AC104)+0.0417563340095869%</f>
        <v>0.11199738225436257</v>
      </c>
      <c r="AI104" s="141">
        <f>AVERAGE(AH104,AF104,AE104,AD104)+0.0417563340095869%</f>
        <v>0.11577723849104792</v>
      </c>
      <c r="AJ104" s="141">
        <f>AVERAGE(AI104,AH104,AF104,AE104)+0.0417563340095869%</f>
        <v>0.11711430617917677</v>
      </c>
      <c r="AK104" s="141">
        <f>AVERAGE(AJ104,AI104,AH104,AF104)+0.0417563340095869%</f>
        <v>0.11720388807843028</v>
      </c>
      <c r="AL104" s="57"/>
      <c r="AM104" s="176">
        <f>AVERAGE(AK104,AJ104,AI104,AH104)-0.25%</f>
        <v>0.11302320375075438</v>
      </c>
      <c r="AN104" s="176">
        <f>AVERAGE(AM104,AK104,AJ104,AI104)-0.25%</f>
        <v>0.11327965912485234</v>
      </c>
      <c r="AO104" s="176">
        <f>AVERAGE(AN104,AM104,AK104,AJ104)-0.25%</f>
        <v>0.11265526428330344</v>
      </c>
      <c r="AP104" s="176">
        <f>AVERAGE(AO104,AN104,AM104,AK104)-0.25%</f>
        <v>0.11154050380933511</v>
      </c>
      <c r="AQ104" s="57"/>
      <c r="AR104" s="176">
        <f>AVERAGE(AP104,AO104,AN104,AM104)-0.25%</f>
        <v>0.11012465774206132</v>
      </c>
      <c r="AS104" s="176">
        <f>AVERAGE(AR104,AP104,AO104,AN104)-0.25%</f>
        <v>0.10940002123988805</v>
      </c>
      <c r="AT104" s="176">
        <f>AVERAGE(AS104,AR104,AP104,AO104)-0.25%</f>
        <v>0.10843011176864698</v>
      </c>
      <c r="AU104" s="176">
        <f>AVERAGE(AT104,AS104,AR104,AP104)-0.25%</f>
        <v>0.10737382363998287</v>
      </c>
      <c r="AV104" s="57"/>
    </row>
    <row r="105" spans="1:48" outlineLevel="2" x14ac:dyDescent="0.25">
      <c r="A105" s="53"/>
      <c r="B105" s="122" t="s">
        <v>176</v>
      </c>
      <c r="C105" s="283"/>
      <c r="D105" s="142">
        <v>50.18</v>
      </c>
      <c r="E105" s="142">
        <v>48.53</v>
      </c>
      <c r="F105" s="142">
        <v>48.36</v>
      </c>
      <c r="G105" s="142">
        <v>49.494</v>
      </c>
      <c r="H105" s="54"/>
      <c r="I105" s="142">
        <v>44.78</v>
      </c>
      <c r="J105" s="142">
        <v>43.8</v>
      </c>
      <c r="K105" s="142">
        <v>44.05</v>
      </c>
      <c r="L105" s="142">
        <v>44.884999899999997</v>
      </c>
      <c r="M105" s="54"/>
      <c r="N105" s="142">
        <v>46.95</v>
      </c>
      <c r="O105" s="142">
        <v>46.78</v>
      </c>
      <c r="P105" s="142">
        <v>48.01</v>
      </c>
      <c r="Q105" s="142">
        <v>48.72</v>
      </c>
      <c r="R105" s="50"/>
      <c r="S105" s="142">
        <v>47.424999999999997</v>
      </c>
      <c r="T105" s="142">
        <v>46.454300000000003</v>
      </c>
      <c r="U105" s="142">
        <v>44.944000000000003</v>
      </c>
      <c r="V105" s="142">
        <v>45.825000000000003</v>
      </c>
      <c r="W105" s="50"/>
      <c r="X105" s="142">
        <f>+S105*(1+X106)</f>
        <v>43.629481108493366</v>
      </c>
      <c r="Y105" s="142">
        <f>+T105*(1+Y106)</f>
        <v>44.252521384274218</v>
      </c>
      <c r="Z105" s="142">
        <f>+U105*(1+Z106)</f>
        <v>42.88851948117432</v>
      </c>
      <c r="AA105" s="142">
        <f>+V105*(1+AA106)</f>
        <v>43.936900048021108</v>
      </c>
      <c r="AB105" s="50"/>
      <c r="AC105" s="142">
        <f>+X105*(1+AC106)</f>
        <v>42.034150789468171</v>
      </c>
      <c r="AD105" s="142">
        <f>+Y105*(1+AD106)</f>
        <v>43.115286072606445</v>
      </c>
      <c r="AE105" s="142">
        <f>+Z105*(1+AE106)</f>
        <v>42.018984936476123</v>
      </c>
      <c r="AF105" s="142">
        <f>+AA105*(1+AF106)</f>
        <v>43.325768281851737</v>
      </c>
      <c r="AG105" s="50"/>
      <c r="AH105" s="142">
        <f>+AC105*(1+AH106)</f>
        <v>41.038177464791346</v>
      </c>
      <c r="AI105" s="142">
        <f>+AD105*(1+AI106)</f>
        <v>42.232430513433918</v>
      </c>
      <c r="AJ105" s="142">
        <f>+AE105*(1+AJ106)</f>
        <v>41.213435215811131</v>
      </c>
      <c r="AK105" s="142">
        <f>+AF105*(1+AK106)</f>
        <v>42.507115419532944</v>
      </c>
      <c r="AL105" s="50"/>
      <c r="AM105" s="142">
        <f>+AH105*(1+AM106)</f>
        <v>40.09186390048464</v>
      </c>
      <c r="AN105" s="142">
        <f>+AI105*(1+AN106)</f>
        <v>41.265283049266294</v>
      </c>
      <c r="AO105" s="142">
        <f>+AJ105*(1+AO106)</f>
        <v>40.244648392068591</v>
      </c>
      <c r="AP105" s="142">
        <f>+AK105*(1+AP106)</f>
        <v>41.46184632527288</v>
      </c>
      <c r="AQ105" s="50"/>
      <c r="AR105" s="142">
        <f>+AM105*(1+AR106)</f>
        <v>39.048904511706787</v>
      </c>
      <c r="AS105" s="142">
        <f>+AN105*(1+AS106)</f>
        <v>40.161314421076646</v>
      </c>
      <c r="AT105" s="142">
        <f>+AO105*(1+AT106)</f>
        <v>39.129225381033173</v>
      </c>
      <c r="AU105" s="142">
        <f>+AP105*(1+AU106)</f>
        <v>40.269054180466902</v>
      </c>
      <c r="AV105" s="50"/>
    </row>
    <row r="106" spans="1:48" outlineLevel="2" x14ac:dyDescent="0.25">
      <c r="A106" s="53"/>
      <c r="B106" s="140" t="s">
        <v>199</v>
      </c>
      <c r="C106" s="283"/>
      <c r="D106" s="165">
        <f>+D105/52.6-1</f>
        <v>-4.600760456273767E-2</v>
      </c>
      <c r="E106" s="165">
        <f>+E105/52.88-1</f>
        <v>-8.2261724659606683E-2</v>
      </c>
      <c r="F106" s="165">
        <f>+F105/50.6-1</f>
        <v>-4.426877470355739E-2</v>
      </c>
      <c r="G106" s="165">
        <f>+G105/50.1-1</f>
        <v>-1.2095808383233542E-2</v>
      </c>
      <c r="H106" s="83"/>
      <c r="I106" s="165">
        <f>+I105/D105-1</f>
        <v>-0.10761259465922679</v>
      </c>
      <c r="J106" s="165">
        <f>+J105/E105-1</f>
        <v>-9.7465485266845286E-2</v>
      </c>
      <c r="K106" s="165">
        <f>+K105/F105-1</f>
        <v>-8.9123242349048892E-2</v>
      </c>
      <c r="L106" s="165">
        <f>+L105/G105-1</f>
        <v>-9.3122400695033747E-2</v>
      </c>
      <c r="M106" s="83"/>
      <c r="N106" s="165">
        <f>+N105/I105-1</f>
        <v>4.845913354175968E-2</v>
      </c>
      <c r="O106" s="165">
        <f>+O105/J105-1</f>
        <v>6.8036529680365332E-2</v>
      </c>
      <c r="P106" s="165">
        <f>+P105/K105-1</f>
        <v>8.9897843359818319E-2</v>
      </c>
      <c r="Q106" s="165">
        <f>+Q105/L105-1</f>
        <v>8.5440572764711176E-2</v>
      </c>
      <c r="R106" s="57"/>
      <c r="S106" s="165">
        <f>+S105/N105-1</f>
        <v>1.0117145899893432E-2</v>
      </c>
      <c r="T106" s="165">
        <f>+T105/O105-1</f>
        <v>-6.9623770842239807E-3</v>
      </c>
      <c r="U106" s="165">
        <f>+U105/P105-1</f>
        <v>-6.3861695480108227E-2</v>
      </c>
      <c r="V106" s="165">
        <f>+V105/Q105-1</f>
        <v>-5.9421182266009787E-2</v>
      </c>
      <c r="W106" s="50"/>
      <c r="X106" s="141">
        <f>AVERAGE(V106,U106,T106,S106)-5%</f>
        <v>-8.0032027232612143E-2</v>
      </c>
      <c r="Y106" s="141">
        <f>AVERAGE(X106,V106,U106,T106)+0.517266152559589%</f>
        <v>-4.739665899014265E-2</v>
      </c>
      <c r="Z106" s="141">
        <f>AVERAGE(Y106,X106,V106,U106)+1.69436323853812%</f>
        <v>-4.5734258606837011E-2</v>
      </c>
      <c r="AA106" s="141">
        <f>AVERAGE(Z106,Y106,X106,V106)+1.69436323853812%</f>
        <v>-4.1202399388519204E-2</v>
      </c>
      <c r="AB106" s="57"/>
      <c r="AC106" s="141">
        <f>AVERAGE(AA106,Z106,Y106,X106)+1.7025915644001%</f>
        <v>-3.6565420410526746E-2</v>
      </c>
      <c r="AD106" s="141">
        <f>AVERAGE(AC106,AA106,Z106,Y106)+1.7025915644001%</f>
        <v>-2.5698768705005405E-2</v>
      </c>
      <c r="AE106" s="141">
        <f>AVERAGE(AD106,AC106,AA106,Z106)+1.7025915644001%</f>
        <v>-2.0274296133721094E-2</v>
      </c>
      <c r="AF106" s="141">
        <f>AVERAGE(AE106,AD106,AC106,AA106)+1.7025915644001%</f>
        <v>-1.3909305515442113E-2</v>
      </c>
      <c r="AG106" s="57"/>
      <c r="AH106" s="141">
        <f>AVERAGE(AF106,AE106,AD106,AC106)+0.0417563340095869%</f>
        <v>-2.3694384351077971E-2</v>
      </c>
      <c r="AI106" s="141">
        <f>AVERAGE(AH106,AF106,AE106,AD106)+0.0417563340095869%</f>
        <v>-2.0476625336215779E-2</v>
      </c>
      <c r="AJ106" s="141">
        <f>AVERAGE(AI106,AH106,AF106,AE106)+0.0417563340095869%</f>
        <v>-1.9171089494018374E-2</v>
      </c>
      <c r="AK106" s="141">
        <f>AVERAGE(AJ106,AI106,AH106,AF106)+0.0417563340095869%</f>
        <v>-1.8895287834092691E-2</v>
      </c>
      <c r="AL106" s="57"/>
      <c r="AM106" s="176">
        <f>AVERAGE(AK106,AJ106,AI106,AH106)-0.25%</f>
        <v>-2.3059346753851202E-2</v>
      </c>
      <c r="AN106" s="176">
        <f>AVERAGE(AM106,AK106,AJ106,AI106)-0.25%</f>
        <v>-2.2900587354544508E-2</v>
      </c>
      <c r="AO106" s="176">
        <f>AVERAGE(AN106,AM106,AK106,AJ106)-0.25%</f>
        <v>-2.3506577859126691E-2</v>
      </c>
      <c r="AP106" s="176">
        <f>AVERAGE(AO106,AN106,AM106,AK106)-0.25%</f>
        <v>-2.4590449950403773E-2</v>
      </c>
      <c r="AQ106" s="57"/>
      <c r="AR106" s="176">
        <f>AVERAGE(AP106,AO106,AN106,AM106)-0.25%</f>
        <v>-2.6014240479481542E-2</v>
      </c>
      <c r="AS106" s="176">
        <f>AVERAGE(AR106,AP106,AO106,AN106)-0.25%</f>
        <v>-2.6752963910889126E-2</v>
      </c>
      <c r="AT106" s="176">
        <f>AVERAGE(AS106,AR106,AP106,AO106)-0.25%</f>
        <v>-2.7716058049975279E-2</v>
      </c>
      <c r="AU106" s="176">
        <f>AVERAGE(AT106,AS106,AR106,AP106)-0.25%</f>
        <v>-2.876842809768743E-2</v>
      </c>
      <c r="AV106" s="57"/>
    </row>
    <row r="107" spans="1:48" outlineLevel="2" x14ac:dyDescent="0.25">
      <c r="A107" s="53"/>
      <c r="B107" s="118" t="s">
        <v>177</v>
      </c>
      <c r="C107" s="119"/>
      <c r="D107" s="143">
        <f>+D103*D105*D61/1000</f>
        <v>574.05920000000003</v>
      </c>
      <c r="E107" s="143">
        <f>+E103*E105*E61/1000</f>
        <v>567.75732299999993</v>
      </c>
      <c r="F107" s="143">
        <f>+F103*F105*F61/1000</f>
        <v>545.965056</v>
      </c>
      <c r="G107" s="143">
        <f>+G103*G105*G61/1000</f>
        <v>593.23508400000003</v>
      </c>
      <c r="H107" s="56"/>
      <c r="I107" s="143">
        <f>+I103*I105*I61/1000</f>
        <v>692.74659999999994</v>
      </c>
      <c r="J107" s="143">
        <f>+J103*J105*J61/1000</f>
        <v>715.7883599999999</v>
      </c>
      <c r="K107" s="143">
        <f>+K103*K105*K61/1000</f>
        <v>692.06074000000001</v>
      </c>
      <c r="L107" s="143">
        <f>+L103*L105*L61/1000</f>
        <v>774.60288285672505</v>
      </c>
      <c r="M107" s="56"/>
      <c r="N107" s="143">
        <f>+N103*N105*N61/1000</f>
        <v>769.65135000000009</v>
      </c>
      <c r="O107" s="143">
        <f>+O103*O105*O61/1000</f>
        <v>814.88420999999994</v>
      </c>
      <c r="P107" s="143">
        <f>+P103*P105*P61/1000</f>
        <v>792.97156799999982</v>
      </c>
      <c r="Q107" s="143">
        <f>+Q103*Q105*Q61/1000</f>
        <v>877.20359999999994</v>
      </c>
      <c r="R107" s="56"/>
      <c r="S107" s="143">
        <f>+S103*S105*S61/1000</f>
        <v>850.18797499999994</v>
      </c>
      <c r="T107" s="143">
        <f>+T103*T105*T61/1000</f>
        <v>885.01016015999994</v>
      </c>
      <c r="U107" s="143">
        <f>+U103*U105*U61/1000</f>
        <v>806.42120320000004</v>
      </c>
      <c r="V107" s="143">
        <f>+V103*V105*V61/1000</f>
        <v>905.20413750000012</v>
      </c>
      <c r="W107" s="51"/>
      <c r="X107" s="143">
        <f>+X103*X105*X61/1000</f>
        <v>802.97642116169925</v>
      </c>
      <c r="Y107" s="143">
        <f>+Y103*Y105*Y61/1000</f>
        <v>914.82599133868348</v>
      </c>
      <c r="Z107" s="143">
        <f>+Z103*Z105*Z61/1000</f>
        <v>856.04546737166936</v>
      </c>
      <c r="AA107" s="143">
        <f>+AA103*AA105*AA61/1000</f>
        <v>937.32641989274487</v>
      </c>
      <c r="AB107" s="51"/>
      <c r="AC107" s="143">
        <f>+AC103*AC105*AC61/1000</f>
        <v>861.82028966323401</v>
      </c>
      <c r="AD107" s="143">
        <f>+AD103*AD105*AD61/1000</f>
        <v>989.74320550530831</v>
      </c>
      <c r="AE107" s="143">
        <f>+AE103*AE105*AE61/1000</f>
        <v>921.74493650941349</v>
      </c>
      <c r="AF107" s="143">
        <f>+AF103*AF105*AF61/1000</f>
        <v>1053.4967047351433</v>
      </c>
      <c r="AG107" s="51"/>
      <c r="AH107" s="143">
        <f>+AH103*AH105*AH61/1000</f>
        <v>935.63458461682717</v>
      </c>
      <c r="AI107" s="143">
        <f>+AI103*AI105*AI61/1000</f>
        <v>1081.7199287817771</v>
      </c>
      <c r="AJ107" s="143">
        <f>+AJ103*AJ105*AJ61/1000</f>
        <v>1009.9540906703105</v>
      </c>
      <c r="AK107" s="143">
        <f>+AK103*AK105*AK61/1000</f>
        <v>1154.7314160726303</v>
      </c>
      <c r="AL107" s="51"/>
      <c r="AM107" s="143">
        <f>+AM103*AM105*AM61/1000</f>
        <v>1017.3693911425536</v>
      </c>
      <c r="AN107" s="143">
        <f>+AN103*AN105*AN61/1000</f>
        <v>1176.6786056839915</v>
      </c>
      <c r="AO107" s="143">
        <f>+AO103*AO105*AO61/1000</f>
        <v>1097.3156716380859</v>
      </c>
      <c r="AP107" s="143">
        <f>+AP103*AP105*AP61/1000</f>
        <v>1251.968141564412</v>
      </c>
      <c r="AQ107" s="51"/>
      <c r="AR107" s="143">
        <f>+AR103*AR105*AR61/1000</f>
        <v>1100.02618581872</v>
      </c>
      <c r="AS107" s="143">
        <f>+AS103*AS105*AS61/1000</f>
        <v>1270.4837565513185</v>
      </c>
      <c r="AT107" s="143">
        <f>+AT103*AT105*AT61/1000</f>
        <v>1182.5867539976248</v>
      </c>
      <c r="AU107" s="143">
        <f>+AU103*AU105*AU61/1000</f>
        <v>1346.5122928399317</v>
      </c>
      <c r="AV107" s="51"/>
    </row>
    <row r="108" spans="1:48" ht="17.25" outlineLevel="1" x14ac:dyDescent="0.4">
      <c r="A108" s="53"/>
      <c r="B108" s="719" t="s">
        <v>178</v>
      </c>
      <c r="C108" s="720"/>
      <c r="D108" s="125"/>
      <c r="E108" s="125"/>
      <c r="F108" s="125"/>
      <c r="G108" s="125"/>
      <c r="H108" s="135"/>
      <c r="I108" s="125"/>
      <c r="J108" s="125"/>
      <c r="K108" s="125"/>
      <c r="L108" s="125"/>
      <c r="M108" s="135"/>
      <c r="N108" s="125"/>
      <c r="O108" s="125"/>
      <c r="P108" s="125"/>
      <c r="Q108" s="125"/>
      <c r="R108" s="135"/>
      <c r="S108" s="125"/>
      <c r="T108" s="125"/>
      <c r="U108" s="125"/>
      <c r="V108" s="125"/>
      <c r="W108" s="135"/>
      <c r="X108" s="125"/>
      <c r="Y108" s="125"/>
      <c r="Z108" s="125"/>
      <c r="AA108" s="125"/>
      <c r="AB108" s="135"/>
      <c r="AC108" s="125"/>
      <c r="AD108" s="125"/>
      <c r="AE108" s="125"/>
      <c r="AF108" s="125"/>
      <c r="AG108" s="135"/>
      <c r="AH108" s="125"/>
      <c r="AI108" s="125"/>
      <c r="AJ108" s="125"/>
      <c r="AK108" s="125"/>
      <c r="AL108" s="135"/>
      <c r="AM108" s="125"/>
      <c r="AN108" s="125"/>
      <c r="AO108" s="125"/>
      <c r="AP108" s="125"/>
      <c r="AQ108" s="135"/>
      <c r="AR108" s="125"/>
      <c r="AS108" s="125"/>
      <c r="AT108" s="125"/>
      <c r="AU108" s="125"/>
      <c r="AV108" s="135"/>
    </row>
    <row r="109" spans="1:48" outlineLevel="2" x14ac:dyDescent="0.25">
      <c r="A109" s="53"/>
      <c r="B109" s="126" t="s">
        <v>361</v>
      </c>
      <c r="C109" s="127"/>
      <c r="D109" s="128">
        <v>855</v>
      </c>
      <c r="E109" s="128">
        <v>954</v>
      </c>
      <c r="F109" s="128">
        <v>878</v>
      </c>
      <c r="G109" s="128">
        <v>868.5</v>
      </c>
      <c r="H109" s="135"/>
      <c r="I109" s="128">
        <v>2172</v>
      </c>
      <c r="J109" s="128">
        <v>2536</v>
      </c>
      <c r="K109" s="128">
        <v>2471</v>
      </c>
      <c r="L109" s="128">
        <v>2404.5990000000002</v>
      </c>
      <c r="M109" s="135"/>
      <c r="N109" s="128">
        <v>2238.1999999999998</v>
      </c>
      <c r="O109" s="128">
        <v>2662.5</v>
      </c>
      <c r="P109" s="128">
        <v>2445</v>
      </c>
      <c r="Q109" s="128">
        <v>2377</v>
      </c>
      <c r="R109" s="135"/>
      <c r="S109" s="128">
        <v>2395</v>
      </c>
      <c r="T109" s="128">
        <v>2670</v>
      </c>
      <c r="U109" s="128">
        <v>2410</v>
      </c>
      <c r="V109" s="128">
        <v>2413</v>
      </c>
      <c r="W109" s="135"/>
      <c r="X109" s="128">
        <f>+S109*(1+X110)</f>
        <v>2319.3799162311293</v>
      </c>
      <c r="Y109" s="128">
        <f>+T109*(1+Y110)</f>
        <v>2665.1697112155889</v>
      </c>
      <c r="Z109" s="128">
        <f>+U109*(1+Z110)</f>
        <v>2431.2209521929526</v>
      </c>
      <c r="AA109" s="128">
        <f>+V109*(1+AA110)</f>
        <v>2448.1946909676149</v>
      </c>
      <c r="AB109" s="135"/>
      <c r="AC109" s="128">
        <f>+X109*(1+AC110)</f>
        <v>2353.0754283312467</v>
      </c>
      <c r="AD109" s="128">
        <f>+Y109*(1+AD110)</f>
        <v>2734.6061776803804</v>
      </c>
      <c r="AE109" s="128">
        <f>+Z109*(1+AE110)</f>
        <v>2511.4971923086573</v>
      </c>
      <c r="AF109" s="128">
        <f>+AA109*(1+AF110)</f>
        <v>2543.8512411428987</v>
      </c>
      <c r="AG109" s="135"/>
      <c r="AH109" s="128">
        <f>+AC109*(1+AH110)</f>
        <v>2420.3395861465451</v>
      </c>
      <c r="AI109" s="128">
        <f>+AD109*(1+AI110)</f>
        <v>2822.3872887383991</v>
      </c>
      <c r="AJ109" s="128">
        <f>+AE109*(1+AJ110)</f>
        <v>2595.9131097653885</v>
      </c>
      <c r="AK109" s="128">
        <f>+AF109*(1+AK110)</f>
        <v>2629.7316927778006</v>
      </c>
      <c r="AL109" s="135"/>
      <c r="AM109" s="128">
        <f>+AH109*(1+AM110)</f>
        <v>2491.7744158296559</v>
      </c>
      <c r="AN109" s="128">
        <f>+AI109*(1+AN110)</f>
        <v>2906.3436292572765</v>
      </c>
      <c r="AO109" s="128">
        <f>+AJ109*(1+AO110)</f>
        <v>2671.6052352551965</v>
      </c>
      <c r="AP109" s="128">
        <f>+AK109*(1+AP110)</f>
        <v>2703.4819627617389</v>
      </c>
      <c r="AQ109" s="135"/>
      <c r="AR109" s="128">
        <f>+AM109*(1+AR110)</f>
        <v>2558.0954406059623</v>
      </c>
      <c r="AS109" s="128">
        <f>+AN109*(1+AS110)</f>
        <v>2981.5928842048879</v>
      </c>
      <c r="AT109" s="128">
        <f>+AO109*(1+AT110)</f>
        <v>2738.2019040599089</v>
      </c>
      <c r="AU109" s="128">
        <f>+AP109*(1+AU110)</f>
        <v>2768.0139014805181</v>
      </c>
      <c r="AV109" s="135"/>
    </row>
    <row r="110" spans="1:48" outlineLevel="2" x14ac:dyDescent="0.25">
      <c r="A110" s="53"/>
      <c r="B110" s="144" t="s">
        <v>200</v>
      </c>
      <c r="C110" s="127"/>
      <c r="D110" s="145">
        <f>+D109/816-1</f>
        <v>4.7794117647058876E-2</v>
      </c>
      <c r="E110" s="145">
        <f>+E109/917-1</f>
        <v>4.0348964013086075E-2</v>
      </c>
      <c r="F110" s="145">
        <f>+F109/830.5-1</f>
        <v>5.7194461167971111E-2</v>
      </c>
      <c r="G110" s="145">
        <f>+G109/850-1</f>
        <v>2.1764705882352908E-2</v>
      </c>
      <c r="H110" s="146"/>
      <c r="I110" s="145">
        <f>+I109/D109-1</f>
        <v>1.5403508771929824</v>
      </c>
      <c r="J110" s="145">
        <f>+J109/E109-1</f>
        <v>1.658280922431866</v>
      </c>
      <c r="K110" s="145">
        <f>+K109/F109-1</f>
        <v>1.8143507972665147</v>
      </c>
      <c r="L110" s="145">
        <f>+L109/G109-1</f>
        <v>1.768680483592401</v>
      </c>
      <c r="M110" s="146"/>
      <c r="N110" s="145">
        <f>+N109/I109-1</f>
        <v>3.0478821362799113E-2</v>
      </c>
      <c r="O110" s="145">
        <f>+O109/J109-1</f>
        <v>4.9881703470031624E-2</v>
      </c>
      <c r="P110" s="145">
        <f>+P109/K109-1</f>
        <v>-1.0522055847834832E-2</v>
      </c>
      <c r="Q110" s="145">
        <f>+Q109/L109-1</f>
        <v>-1.1477589402640542E-2</v>
      </c>
      <c r="R110" s="146"/>
      <c r="S110" s="145">
        <f>+S109/N109-1</f>
        <v>7.0056295237244326E-2</v>
      </c>
      <c r="T110" s="145">
        <f>+T109/O109-1</f>
        <v>2.8169014084507005E-3</v>
      </c>
      <c r="U110" s="145">
        <f>+U109/P109-1</f>
        <v>-1.4314928425357865E-2</v>
      </c>
      <c r="V110" s="145">
        <f>+V109/Q109-1</f>
        <v>1.5145140933950252E-2</v>
      </c>
      <c r="W110" s="146"/>
      <c r="X110" s="141">
        <f>AVERAGE(V110,U110,T110,S110)-5%</f>
        <v>-3.1574147711428149E-2</v>
      </c>
      <c r="Y110" s="141">
        <f>AVERAGE(X110,V110,U110,T110)+0.517266152559589%</f>
        <v>-1.8090969230003754E-3</v>
      </c>
      <c r="Z110" s="141">
        <f>AVERAGE(Y110,X110,V110,U110)+1.69436323853812%</f>
        <v>8.8053743539221654E-3</v>
      </c>
      <c r="AA110" s="141">
        <f>AVERAGE(Z110,Y110,X110,V110)+1.69436323853812%</f>
        <v>1.4585450048742173E-2</v>
      </c>
      <c r="AB110" s="146"/>
      <c r="AC110" s="141">
        <f>AVERAGE(AA110,Z110,Y110,X110)+1.7025915644001%</f>
        <v>1.4527810586059954E-2</v>
      </c>
      <c r="AD110" s="141">
        <f>AVERAGE(AC110,AA110,Z110,Y110)+1.7025915644001%</f>
        <v>2.6053300160431982E-2</v>
      </c>
      <c r="AE110" s="141">
        <f>AVERAGE(AD110,AC110,AA110,Z110)+1.7025915644001%</f>
        <v>3.3018899431290064E-2</v>
      </c>
      <c r="AF110" s="141">
        <f>AVERAGE(AE110,AD110,AC110,AA110)+1.7025915644001%</f>
        <v>3.9072280700632046E-2</v>
      </c>
      <c r="AG110" s="146"/>
      <c r="AH110" s="141">
        <f>AVERAGE(AF110,AE110,AD110,AC110)+0.0417563340095869%</f>
        <v>2.8585636059699378E-2</v>
      </c>
      <c r="AI110" s="141">
        <f>AVERAGE(AH110,AF110,AE110,AD110)+0.0417563340095869%</f>
        <v>3.2100092428109239E-2</v>
      </c>
      <c r="AJ110" s="141">
        <f>AVERAGE(AI110,AH110,AF110,AE110)+0.0417563340095869%</f>
        <v>3.3611790495028555E-2</v>
      </c>
      <c r="AK110" s="141">
        <f>AVERAGE(AJ110,AI110,AH110,AF110)+0.0417563340095869%</f>
        <v>3.3760013260963173E-2</v>
      </c>
      <c r="AL110" s="146"/>
      <c r="AM110" s="176">
        <f>AVERAGE(AK110,AJ110,AI110,AH110)-0.25%</f>
        <v>2.9514383060950087E-2</v>
      </c>
      <c r="AN110" s="176">
        <f>AVERAGE(AM110,AK110,AJ110,AI110)-0.25%</f>
        <v>2.9746569811262762E-2</v>
      </c>
      <c r="AO110" s="176">
        <f>AVERAGE(AN110,AM110,AK110,AJ110)-0.25%</f>
        <v>2.9158189157051147E-2</v>
      </c>
      <c r="AP110" s="176">
        <f>AVERAGE(AO110,AN110,AM110,AK110)-0.25%</f>
        <v>2.8044788822556795E-2</v>
      </c>
      <c r="AQ110" s="146"/>
      <c r="AR110" s="176">
        <f>AVERAGE(AP110,AO110,AN110,AM110)-0.25%</f>
        <v>2.6615982712955198E-2</v>
      </c>
      <c r="AS110" s="176">
        <f>AVERAGE(AR110,AP110,AO110,AN110)-0.25%</f>
        <v>2.5891382625956479E-2</v>
      </c>
      <c r="AT110" s="176">
        <f>AVERAGE(AS110,AR110,AP110,AO110)-0.25%</f>
        <v>2.4927585829629905E-2</v>
      </c>
      <c r="AU110" s="176">
        <f>AVERAGE(AT110,AS110,AR110,AP110)-0.25%</f>
        <v>2.3869934997774591E-2</v>
      </c>
      <c r="AV110" s="146"/>
    </row>
    <row r="111" spans="1:48" outlineLevel="2" x14ac:dyDescent="0.25">
      <c r="A111" s="53"/>
      <c r="B111" s="126" t="s">
        <v>179</v>
      </c>
      <c r="C111" s="127"/>
      <c r="D111" s="129">
        <v>5.88</v>
      </c>
      <c r="E111" s="129">
        <v>5.59</v>
      </c>
      <c r="F111" s="129">
        <v>5.47</v>
      </c>
      <c r="G111" s="129">
        <v>5.6550000000000002</v>
      </c>
      <c r="H111" s="135"/>
      <c r="I111" s="129">
        <v>7.19</v>
      </c>
      <c r="J111" s="129">
        <v>6.81</v>
      </c>
      <c r="K111" s="129">
        <v>6.74</v>
      </c>
      <c r="L111" s="129">
        <v>6.9759900000000004</v>
      </c>
      <c r="M111" s="135"/>
      <c r="N111" s="129">
        <v>7.18</v>
      </c>
      <c r="O111" s="129">
        <v>7.24</v>
      </c>
      <c r="P111" s="129">
        <v>7.44</v>
      </c>
      <c r="Q111" s="129">
        <v>7.77</v>
      </c>
      <c r="R111" s="135"/>
      <c r="S111" s="129">
        <v>7.24</v>
      </c>
      <c r="T111" s="129">
        <v>7.15</v>
      </c>
      <c r="U111" s="129">
        <v>7.2140000000000004</v>
      </c>
      <c r="V111" s="129">
        <v>7.19</v>
      </c>
      <c r="W111" s="135"/>
      <c r="X111" s="129">
        <f>+S111*(1+X112)</f>
        <v>6.6805347702843214</v>
      </c>
      <c r="Y111" s="129">
        <f>+T111*(1+Y112)</f>
        <v>6.8389090146955533</v>
      </c>
      <c r="Z111" s="129">
        <f>+U111*(1+Z112)</f>
        <v>6.9289905127498468</v>
      </c>
      <c r="AA111" s="129">
        <f>+V111*(1+AA112)</f>
        <v>6.8895248543387115</v>
      </c>
      <c r="AB111" s="135"/>
      <c r="AC111" s="129">
        <f>+X111*(1+AC112)</f>
        <v>6.4567730955033005</v>
      </c>
      <c r="AD111" s="129">
        <f>+Y111*(1+AD112)</f>
        <v>6.6846938845282686</v>
      </c>
      <c r="AE111" s="129">
        <f>+Z111*(1+AE112)</f>
        <v>6.8090512234025145</v>
      </c>
      <c r="AF111" s="129">
        <f>+AA111*(1+AF112)</f>
        <v>6.8085022144702707</v>
      </c>
      <c r="AG111" s="135"/>
      <c r="AH111" s="129">
        <f>+AC111*(1+AH112)</f>
        <v>6.322078297394075</v>
      </c>
      <c r="AI111" s="129">
        <f>+AD111*(1+AI112)</f>
        <v>6.5663573106458681</v>
      </c>
      <c r="AJ111" s="129">
        <f>+AE111*(1+AJ112)</f>
        <v>6.6967641548818984</v>
      </c>
      <c r="AK111" s="129">
        <f>+AF111*(1+AK112)</f>
        <v>6.697618111757345</v>
      </c>
      <c r="AL111" s="135"/>
      <c r="AM111" s="129">
        <f>+AH111*(1+AM112)</f>
        <v>6.1935178841063525</v>
      </c>
      <c r="AN111" s="129">
        <f>+AI111*(1+AN112)</f>
        <v>6.4336926897674864</v>
      </c>
      <c r="AO111" s="129">
        <f>+AJ111*(1+AO112)</f>
        <v>6.5572775674402157</v>
      </c>
      <c r="AP111" s="129">
        <f>+AK111*(1+AP112)</f>
        <v>6.5508500040113153</v>
      </c>
      <c r="AQ111" s="135"/>
      <c r="AR111" s="129">
        <f>+AM111*(1+AR112)</f>
        <v>6.0490830841479299</v>
      </c>
      <c r="AS111" s="129">
        <f>+AN111*(1+AS112)</f>
        <v>6.2788555262737473</v>
      </c>
      <c r="AT111" s="129">
        <f>+AO111*(1+AT112)</f>
        <v>6.3931335711305843</v>
      </c>
      <c r="AU111" s="129">
        <f>+AP111*(1+AU112)</f>
        <v>6.3799829669133032</v>
      </c>
      <c r="AV111" s="135"/>
    </row>
    <row r="112" spans="1:48" outlineLevel="2" x14ac:dyDescent="0.25">
      <c r="A112" s="53"/>
      <c r="B112" s="144" t="s">
        <v>199</v>
      </c>
      <c r="C112" s="127"/>
      <c r="D112" s="145">
        <f>+D111/7.1-1</f>
        <v>-0.17183098591549295</v>
      </c>
      <c r="E112" s="145">
        <f>+E111/6.63-1</f>
        <v>-0.15686274509803921</v>
      </c>
      <c r="F112" s="145">
        <f>+F111/6.28-1</f>
        <v>-0.12898089171974525</v>
      </c>
      <c r="G112" s="145">
        <f>+G111/5.96-1</f>
        <v>-5.1174496644295298E-2</v>
      </c>
      <c r="H112" s="146"/>
      <c r="I112" s="145">
        <f>+I111/D111-1</f>
        <v>0.2227891156462587</v>
      </c>
      <c r="J112" s="145">
        <f>+J111/E111-1</f>
        <v>0.21824686940965998</v>
      </c>
      <c r="K112" s="145">
        <f>+K111/F111-1</f>
        <v>0.23217550274223053</v>
      </c>
      <c r="L112" s="145">
        <f>+L111/G111-1</f>
        <v>0.23359681697612733</v>
      </c>
      <c r="M112" s="146"/>
      <c r="N112" s="145">
        <f>+N111/I111-1</f>
        <v>-1.3908205841447474E-3</v>
      </c>
      <c r="O112" s="145">
        <f>+O111/J111-1</f>
        <v>6.3142437591776845E-2</v>
      </c>
      <c r="P112" s="145">
        <f>+P111/K111-1</f>
        <v>0.10385756676557856</v>
      </c>
      <c r="Q112" s="145">
        <f>+Q111/L111-1</f>
        <v>0.11382040398567073</v>
      </c>
      <c r="R112" s="146"/>
      <c r="S112" s="145">
        <f>+S111/N111-1</f>
        <v>8.3565459610028814E-3</v>
      </c>
      <c r="T112" s="145">
        <f>+T111/O111-1</f>
        <v>-1.2430939226519278E-2</v>
      </c>
      <c r="U112" s="145">
        <f>+U111/P111-1</f>
        <v>-3.0376344086021523E-2</v>
      </c>
      <c r="V112" s="145">
        <f>+V111/Q111-1</f>
        <v>-7.4646074646074534E-2</v>
      </c>
      <c r="W112" s="146"/>
      <c r="X112" s="141">
        <f>AVERAGE(V112,U112,T112,S112)-5%</f>
        <v>-7.7274202999403116E-2</v>
      </c>
      <c r="Y112" s="141">
        <f>AVERAGE(X112,V112,U112,T112)+0.517266152559589%</f>
        <v>-4.3509228713908728E-2</v>
      </c>
      <c r="Z112" s="141">
        <f>AVERAGE(Y112,X112,V112,U112)+1.69436323853812%</f>
        <v>-3.9507830225970778E-2</v>
      </c>
      <c r="AA112" s="141">
        <f>AVERAGE(Z112,Y112,X112,V112)+1.69436323853812%</f>
        <v>-4.1790701760958088E-2</v>
      </c>
      <c r="AB112" s="146"/>
      <c r="AC112" s="141">
        <f>AVERAGE(AA112,Z112,Y112,X112)+1.7025915644001%</f>
        <v>-3.3494575281059182E-2</v>
      </c>
      <c r="AD112" s="141">
        <f>AVERAGE(AC112,AA112,Z112,Y112)+1.7025915644001%</f>
        <v>-2.2549668351473193E-2</v>
      </c>
      <c r="AE112" s="141">
        <f>AVERAGE(AD112,AC112,AA112,Z112)+1.7025915644001%</f>
        <v>-1.7309778260864307E-2</v>
      </c>
      <c r="AF112" s="141">
        <f>AVERAGE(AE112,AD112,AC112,AA112)+1.7025915644001%</f>
        <v>-1.1760265269587691E-2</v>
      </c>
      <c r="AG112" s="146"/>
      <c r="AH112" s="141">
        <f>AVERAGE(AF112,AE112,AD112,AC112)+0.0417563340095869%</f>
        <v>-2.0861008450650226E-2</v>
      </c>
      <c r="AI112" s="141">
        <f>AVERAGE(AH112,AF112,AE112,AD112)+0.0417563340095869%</f>
        <v>-1.7702616743047985E-2</v>
      </c>
      <c r="AJ112" s="141">
        <f>AVERAGE(AI112,AH112,AF112,AE112)+0.0417563340095869%</f>
        <v>-1.6490853840941688E-2</v>
      </c>
      <c r="AK112" s="141">
        <f>AVERAGE(AJ112,AI112,AH112,AF112)+0.0417563340095869%</f>
        <v>-1.6286122735961032E-2</v>
      </c>
      <c r="AL112" s="146"/>
      <c r="AM112" s="176">
        <f>AVERAGE(AK112,AJ112,AI112,AH112)-0.25%</f>
        <v>-2.0335150442650232E-2</v>
      </c>
      <c r="AN112" s="176">
        <f>AVERAGE(AM112,AK112,AJ112,AI112)-0.25%</f>
        <v>-2.0203685940650234E-2</v>
      </c>
      <c r="AO112" s="176">
        <f>AVERAGE(AN112,AM112,AK112,AJ112)-0.25%</f>
        <v>-2.0828953240050796E-2</v>
      </c>
      <c r="AP112" s="176">
        <f>AVERAGE(AO112,AN112,AM112,AK112)-0.25%</f>
        <v>-2.1913478089828072E-2</v>
      </c>
      <c r="AQ112" s="146"/>
      <c r="AR112" s="176">
        <f>AVERAGE(AP112,AO112,AN112,AM112)-0.25%</f>
        <v>-2.3320316928294834E-2</v>
      </c>
      <c r="AS112" s="176">
        <f>AVERAGE(AR112,AP112,AO112,AN112)-0.25%</f>
        <v>-2.4066608549705985E-2</v>
      </c>
      <c r="AT112" s="176">
        <f>AVERAGE(AS112,AR112,AP112,AO112)-0.25%</f>
        <v>-2.5032339201969921E-2</v>
      </c>
      <c r="AU112" s="176">
        <f>AVERAGE(AT112,AS112,AR112,AP112)-0.25%</f>
        <v>-2.6083185692449704E-2</v>
      </c>
      <c r="AV112" s="146"/>
    </row>
    <row r="113" spans="1:48" ht="15.75" outlineLevel="2" thickBot="1" x14ac:dyDescent="0.3">
      <c r="A113" s="53"/>
      <c r="B113" s="134" t="s">
        <v>180</v>
      </c>
      <c r="C113" s="133"/>
      <c r="D113" s="148">
        <f>+D109*D111*D61/1000</f>
        <v>326.78100000000001</v>
      </c>
      <c r="E113" s="148">
        <f>+E109*E111*E61/1000</f>
        <v>335.97017999999997</v>
      </c>
      <c r="F113" s="148">
        <f>+F109*F111*F61/1000</f>
        <v>302.56758000000002</v>
      </c>
      <c r="G113" s="148">
        <f>+G109*G111*G61/1000</f>
        <v>319.23888750000003</v>
      </c>
      <c r="H113" s="137"/>
      <c r="I113" s="148">
        <f>+I109*I111*I61/1000</f>
        <v>1015.0842000000001</v>
      </c>
      <c r="J113" s="148">
        <f>+J109*J111*J61/1000</f>
        <v>1088.02008</v>
      </c>
      <c r="K113" s="148">
        <f>+K109*K111*K61/1000</f>
        <v>1032.5814800000001</v>
      </c>
      <c r="L113" s="148">
        <f>+L109*L111*L61/1000</f>
        <v>1090.3398075706502</v>
      </c>
      <c r="M113" s="137"/>
      <c r="N113" s="148">
        <f>+N109*N111*N61/1000</f>
        <v>1044.5679399999999</v>
      </c>
      <c r="O113" s="148">
        <f>+O109*O111*O61/1000</f>
        <v>1214.4195</v>
      </c>
      <c r="P113" s="148">
        <f>+P109*P111*P61/1000</f>
        <v>1127.8295999999998</v>
      </c>
      <c r="Q113" s="148">
        <f>+Q109*Q111*Q61/1000</f>
        <v>1200.5038499999998</v>
      </c>
      <c r="R113" s="137"/>
      <c r="S113" s="148">
        <f>+S109*S111*S61/1000</f>
        <v>1127.087</v>
      </c>
      <c r="T113" s="148">
        <f>+T109*T111*T61/1000</f>
        <v>1202.7014999999999</v>
      </c>
      <c r="U113" s="148">
        <f>+U109*U111*U61/1000</f>
        <v>1077.91588</v>
      </c>
      <c r="V113" s="148">
        <f>+V109*V111*V61/1000</f>
        <v>1127.7155500000001</v>
      </c>
      <c r="W113" s="137"/>
      <c r="X113" s="148">
        <f>+X109*X111*X61/1000</f>
        <v>991.66068325639651</v>
      </c>
      <c r="Y113" s="148">
        <f>+Y109*Y111*Y61/1000</f>
        <v>1148.2917493147274</v>
      </c>
      <c r="Z113" s="148">
        <f>+Z109*Z111*Z61/1000</f>
        <v>1061.292135465048</v>
      </c>
      <c r="AA113" s="148">
        <f>+AA109*AA111*AA61/1000</f>
        <v>1079.4814829876136</v>
      </c>
      <c r="AB113" s="137"/>
      <c r="AC113" s="148">
        <f>+AC109*AC111*AC61/1000</f>
        <v>987.56281762704134</v>
      </c>
      <c r="AD113" s="148">
        <f>+AD109*AD111*AD61/1000</f>
        <v>1151.6403271295953</v>
      </c>
      <c r="AE113" s="148">
        <f>+AE109*AE111*AE61/1000</f>
        <v>1060.2566078513971</v>
      </c>
      <c r="AF113" s="148">
        <f>+AF109*AF111*AF61/1000</f>
        <v>1125.7880925592842</v>
      </c>
      <c r="AG113" s="137"/>
      <c r="AH113" s="148">
        <f>+AH109*AH111*AH61/1000</f>
        <v>994.60246404355394</v>
      </c>
      <c r="AI113" s="148">
        <f>+AI109*AI111*AI61/1000</f>
        <v>1167.5666146335254</v>
      </c>
      <c r="AJ113" s="148">
        <f>+AJ109*AJ111*AJ61/1000</f>
        <v>1077.821507485221</v>
      </c>
      <c r="AK113" s="148">
        <f>+AK109*AK111*AK61/1000</f>
        <v>1144.8410099497085</v>
      </c>
      <c r="AL113" s="137"/>
      <c r="AM113" s="148">
        <f>+AM109*AM111*AM61/1000</f>
        <v>1003.1352114939762</v>
      </c>
      <c r="AN113" s="148">
        <f>+AN109*AN111*AN61/1000</f>
        <v>1178.0068709748052</v>
      </c>
      <c r="AO113" s="148">
        <f>+AO109*AO111*AO61/1000</f>
        <v>1086.1443388480739</v>
      </c>
      <c r="AP113" s="148">
        <f>+AP109*AP111*AP61/1000</f>
        <v>1151.1568137291465</v>
      </c>
      <c r="AQ113" s="137"/>
      <c r="AR113" s="148">
        <f>+AR109*AR111*AR61/1000</f>
        <v>1005.8185707313555</v>
      </c>
      <c r="AS113" s="148">
        <f>+AS109*AS111*AS61/1000</f>
        <v>1179.4224303595656</v>
      </c>
      <c r="AT113" s="148">
        <f>+AT109*AT111*AT61/1000</f>
        <v>1085.3528120775036</v>
      </c>
      <c r="AU113" s="148">
        <f>+AU109*AU111*AU61/1000</f>
        <v>1147.8923003356213</v>
      </c>
      <c r="AV113" s="137"/>
    </row>
    <row r="114" spans="1:48" ht="17.25" outlineLevel="1" x14ac:dyDescent="0.4">
      <c r="A114" s="53"/>
      <c r="B114" s="721" t="s">
        <v>181</v>
      </c>
      <c r="C114" s="722"/>
      <c r="D114" s="265"/>
      <c r="E114" s="265"/>
      <c r="F114" s="265"/>
      <c r="G114" s="265"/>
      <c r="H114" s="54"/>
      <c r="I114" s="265"/>
      <c r="J114" s="265"/>
      <c r="K114" s="265"/>
      <c r="L114" s="265"/>
      <c r="M114" s="54"/>
      <c r="N114" s="265"/>
      <c r="O114" s="265"/>
      <c r="P114" s="265"/>
      <c r="Q114" s="265"/>
      <c r="R114" s="50"/>
      <c r="S114" s="132"/>
      <c r="T114" s="132"/>
      <c r="U114" s="132"/>
      <c r="V114" s="132"/>
      <c r="W114" s="50"/>
      <c r="X114" s="132"/>
      <c r="Y114" s="132"/>
      <c r="Z114" s="132"/>
      <c r="AA114" s="132"/>
      <c r="AB114" s="50"/>
      <c r="AC114" s="132"/>
      <c r="AD114" s="132"/>
      <c r="AE114" s="132"/>
      <c r="AF114" s="132"/>
      <c r="AG114" s="50"/>
      <c r="AH114" s="132"/>
      <c r="AI114" s="132"/>
      <c r="AJ114" s="132"/>
      <c r="AK114" s="132"/>
      <c r="AL114" s="50"/>
      <c r="AM114" s="132"/>
      <c r="AN114" s="132"/>
      <c r="AO114" s="132"/>
      <c r="AP114" s="132"/>
      <c r="AQ114" s="50"/>
      <c r="AR114" s="132"/>
      <c r="AS114" s="132"/>
      <c r="AT114" s="132"/>
      <c r="AU114" s="132"/>
      <c r="AV114" s="50"/>
    </row>
    <row r="115" spans="1:48" outlineLevel="2" x14ac:dyDescent="0.25">
      <c r="A115" s="53"/>
      <c r="B115" s="122" t="s">
        <v>362</v>
      </c>
      <c r="C115" s="283"/>
      <c r="D115" s="261">
        <v>7277.5</v>
      </c>
      <c r="E115" s="261">
        <v>8212.5</v>
      </c>
      <c r="F115" s="261">
        <v>8340.4</v>
      </c>
      <c r="G115" s="261">
        <v>8885.4</v>
      </c>
      <c r="H115" s="54"/>
      <c r="I115" s="261">
        <v>8066.5</v>
      </c>
      <c r="J115" s="261">
        <v>8177.4</v>
      </c>
      <c r="K115" s="261">
        <v>8458.4</v>
      </c>
      <c r="L115" s="261">
        <v>8045.4</v>
      </c>
      <c r="M115" s="54"/>
      <c r="N115" s="261">
        <v>7727</v>
      </c>
      <c r="O115" s="261">
        <v>8474.5</v>
      </c>
      <c r="P115" s="261">
        <v>8757.4</v>
      </c>
      <c r="Q115" s="261">
        <v>8512</v>
      </c>
      <c r="R115" s="50"/>
      <c r="S115" s="261">
        <v>8309</v>
      </c>
      <c r="T115" s="123">
        <v>8917</v>
      </c>
      <c r="U115" s="123">
        <v>8905</v>
      </c>
      <c r="V115" s="123">
        <v>8202</v>
      </c>
      <c r="W115" s="50"/>
      <c r="X115" s="123">
        <f>+S115*(1+X116)</f>
        <v>8533.2825934057637</v>
      </c>
      <c r="Y115" s="123">
        <f>+T115*(1+Y116)</f>
        <v>8916.204925678976</v>
      </c>
      <c r="Z115" s="123">
        <f>+U115*(1+Z116)</f>
        <v>8787.7628046047157</v>
      </c>
      <c r="AA115" s="123">
        <f>+V115*(1+AA116)</f>
        <v>8032.4627547416776</v>
      </c>
      <c r="AB115" s="50"/>
      <c r="AC115" s="123">
        <f>+X115*(1+AC116)</f>
        <v>8518.4944391464123</v>
      </c>
      <c r="AD115" s="123">
        <f>+Y115*(1+AD116)</f>
        <v>8836.7220507235434</v>
      </c>
      <c r="AE115" s="123">
        <f>+Z115*(1+AE116)</f>
        <v>8690.036333864904</v>
      </c>
      <c r="AF115" s="123">
        <f>+AA115*(1+AF116)</f>
        <v>7947.2415308690279</v>
      </c>
      <c r="AG115" s="50"/>
      <c r="AH115" s="123">
        <f>+AC115*(1+AH116)</f>
        <v>8428.2457351860903</v>
      </c>
      <c r="AI115" s="123">
        <f>+AD115*(1+AI116)</f>
        <v>8723.5253688920748</v>
      </c>
      <c r="AJ115" s="123">
        <f>+AE115*(1+AJ116)</f>
        <v>8570.2559285497373</v>
      </c>
      <c r="AK115" s="123">
        <f>+AF115*(1+AK116)</f>
        <v>7832.4088641740691</v>
      </c>
      <c r="AL115" s="50"/>
      <c r="AM115" s="123">
        <f>+AH115*(1+AM116)</f>
        <v>8298.3722204777459</v>
      </c>
      <c r="AN115" s="123">
        <f>+AI115*(1+AN116)</f>
        <v>8578.6011265795278</v>
      </c>
      <c r="AO115" s="123">
        <f>+AJ115*(1+AO116)</f>
        <v>8419.7292898260876</v>
      </c>
      <c r="AP115" s="123">
        <f>+AK115*(1+AP116)</f>
        <v>7687.4396467033876</v>
      </c>
      <c r="AQ115" s="50"/>
      <c r="AR115" s="123">
        <f>+AM115*(1+AR116)</f>
        <v>8136.3566876243594</v>
      </c>
      <c r="AS115" s="123">
        <f>+AN115*(1+AS116)</f>
        <v>8402.2904008551031</v>
      </c>
      <c r="AT115" s="123">
        <f>+AO115*(1+AT116)</f>
        <v>8238.3916936728947</v>
      </c>
      <c r="AU115" s="123">
        <f>+AP115*(1+AU116)</f>
        <v>7514.2372569563286</v>
      </c>
      <c r="AV115" s="50"/>
    </row>
    <row r="116" spans="1:48" outlineLevel="2" x14ac:dyDescent="0.25">
      <c r="A116" s="53"/>
      <c r="B116" s="140" t="s">
        <v>200</v>
      </c>
      <c r="C116" s="283"/>
      <c r="D116" s="165">
        <f>+D115/7318-1</f>
        <v>-5.5342989887947613E-3</v>
      </c>
      <c r="E116" s="165">
        <f>+E115/8039-1</f>
        <v>2.1582286354024038E-2</v>
      </c>
      <c r="F116" s="165">
        <f>+F115/8145-1</f>
        <v>2.3990178023327147E-2</v>
      </c>
      <c r="G116" s="165">
        <f>+G115/7836-1</f>
        <v>0.13392036753445624</v>
      </c>
      <c r="H116" s="83"/>
      <c r="I116" s="165">
        <f>+I115/D115-1</f>
        <v>0.10841635176915143</v>
      </c>
      <c r="J116" s="165">
        <f>+J115/E115-1</f>
        <v>-4.2739726027397618E-3</v>
      </c>
      <c r="K116" s="165">
        <f>+K115/F115-1</f>
        <v>1.4148002493885148E-2</v>
      </c>
      <c r="L116" s="165">
        <f>+L115/G115-1</f>
        <v>-9.4537105814031963E-2</v>
      </c>
      <c r="M116" s="83"/>
      <c r="N116" s="165">
        <f>+N115/I115-1</f>
        <v>-4.2087646438976001E-2</v>
      </c>
      <c r="O116" s="165">
        <f>+O115/J115-1</f>
        <v>3.6331841416587185E-2</v>
      </c>
      <c r="P116" s="165">
        <f>+P115/K115-1</f>
        <v>3.5349475078028991E-2</v>
      </c>
      <c r="Q116" s="165">
        <f>+Q115/L115-1</f>
        <v>5.7995873418350996E-2</v>
      </c>
      <c r="R116" s="57"/>
      <c r="S116" s="165">
        <f>+S115/N115-1</f>
        <v>7.532030542254442E-2</v>
      </c>
      <c r="T116" s="165">
        <f>+T115/O115-1</f>
        <v>5.2215469939229431E-2</v>
      </c>
      <c r="U116" s="165">
        <f>+U115/P115-1</f>
        <v>1.685431749149302E-2</v>
      </c>
      <c r="V116" s="165">
        <f>+V115/Q115-1</f>
        <v>-3.6419172932330879E-2</v>
      </c>
      <c r="W116" s="57"/>
      <c r="X116" s="141">
        <f>AVERAGE(V116,U116,T116,S116)</f>
        <v>2.6992729980233998E-2</v>
      </c>
      <c r="Y116" s="141">
        <f>AVERAGE(X116,V116,U116,T116)-1.5%</f>
        <v>-8.9163880343606783E-5</v>
      </c>
      <c r="Z116" s="141">
        <f>AVERAGE(Y116,X116,V116,U116)-1.5%</f>
        <v>-1.3165322335236866E-2</v>
      </c>
      <c r="AA116" s="141">
        <f>AVERAGE(Z116,Y116,X116,V116)-1.5%</f>
        <v>-2.067023229191934E-2</v>
      </c>
      <c r="AB116" s="57"/>
      <c r="AC116" s="141">
        <f>AVERAGE(AA116,Z116,Y116,X116)</f>
        <v>-1.7329971318164536E-3</v>
      </c>
      <c r="AD116" s="141">
        <f>AVERAGE(AC116,AA116,Z116,Y116)</f>
        <v>-8.9144289098290665E-3</v>
      </c>
      <c r="AE116" s="141">
        <f>AVERAGE(AD116,AC116,AA116,Z116)</f>
        <v>-1.1120745167200432E-2</v>
      </c>
      <c r="AF116" s="141">
        <f>AVERAGE(AE116,AD116,AC116,AA116)</f>
        <v>-1.0609600875191322E-2</v>
      </c>
      <c r="AG116" s="57"/>
      <c r="AH116" s="176">
        <f>AVERAGE(AF116,AE116,AD116,AC116)-0.25%</f>
        <v>-1.059444302100932E-2</v>
      </c>
      <c r="AI116" s="176">
        <f>AVERAGE(AH116,AF116,AE116,AD116)-0.25%</f>
        <v>-1.2809804493307535E-2</v>
      </c>
      <c r="AJ116" s="176">
        <f>AVERAGE(AI116,AH116,AF116,AE116)-0.25%</f>
        <v>-1.3783648389177153E-2</v>
      </c>
      <c r="AK116" s="176">
        <f>AVERAGE(AJ116,AI116,AH116,AF116)-0.25%</f>
        <v>-1.4449374194671334E-2</v>
      </c>
      <c r="AL116" s="57"/>
      <c r="AM116" s="176">
        <f>AVERAGE(AK116,AJ116,AI116,AH116)-0.25%</f>
        <v>-1.5409317524541336E-2</v>
      </c>
      <c r="AN116" s="176">
        <f>AVERAGE(AM116,AK116,AJ116,AI116)-0.25%</f>
        <v>-1.6613036150424337E-2</v>
      </c>
      <c r="AO116" s="176">
        <f>AVERAGE(AN116,AM116,AK116,AJ116)-0.25%</f>
        <v>-1.756384406470354E-2</v>
      </c>
      <c r="AP116" s="176">
        <f>AVERAGE(AO116,AN116,AM116,AK116)-0.25%</f>
        <v>-1.8508892983585136E-2</v>
      </c>
      <c r="AQ116" s="57"/>
      <c r="AR116" s="176">
        <f>AVERAGE(AP116,AO116,AN116,AM116)-0.25%</f>
        <v>-1.9523772680813584E-2</v>
      </c>
      <c r="AS116" s="176">
        <f>AVERAGE(AR116,AP116,AO116,AN116)-0.25%</f>
        <v>-2.055238646988165E-2</v>
      </c>
      <c r="AT116" s="176">
        <f>AVERAGE(AS116,AR116,AP116,AO116)-0.25%</f>
        <v>-2.1537224049745975E-2</v>
      </c>
      <c r="AU116" s="176">
        <f>AVERAGE(AT116,AS116,AR116,AP116)-0.25%</f>
        <v>-2.2530569046006584E-2</v>
      </c>
      <c r="AV116" s="57"/>
    </row>
    <row r="117" spans="1:48" outlineLevel="2" x14ac:dyDescent="0.25">
      <c r="A117" s="53"/>
      <c r="B117" s="122" t="s">
        <v>182</v>
      </c>
      <c r="C117" s="283"/>
      <c r="D117" s="142">
        <v>1.212</v>
      </c>
      <c r="E117" s="142">
        <v>1.1180000000000001</v>
      </c>
      <c r="F117" s="142">
        <v>1.232</v>
      </c>
      <c r="G117" s="142">
        <v>1.1830000000000001</v>
      </c>
      <c r="H117" s="54"/>
      <c r="I117" s="142">
        <v>1.175</v>
      </c>
      <c r="J117" s="142">
        <v>1.19</v>
      </c>
      <c r="K117" s="142">
        <v>1.272</v>
      </c>
      <c r="L117" s="142">
        <v>1.21</v>
      </c>
      <c r="M117" s="54"/>
      <c r="N117" s="142">
        <v>1.22</v>
      </c>
      <c r="O117" s="142">
        <v>1.2889999999999999</v>
      </c>
      <c r="P117" s="142">
        <v>1.361</v>
      </c>
      <c r="Q117" s="142">
        <v>1.367</v>
      </c>
      <c r="R117" s="50"/>
      <c r="S117" s="142">
        <v>1.35</v>
      </c>
      <c r="T117" s="142">
        <v>1.41</v>
      </c>
      <c r="U117" s="142">
        <v>1.399</v>
      </c>
      <c r="V117" s="142">
        <v>1.371</v>
      </c>
      <c r="W117" s="50"/>
      <c r="X117" s="142">
        <f>+S117*(1+X118)</f>
        <v>1.4280554330592488</v>
      </c>
      <c r="Y117" s="142">
        <f>+T117*(1+Y118)</f>
        <v>1.4531942288619606</v>
      </c>
      <c r="Z117" s="142">
        <f>+U117*(1+Z118)</f>
        <v>1.4197401072655773</v>
      </c>
      <c r="AA117" s="142">
        <f>+V117*(1+AA118)</f>
        <v>1.3868364591600844</v>
      </c>
      <c r="AB117" s="50"/>
      <c r="AC117" s="142">
        <f>+X117*(1+AC118)</f>
        <v>1.4690509858109075</v>
      </c>
      <c r="AD117" s="142">
        <f>+Y117*(1+AD118)</f>
        <v>1.4843352512078842</v>
      </c>
      <c r="AE117" s="142">
        <f>+Z117*(1+AE118)</f>
        <v>1.4468971073512853</v>
      </c>
      <c r="AF117" s="142">
        <f>+AA117*(1+AF118)</f>
        <v>1.4148560310789136</v>
      </c>
      <c r="AG117" s="50"/>
      <c r="AH117" s="142">
        <f>+AC117*(1+AH118)</f>
        <v>1.4982368835807784</v>
      </c>
      <c r="AI117" s="142">
        <f>+AD117*(1+AI118)</f>
        <v>1.5105443944779746</v>
      </c>
      <c r="AJ117" s="142">
        <f>+AE117*(1+AJ118)</f>
        <v>1.4710807026085222</v>
      </c>
      <c r="AK117" s="142">
        <f>+AF117*(1+AK118)</f>
        <v>1.4376502084310421</v>
      </c>
      <c r="AL117" s="50"/>
      <c r="AM117" s="142">
        <f>+AH117*(1+AM118)</f>
        <v>1.5208411744805999</v>
      </c>
      <c r="AN117" s="142">
        <f>+AI117*(1+AN118)</f>
        <v>1.5315293027103345</v>
      </c>
      <c r="AO117" s="142">
        <f>+AJ117*(1+AO118)</f>
        <v>1.4901327605939299</v>
      </c>
      <c r="AP117" s="142">
        <f>+AK117*(1+AP118)</f>
        <v>1.454916819995987</v>
      </c>
      <c r="AQ117" s="50"/>
      <c r="AR117" s="142">
        <f>+AM117*(1+AR118)</f>
        <v>1.5375479592435917</v>
      </c>
      <c r="AS117" s="142">
        <f>+AN117*(1+AS118)</f>
        <v>1.5467829024717012</v>
      </c>
      <c r="AT117" s="142">
        <f>+AO117*(1+AT118)</f>
        <v>1.5035090519292313</v>
      </c>
      <c r="AU117" s="142">
        <f>+AP117*(1+AU118)</f>
        <v>1.4665313562827222</v>
      </c>
      <c r="AV117" s="50"/>
    </row>
    <row r="118" spans="1:48" outlineLevel="2" x14ac:dyDescent="0.25">
      <c r="A118" s="53"/>
      <c r="B118" s="140" t="s">
        <v>199</v>
      </c>
      <c r="C118" s="283"/>
      <c r="D118" s="165">
        <f>+D117/1.24-1</f>
        <v>-2.2580645161290325E-2</v>
      </c>
      <c r="E118" s="165">
        <f>+E117/1.16-1</f>
        <v>-3.6206896551723933E-2</v>
      </c>
      <c r="F118" s="165">
        <f>+F117/1.13-1</f>
        <v>9.0265486725663813E-2</v>
      </c>
      <c r="G118" s="165">
        <f>+G117/1.11-1</f>
        <v>6.576576576576576E-2</v>
      </c>
      <c r="H118" s="83"/>
      <c r="I118" s="165">
        <f>+I117/D117-1</f>
        <v>-3.0528052805280481E-2</v>
      </c>
      <c r="J118" s="165">
        <f>+J117/E117-1</f>
        <v>6.4400715563506017E-2</v>
      </c>
      <c r="K118" s="165">
        <f>+K117/F117-1</f>
        <v>3.2467532467532534E-2</v>
      </c>
      <c r="L118" s="165">
        <f>+L117/G117-1</f>
        <v>2.2823330515638229E-2</v>
      </c>
      <c r="M118" s="83"/>
      <c r="N118" s="165">
        <f>+N117/I117-1</f>
        <v>3.8297872340425476E-2</v>
      </c>
      <c r="O118" s="165">
        <f>+O117/J117-1</f>
        <v>8.3193277310924296E-2</v>
      </c>
      <c r="P118" s="165">
        <f>+P117/K117-1</f>
        <v>6.9968553459119454E-2</v>
      </c>
      <c r="Q118" s="165">
        <f>+Q117/L117-1</f>
        <v>0.12975206611570256</v>
      </c>
      <c r="R118" s="57"/>
      <c r="S118" s="165">
        <f>+S117/N117-1</f>
        <v>0.10655737704918034</v>
      </c>
      <c r="T118" s="165">
        <f>+T117/O117-1</f>
        <v>9.3871217998448442E-2</v>
      </c>
      <c r="U118" s="165">
        <f>+U117/P117-1</f>
        <v>2.7920646583394548E-2</v>
      </c>
      <c r="V118" s="165">
        <f>+V117/Q117-1</f>
        <v>2.9261155815654138E-3</v>
      </c>
      <c r="W118" s="57"/>
      <c r="X118" s="141">
        <f>AVERAGE(V118,U118,T118,S118)</f>
        <v>5.7818839303147185E-2</v>
      </c>
      <c r="Y118" s="141">
        <f>AVERAGE(X118,V118,U118,T118)-1.5%</f>
        <v>3.0634204866638898E-2</v>
      </c>
      <c r="Z118" s="141">
        <f>AVERAGE(Y118,X118,V118,U118)-1.5%</f>
        <v>1.4824951583686512E-2</v>
      </c>
      <c r="AA118" s="141">
        <f>AVERAGE(Z118,Y118,X118,V118)-1.5%</f>
        <v>1.1551027833759504E-2</v>
      </c>
      <c r="AB118" s="57"/>
      <c r="AC118" s="141">
        <f>AVERAGE(AA118,Z118,Y118,X118)</f>
        <v>2.8707255896808025E-2</v>
      </c>
      <c r="AD118" s="141">
        <f>AVERAGE(AC118,AA118,Z118,Y118)</f>
        <v>2.1429360045223236E-2</v>
      </c>
      <c r="AE118" s="141">
        <f>AVERAGE(AD118,AC118,AA118,Z118)</f>
        <v>1.9128148839869318E-2</v>
      </c>
      <c r="AF118" s="141">
        <f>AVERAGE(AE118,AD118,AC118,AA118)</f>
        <v>2.0203948153915019E-2</v>
      </c>
      <c r="AG118" s="57"/>
      <c r="AH118" s="176">
        <f>AVERAGE(AF118,AE118,AD118,AC118)-0.25%</f>
        <v>1.9867178233953901E-2</v>
      </c>
      <c r="AI118" s="176">
        <f>AVERAGE(AH118,AF118,AE118,AD118)-0.25%</f>
        <v>1.7657158818240367E-2</v>
      </c>
      <c r="AJ118" s="176">
        <f>AVERAGE(AI118,AH118,AF118,AE118)-0.25%</f>
        <v>1.6714108511494654E-2</v>
      </c>
      <c r="AK118" s="176">
        <f>AVERAGE(AJ118,AI118,AH118,AF118)-0.25%</f>
        <v>1.6110598429400987E-2</v>
      </c>
      <c r="AL118" s="57"/>
      <c r="AM118" s="176">
        <f>AVERAGE(AK118,AJ118,AI118,AH118)-0.25%</f>
        <v>1.5087260998272475E-2</v>
      </c>
      <c r="AN118" s="176">
        <f>AVERAGE(AM118,AK118,AJ118,AI118)-0.25%</f>
        <v>1.3892281689352122E-2</v>
      </c>
      <c r="AO118" s="176">
        <f>AVERAGE(AN118,AM118,AK118,AJ118)-0.25%</f>
        <v>1.295106240713006E-2</v>
      </c>
      <c r="AP118" s="176">
        <f>AVERAGE(AO118,AN118,AM118,AK118)-0.25%</f>
        <v>1.2010300881038912E-2</v>
      </c>
      <c r="AQ118" s="57"/>
      <c r="AR118" s="176">
        <f>AVERAGE(AP118,AO118,AN118,AM118)-0.25%</f>
        <v>1.0985226493948392E-2</v>
      </c>
      <c r="AS118" s="176">
        <f>AVERAGE(AR118,AP118,AO118,AN118)-0.25%</f>
        <v>9.9597178678673716E-3</v>
      </c>
      <c r="AT118" s="176">
        <f>AVERAGE(AS118,AR118,AP118,AO118)-0.25%</f>
        <v>8.9765769124961828E-3</v>
      </c>
      <c r="AU118" s="176">
        <f>AVERAGE(AT118,AS118,AR118,AP118)-0.25%</f>
        <v>7.9829555388377139E-3</v>
      </c>
      <c r="AV118" s="57"/>
    </row>
    <row r="119" spans="1:48" outlineLevel="2" x14ac:dyDescent="0.25">
      <c r="A119" s="53"/>
      <c r="B119" s="118" t="s">
        <v>183</v>
      </c>
      <c r="C119" s="119"/>
      <c r="D119" s="143">
        <f>+D115*D117*D61/1000</f>
        <v>573.32144999999991</v>
      </c>
      <c r="E119" s="143">
        <f>+E115*E117*E61/1000</f>
        <v>578.43922500000008</v>
      </c>
      <c r="F119" s="143">
        <f>+F115*F117*F61/1000</f>
        <v>647.34848639999996</v>
      </c>
      <c r="G119" s="143">
        <f>+G115*G117*G61/1000</f>
        <v>683.24283300000002</v>
      </c>
      <c r="H119" s="56"/>
      <c r="I119" s="143">
        <f>+I115*I117*I61/1000</f>
        <v>616.07893750000005</v>
      </c>
      <c r="J119" s="143">
        <f>+J115*J117*J61/1000</f>
        <v>613.05967799999996</v>
      </c>
      <c r="K119" s="143">
        <f>+K115*K117*K61/1000</f>
        <v>667.06325760000004</v>
      </c>
      <c r="L119" s="143">
        <f>+L115*L117*L61/1000</f>
        <v>632.77071000000001</v>
      </c>
      <c r="M119" s="56"/>
      <c r="N119" s="143">
        <f>+N115*N117*N61/1000</f>
        <v>612.75109999999995</v>
      </c>
      <c r="O119" s="143">
        <f>+O115*O117*O61/1000</f>
        <v>688.18872149999993</v>
      </c>
      <c r="P119" s="143">
        <f>+P115*P117*P61/1000</f>
        <v>738.9669267999999</v>
      </c>
      <c r="Q119" s="143">
        <f>+Q115*Q117*Q61/1000</f>
        <v>756.33375999999998</v>
      </c>
      <c r="R119" s="51"/>
      <c r="S119" s="143">
        <f>+S115*S117*S61/1000</f>
        <v>729.11475000000007</v>
      </c>
      <c r="T119" s="143">
        <f>+T115*T117*T61/1000</f>
        <v>792.09710999999993</v>
      </c>
      <c r="U119" s="143">
        <f>+U115*U117*U61/1000</f>
        <v>772.40188999999998</v>
      </c>
      <c r="V119" s="143">
        <f>+V115*V117*V61/1000</f>
        <v>730.92123000000004</v>
      </c>
      <c r="W119" s="51"/>
      <c r="X119" s="143">
        <f>+X115*X117*X61/1000</f>
        <v>779.9040364379531</v>
      </c>
      <c r="Y119" s="143">
        <f>+Y115*Y117*Y61/1000</f>
        <v>816.28958510487826</v>
      </c>
      <c r="Z119" s="143">
        <f>+Z115*Z117*Z61/1000</f>
        <v>786.00937633053888</v>
      </c>
      <c r="AA119" s="143">
        <f>+AA115*AA117*AA61/1000</f>
        <v>712.9415811277571</v>
      </c>
      <c r="AB119" s="51"/>
      <c r="AC119" s="143">
        <f>+AC115*AC117*AC61/1000</f>
        <v>813.41667247443013</v>
      </c>
      <c r="AD119" s="143">
        <f>+AD115*AD117*AD61/1000</f>
        <v>826.3494568359439</v>
      </c>
      <c r="AE119" s="143">
        <f>+AE115*AE117*AE61/1000</f>
        <v>779.56248292329519</v>
      </c>
      <c r="AF119" s="143">
        <f>+AF115*AF117*AF61/1000</f>
        <v>730.87316967540596</v>
      </c>
      <c r="AG119" s="51"/>
      <c r="AH119" s="143">
        <f>+AH115*AH117*AH61/1000</f>
        <v>820.78806058198268</v>
      </c>
      <c r="AI119" s="143">
        <f>+AI115*AI117*AI61/1000</f>
        <v>830.16815780217871</v>
      </c>
      <c r="AJ119" s="143">
        <f>+AJ115*AJ117*AJ61/1000</f>
        <v>781.66736300015964</v>
      </c>
      <c r="AK119" s="143">
        <f>+AK115*AK117*AK61/1000</f>
        <v>731.91717534630448</v>
      </c>
      <c r="AL119" s="51"/>
      <c r="AM119" s="143">
        <f>+AM115*AM117*AM61/1000</f>
        <v>820.3329000144563</v>
      </c>
      <c r="AN119" s="143">
        <f>+AN115*AN117*AN61/1000</f>
        <v>827.71787710208741</v>
      </c>
      <c r="AO119" s="143">
        <f>+AO115*AO117*AO61/1000</f>
        <v>777.8838959063313</v>
      </c>
      <c r="AP119" s="143">
        <f>+AP115*AP117*AP61/1000</f>
        <v>726.99804090502971</v>
      </c>
      <c r="AQ119" s="51"/>
      <c r="AR119" s="143">
        <f>+AR115*AR117*AR61/1000</f>
        <v>813.15251034776099</v>
      </c>
      <c r="AS119" s="143">
        <f>+AS115*AS117*AS61/1000</f>
        <v>818.78070541962063</v>
      </c>
      <c r="AT119" s="143">
        <f>+AT115*AT117*AT61/1000</f>
        <v>767.96278205609894</v>
      </c>
      <c r="AU119" s="143">
        <f>+AU115*AU117*AU61/1000</f>
        <v>716.29119613183127</v>
      </c>
      <c r="AV119" s="51"/>
    </row>
    <row r="120" spans="1:48" ht="17.25" outlineLevel="1" x14ac:dyDescent="0.4">
      <c r="A120" s="53"/>
      <c r="B120" s="719" t="s">
        <v>184</v>
      </c>
      <c r="C120" s="720"/>
      <c r="D120" s="125"/>
      <c r="E120" s="125"/>
      <c r="F120" s="125"/>
      <c r="G120" s="125"/>
      <c r="H120" s="135"/>
      <c r="I120" s="125"/>
      <c r="J120" s="125"/>
      <c r="K120" s="125"/>
      <c r="L120" s="125"/>
      <c r="M120" s="135"/>
      <c r="N120" s="125"/>
      <c r="O120" s="125"/>
      <c r="P120" s="125"/>
      <c r="Q120" s="125"/>
      <c r="R120" s="135"/>
      <c r="S120" s="125"/>
      <c r="T120" s="125"/>
      <c r="U120" s="125"/>
      <c r="V120" s="125"/>
      <c r="W120" s="135"/>
      <c r="X120" s="125"/>
      <c r="Y120" s="125"/>
      <c r="Z120" s="125"/>
      <c r="AA120" s="125"/>
      <c r="AB120" s="135"/>
      <c r="AC120" s="125"/>
      <c r="AD120" s="125"/>
      <c r="AE120" s="125"/>
      <c r="AF120" s="125"/>
      <c r="AG120" s="135"/>
      <c r="AH120" s="125"/>
      <c r="AI120" s="125"/>
      <c r="AJ120" s="125"/>
      <c r="AK120" s="125"/>
      <c r="AL120" s="135"/>
      <c r="AM120" s="125"/>
      <c r="AN120" s="125"/>
      <c r="AO120" s="125"/>
      <c r="AP120" s="125"/>
      <c r="AQ120" s="135"/>
      <c r="AR120" s="125"/>
      <c r="AS120" s="125"/>
      <c r="AT120" s="125"/>
      <c r="AU120" s="125"/>
      <c r="AV120" s="135"/>
    </row>
    <row r="121" spans="1:48" outlineLevel="2" x14ac:dyDescent="0.25">
      <c r="A121" s="53"/>
      <c r="B121" s="126" t="s">
        <v>363</v>
      </c>
      <c r="C121" s="127"/>
      <c r="D121" s="128">
        <v>1701.4</v>
      </c>
      <c r="E121" s="128">
        <v>1762.5</v>
      </c>
      <c r="F121" s="128">
        <v>1621</v>
      </c>
      <c r="G121" s="128">
        <v>1722</v>
      </c>
      <c r="H121" s="135"/>
      <c r="I121" s="128">
        <v>4793</v>
      </c>
      <c r="J121" s="128">
        <v>5417.4</v>
      </c>
      <c r="K121" s="128">
        <v>5238</v>
      </c>
      <c r="L121" s="128">
        <v>5409.4</v>
      </c>
      <c r="M121" s="135"/>
      <c r="N121" s="128">
        <v>4905.5</v>
      </c>
      <c r="O121" s="128">
        <v>5706</v>
      </c>
      <c r="P121" s="128">
        <v>5430</v>
      </c>
      <c r="Q121" s="128">
        <v>5515</v>
      </c>
      <c r="R121" s="135"/>
      <c r="S121" s="128">
        <v>5315</v>
      </c>
      <c r="T121" s="128">
        <v>5684.4</v>
      </c>
      <c r="U121" s="128">
        <v>5030</v>
      </c>
      <c r="V121" s="128">
        <v>5029</v>
      </c>
      <c r="W121" s="135"/>
      <c r="X121" s="128">
        <f>+S121*(1+X122)</f>
        <v>4940.1650927848723</v>
      </c>
      <c r="Y121" s="128">
        <f>+T121*(1+Y122)</f>
        <v>5363.0927214595195</v>
      </c>
      <c r="Z121" s="128">
        <f>+U121*(1+Z122)</f>
        <v>4742.2381103943471</v>
      </c>
      <c r="AA121" s="128">
        <f>+V121*(1+AA122)</f>
        <v>4761.9842506860459</v>
      </c>
      <c r="AB121" s="135"/>
      <c r="AC121" s="128">
        <f>+X121*(1+AC122)</f>
        <v>4731.135560333415</v>
      </c>
      <c r="AD121" s="128">
        <f>+Y121*(1+AD122)</f>
        <v>5173.9936772550709</v>
      </c>
      <c r="AE121" s="128">
        <f>+Z121*(1+AE122)</f>
        <v>4600.2409870559422</v>
      </c>
      <c r="AF121" s="128">
        <f>+AA121*(1+AF122)</f>
        <v>4651.856007564792</v>
      </c>
      <c r="AG121" s="135"/>
      <c r="AH121" s="128">
        <f>+AC121*(1+AH122)</f>
        <v>4578.5908142801291</v>
      </c>
      <c r="AI121" s="128">
        <f>+AD121*(1+AI122)</f>
        <v>5020.1948859036547</v>
      </c>
      <c r="AJ121" s="128">
        <f>+AE121*(1+AJ122)</f>
        <v>4469.861601041348</v>
      </c>
      <c r="AK121" s="128">
        <f>+AF121*(1+AK122)</f>
        <v>4521.8758945782083</v>
      </c>
      <c r="AL121" s="135"/>
      <c r="AM121" s="128">
        <f>+AH121*(1+AM122)</f>
        <v>4431.7880207052976</v>
      </c>
      <c r="AN121" s="128">
        <f>+AI121*(1+AN122)</f>
        <v>4859.4587249704755</v>
      </c>
      <c r="AO121" s="128">
        <f>+AJ121*(1+AO122)</f>
        <v>4324.1841077316358</v>
      </c>
      <c r="AP121" s="128">
        <f>+AK121*(1+AP122)</f>
        <v>4369.699620622112</v>
      </c>
      <c r="AQ121" s="135"/>
      <c r="AR121" s="128">
        <f>+AM121*(1+AR122)</f>
        <v>4276.3151442841418</v>
      </c>
      <c r="AS121" s="128">
        <f>+AN121*(1+AS122)</f>
        <v>4685.3156318467927</v>
      </c>
      <c r="AT121" s="128">
        <f>+AO121*(1+AT122)</f>
        <v>4165.0956403004375</v>
      </c>
      <c r="AU121" s="128">
        <f>+AP121*(1+AU122)</f>
        <v>4204.3491461092754</v>
      </c>
      <c r="AV121" s="135"/>
    </row>
    <row r="122" spans="1:48" outlineLevel="2" x14ac:dyDescent="0.25">
      <c r="A122" s="53"/>
      <c r="B122" s="144" t="s">
        <v>200</v>
      </c>
      <c r="C122" s="127"/>
      <c r="D122" s="145">
        <f>+D121/1733-1</f>
        <v>-1.8234275822273438E-2</v>
      </c>
      <c r="E122" s="145">
        <f>+E121/1922-1</f>
        <v>-8.29864724245577E-2</v>
      </c>
      <c r="F122" s="145">
        <f>+F121/1875-1</f>
        <v>-0.13546666666666662</v>
      </c>
      <c r="G122" s="145">
        <f>+G121/1989-1</f>
        <v>-0.13423831070889891</v>
      </c>
      <c r="H122" s="146"/>
      <c r="I122" s="145">
        <f>+I121/D121-1</f>
        <v>1.8170918067473845</v>
      </c>
      <c r="J122" s="145">
        <f>+J121/E121-1</f>
        <v>2.0737021276595744</v>
      </c>
      <c r="K122" s="145">
        <f>+K121/F121-1</f>
        <v>2.231338679827267</v>
      </c>
      <c r="L122" s="145">
        <f>+L121/G121-1</f>
        <v>2.141347270615563</v>
      </c>
      <c r="M122" s="146"/>
      <c r="N122" s="145">
        <f>+N121/I121-1</f>
        <v>2.3471729605675007E-2</v>
      </c>
      <c r="O122" s="145">
        <f>+O121/J121-1</f>
        <v>5.3272787684129019E-2</v>
      </c>
      <c r="P122" s="145">
        <f>+P121/K121-1</f>
        <v>3.6655211912943964E-2</v>
      </c>
      <c r="Q122" s="145">
        <f>+Q121/L121-1</f>
        <v>1.9521573557141236E-2</v>
      </c>
      <c r="R122" s="146"/>
      <c r="S122" s="145">
        <f>+S121/N121-1</f>
        <v>8.347772907960449E-2</v>
      </c>
      <c r="T122" s="145">
        <f>+T121/O121-1</f>
        <v>-3.7854889589905572E-3</v>
      </c>
      <c r="U122" s="145">
        <f>+U121/P121-1</f>
        <v>-7.366482504604055E-2</v>
      </c>
      <c r="V122" s="145">
        <f>+V121/Q121-1</f>
        <v>-8.8123300090661827E-2</v>
      </c>
      <c r="W122" s="146"/>
      <c r="X122" s="141">
        <f>AVERAGE(V122,U122,T122,S122)-5%</f>
        <v>-7.0523971254022114E-2</v>
      </c>
      <c r="Y122" s="141">
        <f>AVERAGE(X122,V122,U122,T122)+0.25%</f>
        <v>-5.6524396337428756E-2</v>
      </c>
      <c r="Z122" s="141">
        <f>AVERAGE(Y122,X122,V122,U122)+1.5%</f>
        <v>-5.7209123182038316E-2</v>
      </c>
      <c r="AA122" s="141">
        <f>AVERAGE(Z122,Y122,X122,V122)+1.5%</f>
        <v>-5.3095197716037754E-2</v>
      </c>
      <c r="AB122" s="146"/>
      <c r="AC122" s="141">
        <f>AVERAGE(AA122,Z122,Y122,X122)+1.7025915644001%</f>
        <v>-4.2312256478380737E-2</v>
      </c>
      <c r="AD122" s="141">
        <f>AVERAGE(AC122,AA122,Z122,Y122)+1.7025915644001%</f>
        <v>-3.5259327784470385E-2</v>
      </c>
      <c r="AE122" s="141">
        <f>AVERAGE(AD122,AC122,AA122,Z122)+1.7025915644001%</f>
        <v>-2.9943060646230792E-2</v>
      </c>
      <c r="AF122" s="141">
        <f>AVERAGE(AE122,AD122,AC122,AA122)+1.7025915644001%</f>
        <v>-2.3126545012278919E-2</v>
      </c>
      <c r="AG122" s="146"/>
      <c r="AH122" s="141">
        <f>AVERAGE(AF122,AE122,AD122,AC122)+0.0417563340095869%</f>
        <v>-3.2242734140244339E-2</v>
      </c>
      <c r="AI122" s="141">
        <f>AVERAGE(AH122,AF122,AE122,AD122)+0.0417563340095869%</f>
        <v>-2.9725353555710241E-2</v>
      </c>
      <c r="AJ122" s="141">
        <f>AVERAGE(AI122,AH122,AF122,AE122)+0.0417563340095869%</f>
        <v>-2.8341859998520205E-2</v>
      </c>
      <c r="AK122" s="141">
        <f>AVERAGE(AJ122,AI122,AH122,AF122)+0.0417563340095869%</f>
        <v>-2.794155983659256E-2</v>
      </c>
      <c r="AL122" s="146"/>
      <c r="AM122" s="176">
        <f>AVERAGE(AK122,AJ122,AI122,AH122)-0.25%</f>
        <v>-3.2062876882766836E-2</v>
      </c>
      <c r="AN122" s="176">
        <f>AVERAGE(AM122,AK122,AJ122,AI122)-0.25%</f>
        <v>-3.2017912568397464E-2</v>
      </c>
      <c r="AO122" s="176">
        <f>AVERAGE(AN122,AM122,AK122,AJ122)-0.25%</f>
        <v>-3.2591052321569267E-2</v>
      </c>
      <c r="AP122" s="176">
        <f>AVERAGE(AO122,AN122,AM122,AK122)-0.25%</f>
        <v>-3.3653350402331535E-2</v>
      </c>
      <c r="AQ122" s="146"/>
      <c r="AR122" s="176">
        <f>AVERAGE(AP122,AO122,AN122,AM122)-0.25%</f>
        <v>-3.5081298043766279E-2</v>
      </c>
      <c r="AS122" s="176">
        <f>AVERAGE(AR122,AP122,AO122,AN122)-0.25%</f>
        <v>-3.5835903334016136E-2</v>
      </c>
      <c r="AT122" s="176">
        <f>AVERAGE(AS122,AR122,AP122,AO122)-0.25%</f>
        <v>-3.6790401025420805E-2</v>
      </c>
      <c r="AU122" s="176">
        <f>AVERAGE(AT122,AS122,AR122,AP122)-0.25%</f>
        <v>-3.7840238201383693E-2</v>
      </c>
      <c r="AV122" s="146"/>
    </row>
    <row r="123" spans="1:48" outlineLevel="2" x14ac:dyDescent="0.25">
      <c r="A123" s="53"/>
      <c r="B123" s="126" t="s">
        <v>185</v>
      </c>
      <c r="C123" s="127"/>
      <c r="D123" s="129">
        <v>2.2839999999999998</v>
      </c>
      <c r="E123" s="129">
        <v>2.31</v>
      </c>
      <c r="F123" s="129">
        <v>2.29</v>
      </c>
      <c r="G123" s="129">
        <v>2.29</v>
      </c>
      <c r="H123" s="135"/>
      <c r="I123" s="129">
        <v>1.44</v>
      </c>
      <c r="J123" s="129">
        <v>1.39</v>
      </c>
      <c r="K123" s="129">
        <v>1.45</v>
      </c>
      <c r="L123" s="129">
        <v>1.46</v>
      </c>
      <c r="M123" s="135"/>
      <c r="N123" s="129">
        <v>1.4750000000000001</v>
      </c>
      <c r="O123" s="129">
        <v>1.5589999999999999</v>
      </c>
      <c r="P123" s="129">
        <v>1.637</v>
      </c>
      <c r="Q123" s="129">
        <v>1.67</v>
      </c>
      <c r="R123" s="135"/>
      <c r="S123" s="129">
        <v>1.595</v>
      </c>
      <c r="T123" s="129">
        <v>1.5740000000000001</v>
      </c>
      <c r="U123" s="129">
        <v>1.53</v>
      </c>
      <c r="V123" s="129">
        <v>1.518</v>
      </c>
      <c r="W123" s="135"/>
      <c r="X123" s="129">
        <f>+S123*(1+X124)</f>
        <v>1.4891701751954414</v>
      </c>
      <c r="Y123" s="129">
        <f>+T123*(1+Y124)</f>
        <v>1.494075873089898</v>
      </c>
      <c r="Z123" s="129">
        <f>+U123*(1+Z124)</f>
        <v>1.4483323720636847</v>
      </c>
      <c r="AA123" s="129">
        <f>+V123*(1+AA124)</f>
        <v>1.441521564873177</v>
      </c>
      <c r="AB123" s="135"/>
      <c r="AC123" s="129">
        <f>+X123*(1+AC124)</f>
        <v>1.432289969902462</v>
      </c>
      <c r="AD123" s="129">
        <f>+Y123*(1+AD124)</f>
        <v>1.4475247468333756</v>
      </c>
      <c r="AE123" s="129">
        <f>+Z123*(1+AE124)</f>
        <v>1.4103107627964124</v>
      </c>
      <c r="AF123" s="129">
        <f>+AA123*(1+AF124)</f>
        <v>1.4134542666565599</v>
      </c>
      <c r="AG123" s="135"/>
      <c r="AH123" s="129">
        <f>+AC123*(1+AH124)</f>
        <v>1.3916826200804517</v>
      </c>
      <c r="AI123" s="129">
        <f>+AD123*(1+AI124)</f>
        <v>1.4100480315960555</v>
      </c>
      <c r="AJ123" s="129">
        <f>+AE123*(1+AJ124)</f>
        <v>1.3756545272497627</v>
      </c>
      <c r="AK123" s="129">
        <f>+AF123*(1+AK124)</f>
        <v>1.3793139110926325</v>
      </c>
      <c r="AL123" s="135"/>
      <c r="AM123" s="129">
        <f>+AH123*(1+AM124)</f>
        <v>1.3523784156003928</v>
      </c>
      <c r="AN123" s="129">
        <f>+AI123*(1+AN124)</f>
        <v>1.3702636162707671</v>
      </c>
      <c r="AO123" s="129">
        <f>+AJ123*(1+AO124)</f>
        <v>1.3360410163539469</v>
      </c>
      <c r="AP123" s="129">
        <f>+AK123*(1+AP124)</f>
        <v>1.3381389362095546</v>
      </c>
      <c r="AQ123" s="135"/>
      <c r="AR123" s="129">
        <f>+AM123*(1+AR124)</f>
        <v>1.3100810723182603</v>
      </c>
      <c r="AS123" s="129">
        <f>+AN123*(1+AS124)</f>
        <v>1.3263675304377145</v>
      </c>
      <c r="AT123" s="129">
        <f>+AO123*(1+AT124)</f>
        <v>1.2919653786748044</v>
      </c>
      <c r="AU123" s="129">
        <f>+AP123*(1+AU124)</f>
        <v>1.2925911787101423</v>
      </c>
      <c r="AV123" s="135"/>
    </row>
    <row r="124" spans="1:48" outlineLevel="2" x14ac:dyDescent="0.25">
      <c r="A124" s="53"/>
      <c r="B124" s="144" t="s">
        <v>199</v>
      </c>
      <c r="C124" s="127"/>
      <c r="D124" s="145">
        <f>+D123/2.47-1</f>
        <v>-7.5303643724696556E-2</v>
      </c>
      <c r="E124" s="145">
        <f>+E123/2.43-1</f>
        <v>-4.9382716049382713E-2</v>
      </c>
      <c r="F124" s="145">
        <f>+F123/2.31-1</f>
        <v>-8.6580086580086979E-3</v>
      </c>
      <c r="G124" s="145">
        <f>+G123/2.34-1</f>
        <v>-2.1367521367521292E-2</v>
      </c>
      <c r="H124" s="146"/>
      <c r="I124" s="145">
        <f>+I123/D123-1</f>
        <v>-0.3695271453590192</v>
      </c>
      <c r="J124" s="145">
        <f>+J123/E123-1</f>
        <v>-0.39826839826839833</v>
      </c>
      <c r="K124" s="145">
        <f>+K123/F123-1</f>
        <v>-0.36681222707423589</v>
      </c>
      <c r="L124" s="145">
        <f>+L123/G123-1</f>
        <v>-0.36244541484716164</v>
      </c>
      <c r="M124" s="146"/>
      <c r="N124" s="145">
        <f>+N123/I123-1</f>
        <v>2.430555555555558E-2</v>
      </c>
      <c r="O124" s="145">
        <f>+O123/J123-1</f>
        <v>0.12158273381294959</v>
      </c>
      <c r="P124" s="145">
        <f>+P123/K123-1</f>
        <v>0.12896551724137928</v>
      </c>
      <c r="Q124" s="145">
        <f>+Q123/L123-1</f>
        <v>0.14383561643835607</v>
      </c>
      <c r="R124" s="146"/>
      <c r="S124" s="145">
        <f>+S123/N123-1</f>
        <v>8.1355932203389658E-2</v>
      </c>
      <c r="T124" s="145">
        <f>+T123/O123-1</f>
        <v>9.6215522771008199E-3</v>
      </c>
      <c r="U124" s="145">
        <f>+U123/P123-1</f>
        <v>-6.536346976175933E-2</v>
      </c>
      <c r="V124" s="145">
        <f>+V123/Q123-1</f>
        <v>-9.101796407185625E-2</v>
      </c>
      <c r="W124" s="146"/>
      <c r="X124" s="141">
        <f>AVERAGE(V124,U124,T124,S124)-5%</f>
        <v>-6.6350987338281278E-2</v>
      </c>
      <c r="Y124" s="141">
        <f>AVERAGE(X124,V124,U124,T124)+0.25%</f>
        <v>-5.0777717223699004E-2</v>
      </c>
      <c r="Z124" s="141">
        <f>AVERAGE(Y124,X124,V124,U124)+1.5%</f>
        <v>-5.3377534598898962E-2</v>
      </c>
      <c r="AA124" s="141">
        <f>AVERAGE(Z124,Y124,X124,V124)+1.5%</f>
        <v>-5.0381050808183878E-2</v>
      </c>
      <c r="AB124" s="146"/>
      <c r="AC124" s="141">
        <f>AVERAGE(AA124,Z124,Y124,X124)+1.7025915644001%</f>
        <v>-3.8195906848264773E-2</v>
      </c>
      <c r="AD124" s="141">
        <f>AVERAGE(AC124,AA124,Z124,Y124)+1.7025915644001%</f>
        <v>-3.1157136725760655E-2</v>
      </c>
      <c r="AE124" s="141">
        <f>AVERAGE(AD124,AC124,AA124,Z124)+1.7025915644001%</f>
        <v>-2.6251991601276066E-2</v>
      </c>
      <c r="AF124" s="141">
        <f>AVERAGE(AE124,AD124,AC124,AA124)+1.7025915644001%</f>
        <v>-1.9470605851870347E-2</v>
      </c>
      <c r="AG124" s="146"/>
      <c r="AH124" s="141">
        <f>AVERAGE(AF124,AE124,AD124,AC124)+0.0417563340095869%</f>
        <v>-2.8351346916697089E-2</v>
      </c>
      <c r="AI124" s="141">
        <f>AVERAGE(AH124,AF124,AE124,AD124)+0.0417563340095869%</f>
        <v>-2.5890206933805168E-2</v>
      </c>
      <c r="AJ124" s="141">
        <f>AVERAGE(AI124,AH124,AF124,AE124)+0.0417563340095869%</f>
        <v>-2.4573474485816298E-2</v>
      </c>
      <c r="AK124" s="141">
        <f>AVERAGE(AJ124,AI124,AH124,AF124)+0.0417563340095869%</f>
        <v>-2.4153845206951356E-2</v>
      </c>
      <c r="AL124" s="146"/>
      <c r="AM124" s="176">
        <f>AVERAGE(AK124,AJ124,AI124,AH124)-0.25%</f>
        <v>-2.8242218385817478E-2</v>
      </c>
      <c r="AN124" s="176">
        <f>AVERAGE(AM124,AK124,AJ124,AI124)-0.25%</f>
        <v>-2.8214936253097574E-2</v>
      </c>
      <c r="AO124" s="176">
        <f>AVERAGE(AN124,AM124,AK124,AJ124)-0.25%</f>
        <v>-2.8796118582920676E-2</v>
      </c>
      <c r="AP124" s="176">
        <f>AVERAGE(AO124,AN124,AM124,AK124)-0.25%</f>
        <v>-2.9851779607196767E-2</v>
      </c>
      <c r="AQ124" s="146"/>
      <c r="AR124" s="176">
        <f>AVERAGE(AP124,AO124,AN124,AM124)-0.25%</f>
        <v>-3.1276263207258126E-2</v>
      </c>
      <c r="AS124" s="176">
        <f>AVERAGE(AR124,AP124,AO124,AN124)-0.25%</f>
        <v>-3.2034774412618289E-2</v>
      </c>
      <c r="AT124" s="176">
        <f>AVERAGE(AS124,AR124,AP124,AO124)-0.25%</f>
        <v>-3.2989733952498462E-2</v>
      </c>
      <c r="AU124" s="176">
        <f>AVERAGE(AT124,AS124,AR124,AP124)-0.25%</f>
        <v>-3.4038137794892911E-2</v>
      </c>
      <c r="AV124" s="146"/>
    </row>
    <row r="125" spans="1:48" outlineLevel="2" x14ac:dyDescent="0.25">
      <c r="A125" s="53"/>
      <c r="B125" s="131" t="s">
        <v>186</v>
      </c>
      <c r="C125" s="130"/>
      <c r="D125" s="147">
        <f>+D121*D123*D61/1000</f>
        <v>252.58984399999997</v>
      </c>
      <c r="E125" s="147">
        <f>+E121*E123*E61/1000</f>
        <v>256.49662499999999</v>
      </c>
      <c r="F125" s="147">
        <f>+F121*F123*F61/1000</f>
        <v>233.86167</v>
      </c>
      <c r="G125" s="147">
        <f>+G121*G123*G61/1000</f>
        <v>256.31970000000001</v>
      </c>
      <c r="H125" s="136"/>
      <c r="I125" s="147">
        <f>+I121*I123*I61/1000</f>
        <v>448.62479999999999</v>
      </c>
      <c r="J125" s="147">
        <f>+J121*J123*J61/1000</f>
        <v>474.40171799999996</v>
      </c>
      <c r="K125" s="147">
        <f>+K121*K123*K61/1000</f>
        <v>470.89619999999996</v>
      </c>
      <c r="L125" s="147">
        <f>+L121*L123*L61/1000</f>
        <v>513.35205999999994</v>
      </c>
      <c r="M125" s="136"/>
      <c r="N125" s="147">
        <f>+N121*N123*N61/1000</f>
        <v>470.31481250000002</v>
      </c>
      <c r="O125" s="147">
        <f>+O121*O123*O61/1000</f>
        <v>560.4262020000001</v>
      </c>
      <c r="P125" s="147">
        <f>+P121*P123*P61/1000</f>
        <v>551.11242000000004</v>
      </c>
      <c r="Q125" s="147">
        <f>+Q121*Q123*Q61/1000</f>
        <v>598.65324999999996</v>
      </c>
      <c r="R125" s="136"/>
      <c r="S125" s="147">
        <f>+S121*S123*S61/1000</f>
        <v>551.03262500000005</v>
      </c>
      <c r="T125" s="147">
        <f>+T121*T123*T61/1000</f>
        <v>563.67647279999994</v>
      </c>
      <c r="U125" s="147">
        <f>+U121*U123*U61/1000</f>
        <v>477.14580000000007</v>
      </c>
      <c r="V125" s="147">
        <f>+V121*V123*V61/1000</f>
        <v>496.21143000000001</v>
      </c>
      <c r="W125" s="136"/>
      <c r="X125" s="147">
        <f>+X121*X123*X61/1000</f>
        <v>470.83177706987851</v>
      </c>
      <c r="Y125" s="147">
        <f>+Y121*Y123*Y61/1000</f>
        <v>504.81064873743259</v>
      </c>
      <c r="Z125" s="147">
        <f>+Z121*Z123*Z61/1000</f>
        <v>432.70522919304983</v>
      </c>
      <c r="AA125" s="147">
        <f>+AA121*AA123*AA61/1000</f>
        <v>439.32819129282382</v>
      </c>
      <c r="AB125" s="136"/>
      <c r="AC125" s="147">
        <f>+AC121*AC123*AC61/1000</f>
        <v>440.46327060543695</v>
      </c>
      <c r="AD125" s="147">
        <f>+AD121*AD123*AD61/1000</f>
        <v>471.83748493052633</v>
      </c>
      <c r="AE125" s="147">
        <f>+AE121*AE123*AE61/1000</f>
        <v>402.24170128113559</v>
      </c>
      <c r="AF125" s="147">
        <f>+AF121*AF123*AF61/1000</f>
        <v>427.38707191468637</v>
      </c>
      <c r="AG125" s="136"/>
      <c r="AH125" s="147">
        <f>+AH121*AH123*AH61/1000</f>
        <v>414.17644194508784</v>
      </c>
      <c r="AI125" s="147">
        <f>+AI121*AI123*AI61/1000</f>
        <v>445.95910277711306</v>
      </c>
      <c r="AJ125" s="147">
        <f>+AJ121*AJ123*AJ61/1000</f>
        <v>381.23709155444902</v>
      </c>
      <c r="AK125" s="147">
        <f>+AK121*AK123*AK61/1000</f>
        <v>405.41061116570069</v>
      </c>
      <c r="AL125" s="136"/>
      <c r="AM125" s="147">
        <f>+AM121*AM123*AM61/1000</f>
        <v>389.57454001168503</v>
      </c>
      <c r="AN125" s="147">
        <f>+AN121*AN123*AN61/1000</f>
        <v>419.50058759258422</v>
      </c>
      <c r="AO125" s="147">
        <f>+AO121*AO123*AO61/1000</f>
        <v>358.1918144721123</v>
      </c>
      <c r="AP125" s="147">
        <f>+AP121*AP123*AP61/1000</f>
        <v>380.07223812314686</v>
      </c>
      <c r="AQ125" s="136"/>
      <c r="AR125" s="147">
        <f>+AR121*AR123*AR61/1000</f>
        <v>364.15076943664798</v>
      </c>
      <c r="AS125" s="147">
        <f>+AS121*AS123*AS61/1000</f>
        <v>391.51038300783256</v>
      </c>
      <c r="AT125" s="147">
        <f>+AT121*AT123*AT61/1000</f>
        <v>333.63188070052701</v>
      </c>
      <c r="AU125" s="147">
        <f>+AU121*AU123*AU61/1000</f>
        <v>353.24280020109393</v>
      </c>
      <c r="AV125" s="136"/>
    </row>
    <row r="126" spans="1:48" ht="17.25" outlineLevel="1" x14ac:dyDescent="0.4">
      <c r="A126" s="53"/>
      <c r="B126" s="713" t="s">
        <v>187</v>
      </c>
      <c r="C126" s="714"/>
      <c r="D126" s="46"/>
      <c r="E126" s="46"/>
      <c r="F126" s="46"/>
      <c r="G126" s="46"/>
      <c r="H126" s="54"/>
      <c r="I126" s="46"/>
      <c r="J126" s="46"/>
      <c r="K126" s="46"/>
      <c r="L126" s="46"/>
      <c r="M126" s="54"/>
      <c r="N126" s="46"/>
      <c r="O126" s="46"/>
      <c r="P126" s="46"/>
      <c r="Q126" s="46"/>
      <c r="R126" s="50"/>
      <c r="S126" s="46"/>
      <c r="T126" s="47"/>
      <c r="U126" s="47"/>
      <c r="V126" s="47"/>
      <c r="W126" s="50"/>
      <c r="X126" s="47"/>
      <c r="Y126" s="47"/>
      <c r="Z126" s="47"/>
      <c r="AA126" s="47"/>
      <c r="AB126" s="50"/>
      <c r="AC126" s="47"/>
      <c r="AD126" s="47"/>
      <c r="AE126" s="47"/>
      <c r="AF126" s="47"/>
      <c r="AG126" s="50"/>
      <c r="AH126" s="47"/>
      <c r="AI126" s="47"/>
      <c r="AJ126" s="47"/>
      <c r="AK126" s="47"/>
      <c r="AL126" s="50"/>
      <c r="AM126" s="47"/>
      <c r="AN126" s="47"/>
      <c r="AO126" s="47"/>
      <c r="AP126" s="47"/>
      <c r="AQ126" s="50"/>
      <c r="AR126" s="47"/>
      <c r="AS126" s="47"/>
      <c r="AT126" s="47"/>
      <c r="AU126" s="47"/>
      <c r="AV126" s="50"/>
    </row>
    <row r="127" spans="1:48" outlineLevel="2" x14ac:dyDescent="0.25">
      <c r="A127" s="53"/>
      <c r="B127" s="122" t="s">
        <v>364</v>
      </c>
      <c r="C127" s="283"/>
      <c r="D127" s="261">
        <v>790</v>
      </c>
      <c r="E127" s="261">
        <v>842</v>
      </c>
      <c r="F127" s="261">
        <v>793</v>
      </c>
      <c r="G127" s="261">
        <v>808.49</v>
      </c>
      <c r="H127" s="54"/>
      <c r="I127" s="261">
        <v>11153.5</v>
      </c>
      <c r="J127" s="261">
        <v>12592.5</v>
      </c>
      <c r="K127" s="261">
        <v>12578</v>
      </c>
      <c r="L127" s="261">
        <v>12794.5</v>
      </c>
      <c r="M127" s="54"/>
      <c r="N127" s="261">
        <v>10281</v>
      </c>
      <c r="O127" s="261">
        <v>13230.5</v>
      </c>
      <c r="P127" s="261">
        <v>13209.4</v>
      </c>
      <c r="Q127" s="261">
        <v>13738</v>
      </c>
      <c r="R127" s="50"/>
      <c r="S127" s="261">
        <v>13459</v>
      </c>
      <c r="T127" s="123">
        <v>15373.3</v>
      </c>
      <c r="U127" s="123">
        <v>14067</v>
      </c>
      <c r="V127" s="123">
        <v>14509</v>
      </c>
      <c r="W127" s="50"/>
      <c r="X127" s="123">
        <f>+S127*(1+X128)</f>
        <v>14778.379642351525</v>
      </c>
      <c r="Y127" s="123">
        <f>+T127*(1+Y128)</f>
        <v>16876.170072243149</v>
      </c>
      <c r="Z127" s="123">
        <f>+U127*(1+Z128)</f>
        <v>15392.228052595248</v>
      </c>
      <c r="AA127" s="123">
        <f>+V127*(1+AA128)</f>
        <v>15982.091514107049</v>
      </c>
      <c r="AB127" s="50"/>
      <c r="AC127" s="123">
        <f>+X127*(1+AC128)</f>
        <v>16476.52429080072</v>
      </c>
      <c r="AD127" s="123">
        <f>+Y127*(1+AD128)</f>
        <v>18886.574526190965</v>
      </c>
      <c r="AE127" s="123">
        <f>+Z127*(1+AE128)</f>
        <v>17308.081892595932</v>
      </c>
      <c r="AF127" s="123">
        <f>+AA127*(1+AF128)</f>
        <v>18092.272002747071</v>
      </c>
      <c r="AG127" s="50"/>
      <c r="AH127" s="123">
        <f>+AC127*(1+AH128)</f>
        <v>18503.991124486507</v>
      </c>
      <c r="AI127" s="123">
        <f>+AD127*(1+AI128)</f>
        <v>21249.057877036063</v>
      </c>
      <c r="AJ127" s="123">
        <f>+AE127*(1+AJ128)</f>
        <v>19498.908839698877</v>
      </c>
      <c r="AK127" s="123">
        <f>+AF127*(1+AK128)</f>
        <v>20391.901122932024</v>
      </c>
      <c r="AL127" s="50"/>
      <c r="AM127" s="123">
        <f>+AH127*(1+AM128)</f>
        <v>20779.166431380458</v>
      </c>
      <c r="AN127" s="123">
        <f>+AI127*(1+AN128)</f>
        <v>23861.245797862131</v>
      </c>
      <c r="AO127" s="123">
        <f>+AJ127*(1+AO128)</f>
        <v>21885.437466404917</v>
      </c>
      <c r="AP127" s="123">
        <f>+AK127*(1+AP128)</f>
        <v>22866.388978828749</v>
      </c>
      <c r="AQ127" s="50"/>
      <c r="AR127" s="123">
        <f>+AM127*(1+AR128)</f>
        <v>23270.730798189561</v>
      </c>
      <c r="AS127" s="123">
        <f>+AN127*(1+AS128)</f>
        <v>26704.183912053704</v>
      </c>
      <c r="AT127" s="123">
        <f>+AO127*(1+AT128)</f>
        <v>24472.246716650934</v>
      </c>
      <c r="AU127" s="123">
        <f>+AP127*(1+AU128)</f>
        <v>25545.162257839431</v>
      </c>
      <c r="AV127" s="50"/>
    </row>
    <row r="128" spans="1:48" outlineLevel="2" x14ac:dyDescent="0.25">
      <c r="A128" s="53"/>
      <c r="B128" s="140" t="s">
        <v>200</v>
      </c>
      <c r="C128" s="283"/>
      <c r="D128" s="165">
        <f>+D127/1059-1</f>
        <v>-0.25401322001888571</v>
      </c>
      <c r="E128" s="165">
        <f>+E127/1061-1</f>
        <v>-0.20640904806786053</v>
      </c>
      <c r="F128" s="165">
        <f>+F127/948-1</f>
        <v>-0.1635021097046413</v>
      </c>
      <c r="G128" s="165">
        <f>+G127/964-1</f>
        <v>-0.16131742738589205</v>
      </c>
      <c r="H128" s="83"/>
      <c r="I128" s="165">
        <f>+I127/D127-1</f>
        <v>13.118354430379746</v>
      </c>
      <c r="J128" s="165">
        <f>+J127/E127-1</f>
        <v>13.955463182897862</v>
      </c>
      <c r="K128" s="165">
        <f>+K127/F127-1</f>
        <v>14.861286254728878</v>
      </c>
      <c r="L128" s="165">
        <f>+L127/G127-1</f>
        <v>14.825180274338582</v>
      </c>
      <c r="M128" s="83"/>
      <c r="N128" s="165">
        <f>+N127/I127-1</f>
        <v>-7.822656565203745E-2</v>
      </c>
      <c r="O128" s="165">
        <f>+O127/J127-1</f>
        <v>5.0665078419694254E-2</v>
      </c>
      <c r="P128" s="165">
        <f>+P127/K127-1</f>
        <v>5.0198759739227272E-2</v>
      </c>
      <c r="Q128" s="165">
        <f>+Q127/L127-1</f>
        <v>7.3742623783657146E-2</v>
      </c>
      <c r="R128" s="57"/>
      <c r="S128" s="165">
        <f>+S127/N127-1</f>
        <v>0.30911389942612577</v>
      </c>
      <c r="T128" s="165">
        <f>+T127/O127-1</f>
        <v>0.16195910963304483</v>
      </c>
      <c r="U128" s="165">
        <f>+U127/P127-1</f>
        <v>6.4923463594107167E-2</v>
      </c>
      <c r="V128" s="165">
        <f>+V127/Q127-1</f>
        <v>5.6121706216334166E-2</v>
      </c>
      <c r="W128" s="83"/>
      <c r="X128" s="141">
        <f>AVERAGE(V128,U128,T128,S128)-5%</f>
        <v>9.802954471740298E-2</v>
      </c>
      <c r="Y128" s="141">
        <f>AVERAGE(X128,V128,U128,T128)+0.25%</f>
        <v>9.7758456040222291E-2</v>
      </c>
      <c r="Z128" s="141">
        <f>AVERAGE(Y128,X128,V128,U128)+1.5%</f>
        <v>9.4208292642016647E-2</v>
      </c>
      <c r="AA128" s="141">
        <f>AVERAGE(Z128,Y128,X128,V128)+1.5%</f>
        <v>0.10152949990399403</v>
      </c>
      <c r="AB128" s="57"/>
      <c r="AC128" s="141">
        <f>AVERAGE(AA128,Z128,Y128,X128)+1.7025915644001%</f>
        <v>0.11490736396991</v>
      </c>
      <c r="AD128" s="141">
        <f>AVERAGE(AC128,AA128,Z128,Y128)+1.7025915644001%</f>
        <v>0.11912681878303674</v>
      </c>
      <c r="AE128" s="141">
        <f>AVERAGE(AD128,AC128,AA128,Z128)+1.7025915644001%</f>
        <v>0.12446890946874034</v>
      </c>
      <c r="AF128" s="141">
        <f>AVERAGE(AE128,AD128,AC128,AA128)+1.7025915644001%</f>
        <v>0.13203406367542128</v>
      </c>
      <c r="AG128" s="57"/>
      <c r="AH128" s="141">
        <f>AVERAGE(AF128,AE128,AD128,AC128)+0.0417563340095869%</f>
        <v>0.12305185231437295</v>
      </c>
      <c r="AI128" s="141">
        <f>AVERAGE(AH128,AF128,AE128,AD128)+0.0417563340095869%</f>
        <v>0.12508797440048872</v>
      </c>
      <c r="AJ128" s="141">
        <f>AVERAGE(AI128,AH128,AF128,AE128)+0.0417563340095869%</f>
        <v>0.1265782633048517</v>
      </c>
      <c r="AK128" s="141">
        <f>AVERAGE(AJ128,AI128,AH128,AF128)+0.0417563340095869%</f>
        <v>0.12710560176387953</v>
      </c>
      <c r="AL128" s="57"/>
      <c r="AM128" s="176">
        <f>AVERAGE(AK128,AJ128,AI128,AH128)-0.25%</f>
        <v>0.12295592294589822</v>
      </c>
      <c r="AN128" s="176">
        <f>AVERAGE(AM128,AK128,AJ128,AI128)-0.25%</f>
        <v>0.12293194060377952</v>
      </c>
      <c r="AO128" s="176">
        <f>AVERAGE(AN128,AM128,AK128,AJ128)-0.25%</f>
        <v>0.12239293215460223</v>
      </c>
      <c r="AP128" s="176">
        <f>AVERAGE(AO128,AN128,AM128,AK128)-0.25%</f>
        <v>0.12134659936703987</v>
      </c>
      <c r="AQ128" s="57"/>
      <c r="AR128" s="176">
        <f>AVERAGE(AP128,AO128,AN128,AM128)-0.25%</f>
        <v>0.11990684876782995</v>
      </c>
      <c r="AS128" s="176">
        <f>AVERAGE(AR128,AP128,AO128,AN128)-0.25%</f>
        <v>0.1191445802233129</v>
      </c>
      <c r="AT128" s="176">
        <f>AVERAGE(AS128,AR128,AP128,AO128)-0.25%</f>
        <v>0.11819774012819623</v>
      </c>
      <c r="AU128" s="176">
        <f>AVERAGE(AT128,AS128,AR128,AP128)-0.25%</f>
        <v>0.11714894212159474</v>
      </c>
      <c r="AV128" s="57"/>
    </row>
    <row r="129" spans="1:48" outlineLevel="2" x14ac:dyDescent="0.25">
      <c r="A129" s="53"/>
      <c r="B129" s="122" t="s">
        <v>188</v>
      </c>
      <c r="C129" s="283"/>
      <c r="D129" s="142">
        <v>1.89</v>
      </c>
      <c r="E129" s="142">
        <v>1.84</v>
      </c>
      <c r="F129" s="142">
        <v>1.83</v>
      </c>
      <c r="G129" s="142">
        <v>1.8744000000000001</v>
      </c>
      <c r="H129" s="54"/>
      <c r="I129" s="142">
        <v>0.56499999999999995</v>
      </c>
      <c r="J129" s="142">
        <v>0.52800000000000002</v>
      </c>
      <c r="K129" s="142">
        <v>0.56000000000000005</v>
      </c>
      <c r="L129" s="142">
        <v>0.56899999999999995</v>
      </c>
      <c r="M129" s="54"/>
      <c r="N129" s="142">
        <v>0.56999999999999995</v>
      </c>
      <c r="O129" s="142">
        <v>0.57699999999999996</v>
      </c>
      <c r="P129" s="142">
        <v>0.60099999999999998</v>
      </c>
      <c r="Q129" s="142">
        <v>0.63</v>
      </c>
      <c r="R129" s="50"/>
      <c r="S129" s="142">
        <v>0.59299999999999997</v>
      </c>
      <c r="T129" s="142">
        <v>0.57199999999999995</v>
      </c>
      <c r="U129" s="142">
        <v>0.56799999999999995</v>
      </c>
      <c r="V129" s="142">
        <v>0.58899999999999997</v>
      </c>
      <c r="W129" s="54"/>
      <c r="X129" s="142">
        <f>+S129*(1+X130)</f>
        <v>0.55025915659749691</v>
      </c>
      <c r="Y129" s="142">
        <f>+T129*(1+Y130)</f>
        <v>0.54472575536614254</v>
      </c>
      <c r="Z129" s="142">
        <f>+U129*(1+Z130)</f>
        <v>0.54247610803664859</v>
      </c>
      <c r="AA129" s="142">
        <f>+V129*(1+AA130)</f>
        <v>0.56400082831352527</v>
      </c>
      <c r="AB129" s="50"/>
      <c r="AC129" s="142">
        <f>+X129*(1+AC130)</f>
        <v>0.53113296689628087</v>
      </c>
      <c r="AD129" s="142">
        <f>+Y129*(1+AD130)</f>
        <v>0.53087379604106699</v>
      </c>
      <c r="AE129" s="142">
        <f>+Z129*(1+AE130)</f>
        <v>0.53169928718358916</v>
      </c>
      <c r="AF129" s="142">
        <f>+AA129*(1+AF130)</f>
        <v>0.55633133596925355</v>
      </c>
      <c r="AG129" s="50"/>
      <c r="AH129" s="142">
        <f>+AC129*(1+AH130)</f>
        <v>0.51891931902674582</v>
      </c>
      <c r="AI129" s="142">
        <f>+AD129*(1+AI130)</f>
        <v>0.52022728174766586</v>
      </c>
      <c r="AJ129" s="142">
        <f>+AE129*(1+AJ130)</f>
        <v>0.52175062714676623</v>
      </c>
      <c r="AK129" s="142">
        <f>+AF129*(1+AK130)</f>
        <v>0.5460824132263149</v>
      </c>
      <c r="AL129" s="50"/>
      <c r="AM129" s="142">
        <f>+AH129*(1+AM130)</f>
        <v>0.5072198208621318</v>
      </c>
      <c r="AN129" s="142">
        <f>+AI129*(1+AN130)</f>
        <v>0.50855676421221108</v>
      </c>
      <c r="AO129" s="142">
        <f>+AJ129*(1+AO130)</f>
        <v>0.50973565074190474</v>
      </c>
      <c r="AP129" s="142">
        <f>+AK129*(1+AP130)</f>
        <v>0.53291774216740473</v>
      </c>
      <c r="AQ129" s="50"/>
      <c r="AR129" s="142">
        <f>+AM129*(1+AR130)</f>
        <v>0.49427112449559374</v>
      </c>
      <c r="AS129" s="142">
        <f>+AN129*(1+AS130)</f>
        <v>0.4951946968953122</v>
      </c>
      <c r="AT129" s="142">
        <f>+AO129*(1+AT130)</f>
        <v>0.49585313668834252</v>
      </c>
      <c r="AU129" s="142">
        <f>+AP129*(1+AU130)</f>
        <v>0.51784343576259917</v>
      </c>
      <c r="AV129" s="50"/>
    </row>
    <row r="130" spans="1:48" outlineLevel="2" x14ac:dyDescent="0.25">
      <c r="A130" s="53"/>
      <c r="B130" s="140" t="s">
        <v>199</v>
      </c>
      <c r="C130" s="283"/>
      <c r="D130" s="165">
        <f>+D129/1.78-1</f>
        <v>6.1797752808988804E-2</v>
      </c>
      <c r="E130" s="165">
        <f>+E129/1.76-1</f>
        <v>4.5454545454545414E-2</v>
      </c>
      <c r="F130" s="165">
        <f>+F129/1.72-1</f>
        <v>6.3953488372093137E-2</v>
      </c>
      <c r="G130" s="165">
        <f>+G129/1.75-1</f>
        <v>7.1085714285714419E-2</v>
      </c>
      <c r="H130" s="83"/>
      <c r="I130" s="165">
        <f>+I129/D129-1</f>
        <v>-0.70105820105820105</v>
      </c>
      <c r="J130" s="165">
        <f>+J129/E129-1</f>
        <v>-0.71304347826086956</v>
      </c>
      <c r="K130" s="165">
        <f>+K129/F129-1</f>
        <v>-0.69398907103825136</v>
      </c>
      <c r="L130" s="165">
        <f>+L129/G129-1</f>
        <v>-0.6964361929150662</v>
      </c>
      <c r="M130" s="83"/>
      <c r="N130" s="165">
        <f>+N129/I129-1</f>
        <v>8.8495575221239076E-3</v>
      </c>
      <c r="O130" s="165">
        <f>+O129/J129-1</f>
        <v>9.2803030303030276E-2</v>
      </c>
      <c r="P130" s="165">
        <f>+P129/K129-1</f>
        <v>7.3214285714285676E-2</v>
      </c>
      <c r="Q130" s="165">
        <f>+Q129/L129-1</f>
        <v>0.10720562390158173</v>
      </c>
      <c r="R130" s="57"/>
      <c r="S130" s="165">
        <f>+S129/N129-1</f>
        <v>4.0350877192982582E-2</v>
      </c>
      <c r="T130" s="165">
        <f>+T129/O129-1</f>
        <v>-8.6655112651646826E-3</v>
      </c>
      <c r="U130" s="165">
        <f>+U129/P129-1</f>
        <v>-5.490848585690522E-2</v>
      </c>
      <c r="V130" s="165">
        <f>+V129/Q129-1</f>
        <v>-6.5079365079365181E-2</v>
      </c>
      <c r="W130" s="83"/>
      <c r="X130" s="141">
        <f>AVERAGE(V130,U130,T130,S130)-5%</f>
        <v>-7.2075621252113128E-2</v>
      </c>
      <c r="Y130" s="141">
        <f>AVERAGE(X130,V130,U130,T130)+0.25%</f>
        <v>-4.7682245863387054E-2</v>
      </c>
      <c r="Z130" s="141">
        <f>AVERAGE(Y130,X130,V130,U130)+1.5%</f>
        <v>-4.4936429512942647E-2</v>
      </c>
      <c r="AA130" s="141">
        <f>AVERAGE(Z130,Y130,X130,V130)+1.5%</f>
        <v>-4.2443415426952E-2</v>
      </c>
      <c r="AB130" s="57"/>
      <c r="AC130" s="141">
        <f>AVERAGE(AA130,Z130,Y130,X130)+1.7025915644001%</f>
        <v>-3.4758512369847706E-2</v>
      </c>
      <c r="AD130" s="141">
        <f>AVERAGE(AC130,AA130,Z130,Y130)+1.7025915644001%</f>
        <v>-2.5429235149281353E-2</v>
      </c>
      <c r="AE130" s="141">
        <f>AVERAGE(AD130,AC130,AA130,Z130)+1.7025915644001%</f>
        <v>-1.9865982470754925E-2</v>
      </c>
      <c r="AF130" s="141">
        <f>AVERAGE(AE130,AD130,AC130,AA130)+1.7025915644001%</f>
        <v>-1.3598370710207995E-2</v>
      </c>
      <c r="AG130" s="57"/>
      <c r="AH130" s="141">
        <f>AVERAGE(AF130,AE130,AD130,AC130)+0.0417563340095869%</f>
        <v>-2.2995461834927126E-2</v>
      </c>
      <c r="AI130" s="141">
        <f>AVERAGE(AH130,AF130,AE130,AD130)+0.0417563340095869%</f>
        <v>-2.0054699201196981E-2</v>
      </c>
      <c r="AJ130" s="141">
        <f>AVERAGE(AI130,AH130,AF130,AE130)+0.0417563340095869%</f>
        <v>-1.8711065214175888E-2</v>
      </c>
      <c r="AK130" s="141">
        <f>AVERAGE(AJ130,AI130,AH130,AF130)+0.0417563340095869%</f>
        <v>-1.8422335900031128E-2</v>
      </c>
      <c r="AL130" s="57"/>
      <c r="AM130" s="176">
        <f>AVERAGE(AK130,AJ130,AI130,AH130)-0.25%</f>
        <v>-2.2545890537582779E-2</v>
      </c>
      <c r="AN130" s="176">
        <f>AVERAGE(AM130,AK130,AJ130,AI130)-0.25%</f>
        <v>-2.2433497713246695E-2</v>
      </c>
      <c r="AO130" s="176">
        <f>AVERAGE(AN130,AM130,AK130,AJ130)-0.25%</f>
        <v>-2.3028197341259122E-2</v>
      </c>
      <c r="AP130" s="176">
        <f>AVERAGE(AO130,AN130,AM130,AK130)-0.25%</f>
        <v>-2.410748037302993E-2</v>
      </c>
      <c r="AQ130" s="57"/>
      <c r="AR130" s="176">
        <f>AVERAGE(AP130,AO130,AN130,AM130)-0.25%</f>
        <v>-2.5528766491279629E-2</v>
      </c>
      <c r="AS130" s="176">
        <f>AVERAGE(AR130,AP130,AO130,AN130)-0.25%</f>
        <v>-2.6274485479703843E-2</v>
      </c>
      <c r="AT130" s="176">
        <f>AVERAGE(AS130,AR130,AP130,AO130)-0.25%</f>
        <v>-2.7234732421318127E-2</v>
      </c>
      <c r="AU130" s="176">
        <f>AVERAGE(AT130,AS130,AR130,AP130)-0.25%</f>
        <v>-2.828636619133288E-2</v>
      </c>
      <c r="AV130" s="57"/>
    </row>
    <row r="131" spans="1:48" outlineLevel="2" x14ac:dyDescent="0.25">
      <c r="A131" s="53"/>
      <c r="B131" s="118" t="s">
        <v>189</v>
      </c>
      <c r="C131" s="119"/>
      <c r="D131" s="143">
        <f>+D127*D129*D61/1000</f>
        <v>97.051500000000004</v>
      </c>
      <c r="E131" s="143">
        <f>+E127*E129*E61/1000</f>
        <v>97.604640000000003</v>
      </c>
      <c r="F131" s="143">
        <f>+F127*F129*F61/1000</f>
        <v>91.424970000000002</v>
      </c>
      <c r="G131" s="143">
        <f>+G127*G129*G61/1000</f>
        <v>98.503187640000007</v>
      </c>
      <c r="H131" s="56"/>
      <c r="I131" s="143">
        <f>+I127*I129*I61/1000</f>
        <v>409.61228749999992</v>
      </c>
      <c r="J131" s="143">
        <f>+J127*J129*J61/1000</f>
        <v>418.87691999999998</v>
      </c>
      <c r="K131" s="143">
        <f>+K127*K129*K61/1000</f>
        <v>436.70816000000002</v>
      </c>
      <c r="L131" s="143">
        <f>+L127*L129*L61/1000</f>
        <v>473.20458249999996</v>
      </c>
      <c r="M131" s="56"/>
      <c r="N131" s="143">
        <f>+N127*N129*N61/1000</f>
        <v>380.91104999999993</v>
      </c>
      <c r="O131" s="143">
        <f>+O127*O129*O61/1000</f>
        <v>480.94190550000002</v>
      </c>
      <c r="P131" s="143">
        <f>+P127*P129*P61/1000</f>
        <v>492.20866279999996</v>
      </c>
      <c r="Q131" s="143">
        <f>+Q127*Q129*Q61/1000</f>
        <v>562.5711</v>
      </c>
      <c r="R131" s="51"/>
      <c r="S131" s="143">
        <f>+S127*S129*S61/1000</f>
        <v>518.77715499999999</v>
      </c>
      <c r="T131" s="143">
        <f>+T127*T129*T61/1000</f>
        <v>553.99223879999988</v>
      </c>
      <c r="U131" s="143">
        <f>+U127*U129*U61/1000</f>
        <v>495.38347199999993</v>
      </c>
      <c r="V131" s="143">
        <f>+V127*V129*V61/1000</f>
        <v>555.47706499999993</v>
      </c>
      <c r="W131" s="51"/>
      <c r="X131" s="143">
        <f>+X127*X129*X61/1000</f>
        <v>520.44407794418998</v>
      </c>
      <c r="Y131" s="143">
        <f>+Y127*Y129*Y61/1000</f>
        <v>579.15172288827864</v>
      </c>
      <c r="Z131" s="143">
        <f>+Z127*Z129*Z61/1000</f>
        <v>526.0447059830168</v>
      </c>
      <c r="AA131" s="143">
        <f>+AA127*AA129*AA61/1000</f>
        <v>576.89042253689217</v>
      </c>
      <c r="AB131" s="51"/>
      <c r="AC131" s="143">
        <f>+AC127*AC129*AC61/1000</f>
        <v>568.82963999625576</v>
      </c>
      <c r="AD131" s="143">
        <f>+AD127*AD129*AD61/1000</f>
        <v>631.66241331468541</v>
      </c>
      <c r="AE131" s="143">
        <f>+AE127*AE129*AE61/1000</f>
        <v>570.56707789812356</v>
      </c>
      <c r="AF131" s="143">
        <f>+AF127*AF129*AF61/1000</f>
        <v>654.2443605104811</v>
      </c>
      <c r="AG131" s="51"/>
      <c r="AH131" s="143">
        <f>+AH127*AH129*AH61/1000</f>
        <v>624.13510078370666</v>
      </c>
      <c r="AI131" s="143">
        <f>+AI127*AI129*AI61/1000</f>
        <v>696.42339600136586</v>
      </c>
      <c r="AJ131" s="143">
        <f>+AJ127*AJ129*AJ61/1000</f>
        <v>630.76121077901166</v>
      </c>
      <c r="AK131" s="143">
        <f>+AK127*AK129*AK61/1000</f>
        <v>723.81780740640284</v>
      </c>
      <c r="AL131" s="51"/>
      <c r="AM131" s="143">
        <f>+AM127*AM129*AM61/1000</f>
        <v>685.07432987429922</v>
      </c>
      <c r="AN131" s="143">
        <f>+AN127*AN129*AN61/1000</f>
        <v>764.49227104107808</v>
      </c>
      <c r="AO131" s="143">
        <f>+AO127*AO129*AO61/1000</f>
        <v>691.65883793996863</v>
      </c>
      <c r="AP131" s="143">
        <f>+AP127*AP129*AP61/1000</f>
        <v>792.08378509773775</v>
      </c>
      <c r="AQ131" s="51"/>
      <c r="AR131" s="143">
        <f>+AR127*AR129*AR61/1000</f>
        <v>747.63326816460096</v>
      </c>
      <c r="AS131" s="143">
        <f>+AS127*AS129*AS61/1000</f>
        <v>833.0975262644647</v>
      </c>
      <c r="AT131" s="143">
        <f>+AT127*AT129*AT61/1000</f>
        <v>752.34769836826626</v>
      </c>
      <c r="AU131" s="143">
        <f>+AU127*AU129*AU61/1000</f>
        <v>859.84564839632196</v>
      </c>
      <c r="AV131" s="51"/>
    </row>
    <row r="132" spans="1:48" ht="17.25" outlineLevel="1" x14ac:dyDescent="0.4">
      <c r="A132" s="53"/>
      <c r="B132" s="719" t="s">
        <v>190</v>
      </c>
      <c r="C132" s="720"/>
      <c r="D132" s="125"/>
      <c r="E132" s="125"/>
      <c r="F132" s="125"/>
      <c r="G132" s="125"/>
      <c r="H132" s="135"/>
      <c r="I132" s="125"/>
      <c r="J132" s="125"/>
      <c r="K132" s="125"/>
      <c r="L132" s="125"/>
      <c r="M132" s="135"/>
      <c r="N132" s="125"/>
      <c r="O132" s="125"/>
      <c r="P132" s="125"/>
      <c r="Q132" s="125"/>
      <c r="R132" s="135"/>
      <c r="S132" s="125"/>
      <c r="T132" s="125"/>
      <c r="U132" s="125"/>
      <c r="V132" s="125"/>
      <c r="W132" s="135"/>
      <c r="X132" s="125"/>
      <c r="Y132" s="125"/>
      <c r="Z132" s="125"/>
      <c r="AA132" s="125"/>
      <c r="AB132" s="135"/>
      <c r="AC132" s="125"/>
      <c r="AD132" s="125"/>
      <c r="AE132" s="125"/>
      <c r="AF132" s="125"/>
      <c r="AG132" s="135"/>
      <c r="AH132" s="125"/>
      <c r="AI132" s="125"/>
      <c r="AJ132" s="125"/>
      <c r="AK132" s="125"/>
      <c r="AL132" s="135"/>
      <c r="AM132" s="125"/>
      <c r="AN132" s="125"/>
      <c r="AO132" s="125"/>
      <c r="AP132" s="125"/>
      <c r="AQ132" s="135"/>
      <c r="AR132" s="125"/>
      <c r="AS132" s="125"/>
      <c r="AT132" s="125"/>
      <c r="AU132" s="125"/>
      <c r="AV132" s="135"/>
    </row>
    <row r="133" spans="1:48" outlineLevel="2" x14ac:dyDescent="0.25">
      <c r="A133" s="53"/>
      <c r="B133" s="126" t="s">
        <v>365</v>
      </c>
      <c r="C133" s="127"/>
      <c r="D133" s="128">
        <v>609</v>
      </c>
      <c r="E133" s="128">
        <v>678</v>
      </c>
      <c r="F133" s="128">
        <v>622</v>
      </c>
      <c r="G133" s="128">
        <v>586</v>
      </c>
      <c r="H133" s="135"/>
      <c r="I133" s="128">
        <v>1869.4</v>
      </c>
      <c r="J133" s="128">
        <v>1958.5</v>
      </c>
      <c r="K133" s="128">
        <v>1995</v>
      </c>
      <c r="L133" s="128">
        <v>1787</v>
      </c>
      <c r="M133" s="135"/>
      <c r="N133" s="128">
        <v>1853</v>
      </c>
      <c r="O133" s="128">
        <v>2145</v>
      </c>
      <c r="P133" s="128">
        <v>1951</v>
      </c>
      <c r="Q133" s="128">
        <v>1811</v>
      </c>
      <c r="R133" s="135"/>
      <c r="S133" s="128">
        <v>1717</v>
      </c>
      <c r="T133" s="128">
        <v>1759</v>
      </c>
      <c r="U133" s="128">
        <v>1615</v>
      </c>
      <c r="V133" s="128">
        <v>1488</v>
      </c>
      <c r="W133" s="135"/>
      <c r="X133" s="128">
        <f>+S133*(1+X134)</f>
        <v>1371.916588674296</v>
      </c>
      <c r="Y133" s="128">
        <f>+T133*(1+Y134)</f>
        <v>1441.7169922276926</v>
      </c>
      <c r="Z133" s="128">
        <f>+U133*(1+Z134)</f>
        <v>1343.7077636028253</v>
      </c>
      <c r="AA133" s="128">
        <f>+V133*(1+AA134)</f>
        <v>1239.6175827995642</v>
      </c>
      <c r="AB133" s="135"/>
      <c r="AC133" s="128">
        <f>+X133*(1+AC134)</f>
        <v>1149.6111647905204</v>
      </c>
      <c r="AD133" s="128">
        <f>+Y133*(1+AD134)</f>
        <v>1222.136364817891</v>
      </c>
      <c r="AE133" s="128">
        <f>+Z133*(1+AE134)</f>
        <v>1148.4845600704177</v>
      </c>
      <c r="AF133" s="128">
        <f>+AA133*(1+AF134)</f>
        <v>1066.5508704700153</v>
      </c>
      <c r="AG133" s="135"/>
      <c r="AH133" s="128">
        <f>+AC133*(1+AH134)</f>
        <v>977.86653607058815</v>
      </c>
      <c r="AI133" s="128">
        <f>+AD133*(1+AI134)</f>
        <v>1043.4208293156564</v>
      </c>
      <c r="AJ133" s="128">
        <f>+AE133*(1+AJ134)</f>
        <v>982.28293038671427</v>
      </c>
      <c r="AK133" s="128">
        <f>+AF133*(1+AK134)</f>
        <v>912.35898952224795</v>
      </c>
      <c r="AL133" s="135"/>
      <c r="AM133" s="128">
        <f>+AH133*(1+AM134)</f>
        <v>832.43084648896797</v>
      </c>
      <c r="AN133" s="128">
        <f>+AI133*(1+AN134)</f>
        <v>888.40917218585832</v>
      </c>
      <c r="AO133" s="128">
        <f>+AJ133*(1+AO134)</f>
        <v>835.78206192326093</v>
      </c>
      <c r="AP133" s="128">
        <f>+AK133*(1+AP134)</f>
        <v>775.27650561212374</v>
      </c>
      <c r="AQ133" s="135"/>
      <c r="AR133" s="128">
        <f>+AM133*(1+AR134)</f>
        <v>706.17555888470474</v>
      </c>
      <c r="AS133" s="128">
        <f>+AN133*(1+AS134)</f>
        <v>753.00995859386683</v>
      </c>
      <c r="AT133" s="128">
        <f>+AO133*(1+AT134)</f>
        <v>707.60008601909658</v>
      </c>
      <c r="AU133" s="128">
        <f>+AP133*(1+AU134)</f>
        <v>655.55534793295703</v>
      </c>
      <c r="AV133" s="135"/>
    </row>
    <row r="134" spans="1:48" outlineLevel="2" x14ac:dyDescent="0.25">
      <c r="A134" s="53"/>
      <c r="B134" s="144" t="s">
        <v>200</v>
      </c>
      <c r="C134" s="127"/>
      <c r="D134" s="145">
        <f>+D133/670-1</f>
        <v>-9.1044776119402981E-2</v>
      </c>
      <c r="E134" s="145">
        <f>+E133/630-1</f>
        <v>7.6190476190476142E-2</v>
      </c>
      <c r="F134" s="145">
        <f>+F133/718-1</f>
        <v>-0.13370473537604455</v>
      </c>
      <c r="G134" s="145">
        <f>+G133/716.4-1</f>
        <v>-0.18202121719709652</v>
      </c>
      <c r="H134" s="146"/>
      <c r="I134" s="145">
        <f>+I133/D133-1</f>
        <v>2.0696223316912974</v>
      </c>
      <c r="J134" s="145">
        <f>+J133/E133-1</f>
        <v>1.8886430678466075</v>
      </c>
      <c r="K134" s="145">
        <f>+K133/F133-1</f>
        <v>2.207395498392283</v>
      </c>
      <c r="L134" s="145">
        <f>+L133/G133-1</f>
        <v>2.0494880546075085</v>
      </c>
      <c r="M134" s="146"/>
      <c r="N134" s="145">
        <f>+N133/I133-1</f>
        <v>-8.7728682999893559E-3</v>
      </c>
      <c r="O134" s="145">
        <f>+O133/J133-1</f>
        <v>9.5225938218024053E-2</v>
      </c>
      <c r="P134" s="145">
        <f>+P133/K133-1</f>
        <v>-2.205513784461155E-2</v>
      </c>
      <c r="Q134" s="145">
        <f>+Q133/L133-1</f>
        <v>1.3430330162283122E-2</v>
      </c>
      <c r="R134" s="146"/>
      <c r="S134" s="145">
        <f>+S133/N133-1</f>
        <v>-7.3394495412844041E-2</v>
      </c>
      <c r="T134" s="145">
        <f>+T133/O133-1</f>
        <v>-0.1799533799533799</v>
      </c>
      <c r="U134" s="145">
        <f>+U133/P133-1</f>
        <v>-0.17221937467965143</v>
      </c>
      <c r="V134" s="145">
        <f>+V133/Q133-1</f>
        <v>-0.17835450027609057</v>
      </c>
      <c r="W134" s="146"/>
      <c r="X134" s="141">
        <f>AVERAGE(V134,U134,T134,S134)-5%</f>
        <v>-0.2009804375804915</v>
      </c>
      <c r="Y134" s="141">
        <f>AVERAGE(X134,V134,U134,T134)+0.25%</f>
        <v>-0.18037692312240333</v>
      </c>
      <c r="Z134" s="141">
        <f>AVERAGE(Y134,X134,V134,U134)+1.5%</f>
        <v>-0.16798280891465922</v>
      </c>
      <c r="AA134" s="141">
        <f>AVERAGE(Z134,Y134,X134,V134)+1.5%</f>
        <v>-0.16692366747341114</v>
      </c>
      <c r="AB134" s="146"/>
      <c r="AC134" s="141">
        <f>AVERAGE(AA134,Z134,Y134,X134)+1.7025915644001%</f>
        <v>-0.16204004362874033</v>
      </c>
      <c r="AD134" s="141">
        <f>AVERAGE(AC134,AA134,Z134,Y134)+1.7025915644001%</f>
        <v>-0.15230494514080253</v>
      </c>
      <c r="AE134" s="141">
        <f>AVERAGE(AD134,AC134,AA134,Z134)+1.7025915644001%</f>
        <v>-0.14528695064540231</v>
      </c>
      <c r="AF134" s="141">
        <f>AVERAGE(AE134,AD134,AC134,AA134)+1.7025915644001%</f>
        <v>-0.13961298607808809</v>
      </c>
      <c r="AG134" s="146"/>
      <c r="AH134" s="141">
        <f>AVERAGE(AF134,AE134,AD134,AC134)+0.0417563340095869%</f>
        <v>-0.14939366803316245</v>
      </c>
      <c r="AI134" s="141">
        <f>AVERAGE(AH134,AF134,AE134,AD134)+0.0417563340095869%</f>
        <v>-0.14623207413426798</v>
      </c>
      <c r="AJ134" s="141">
        <f>AVERAGE(AI134,AH134,AF134,AE134)+0.0417563340095869%</f>
        <v>-0.14471385638263431</v>
      </c>
      <c r="AK134" s="141">
        <f>AVERAGE(AJ134,AI134,AH134,AF134)+0.0417563340095869%</f>
        <v>-0.14457058281694232</v>
      </c>
      <c r="AL134" s="146"/>
      <c r="AM134" s="176">
        <f>AVERAGE(AK134,AJ134,AI134,AH134)-0.25%</f>
        <v>-0.14872754534175175</v>
      </c>
      <c r="AN134" s="176">
        <f>AVERAGE(AM134,AK134,AJ134,AI134)-0.25%</f>
        <v>-0.14856101466889909</v>
      </c>
      <c r="AO134" s="176">
        <f>AVERAGE(AN134,AM134,AK134,AJ134)-0.25%</f>
        <v>-0.14914324980255689</v>
      </c>
      <c r="AP134" s="176">
        <f>AVERAGE(AO134,AN134,AM134,AK134)-0.25%</f>
        <v>-0.15025059815753752</v>
      </c>
      <c r="AQ134" s="146"/>
      <c r="AR134" s="176">
        <f>AVERAGE(AP134,AO134,AN134,AM134)-0.25%</f>
        <v>-0.15167060199268631</v>
      </c>
      <c r="AS134" s="176">
        <f>AVERAGE(AR134,AP134,AO134,AN134)-0.25%</f>
        <v>-0.15240636615541997</v>
      </c>
      <c r="AT134" s="176">
        <f>AVERAGE(AS134,AR134,AP134,AO134)-0.25%</f>
        <v>-0.15336770402705016</v>
      </c>
      <c r="AU134" s="176">
        <f>AVERAGE(AT134,AS134,AR134,AP134)-0.25%</f>
        <v>-0.1544238175831735</v>
      </c>
      <c r="AV134" s="146"/>
    </row>
    <row r="135" spans="1:48" outlineLevel="2" x14ac:dyDescent="0.25">
      <c r="A135" s="53"/>
      <c r="B135" s="126" t="s">
        <v>191</v>
      </c>
      <c r="C135" s="127"/>
      <c r="D135" s="129">
        <v>0.92</v>
      </c>
      <c r="E135" s="129">
        <v>0.75</v>
      </c>
      <c r="F135" s="129">
        <v>0.76</v>
      </c>
      <c r="G135" s="129">
        <v>0.73</v>
      </c>
      <c r="H135" s="135"/>
      <c r="I135" s="129">
        <v>0.76400000000000001</v>
      </c>
      <c r="J135" s="129">
        <v>0.755</v>
      </c>
      <c r="K135" s="129">
        <v>0.68</v>
      </c>
      <c r="L135" s="129">
        <v>0.73</v>
      </c>
      <c r="M135" s="135"/>
      <c r="N135" s="129">
        <v>0.69</v>
      </c>
      <c r="O135" s="129">
        <v>0.67</v>
      </c>
      <c r="P135" s="129">
        <v>0.71</v>
      </c>
      <c r="Q135" s="129">
        <v>0.78</v>
      </c>
      <c r="R135" s="135"/>
      <c r="S135" s="129">
        <v>0.76</v>
      </c>
      <c r="T135" s="129">
        <v>0.75</v>
      </c>
      <c r="U135" s="129">
        <v>0.76</v>
      </c>
      <c r="V135" s="129">
        <v>0.72</v>
      </c>
      <c r="W135" s="135"/>
      <c r="X135" s="129">
        <f>+S135*(1+X136)</f>
        <v>0.76272682655777602</v>
      </c>
      <c r="Y135" s="129">
        <f>+T135*(1+Y136)</f>
        <v>0.77371694494576904</v>
      </c>
      <c r="Z135" s="129">
        <f>+U135*(1+Z136)</f>
        <v>0.77685489643379502</v>
      </c>
      <c r="AA135" s="129">
        <f>+V135*(1+AA136)</f>
        <v>0.72728368943883426</v>
      </c>
      <c r="AB135" s="135"/>
      <c r="AC135" s="129">
        <f>+X135*(1+AC136)</f>
        <v>0.78858477544453598</v>
      </c>
      <c r="AD135" s="129">
        <f>+Y135*(1+AD136)</f>
        <v>0.80581110401033607</v>
      </c>
      <c r="AE135" s="129">
        <f>+Z135*(1+AE136)</f>
        <v>0.81099375837337151</v>
      </c>
      <c r="AF135" s="129">
        <f>+AA135*(1+AF136)</f>
        <v>0.76320192795905317</v>
      </c>
      <c r="AG135" s="135"/>
      <c r="AH135" s="129">
        <f>+AC135*(1+AH136)</f>
        <v>0.82217543569528806</v>
      </c>
      <c r="AI135" s="129">
        <f>+AD135*(1+AI136)</f>
        <v>0.8418870002155423</v>
      </c>
      <c r="AJ135" s="129">
        <f>+AE135*(1+AJ136)</f>
        <v>0.84796855587811026</v>
      </c>
      <c r="AK135" s="129">
        <f>+AF135*(1+AK136)</f>
        <v>0.79831204995281091</v>
      </c>
      <c r="AL135" s="135"/>
      <c r="AM135" s="129">
        <f>+AH135*(1+AM136)</f>
        <v>0.85690442928859245</v>
      </c>
      <c r="AN135" s="129">
        <f>+AI135*(1+AN136)</f>
        <v>0.87737373970260168</v>
      </c>
      <c r="AO135" s="129">
        <f>+AJ135*(1+AO136)</f>
        <v>0.88315659521819467</v>
      </c>
      <c r="AP135" s="129">
        <f>+AK135*(1+AP136)</f>
        <v>0.83062220889970717</v>
      </c>
      <c r="AQ135" s="135"/>
      <c r="AR135" s="129">
        <f>+AM135*(1+AR136)</f>
        <v>0.89040120036720727</v>
      </c>
      <c r="AS135" s="129">
        <f>+AN135*(1+AS136)</f>
        <v>0.91097974890865852</v>
      </c>
      <c r="AT135" s="129">
        <f>+AO135*(1+AT136)</f>
        <v>0.91613440434827831</v>
      </c>
      <c r="AU135" s="129">
        <f>+AP135*(1+AU136)</f>
        <v>0.86077531760206294</v>
      </c>
      <c r="AV135" s="135"/>
    </row>
    <row r="136" spans="1:48" outlineLevel="2" x14ac:dyDescent="0.25">
      <c r="A136" s="53"/>
      <c r="B136" s="144" t="s">
        <v>199</v>
      </c>
      <c r="C136" s="127"/>
      <c r="D136" s="145">
        <f>+D135/1.07-1</f>
        <v>-0.14018691588785048</v>
      </c>
      <c r="E136" s="145">
        <f>+E135/1.07-1</f>
        <v>-0.2990654205607477</v>
      </c>
      <c r="F136" s="145">
        <f>+F135/1-1</f>
        <v>-0.24</v>
      </c>
      <c r="G136" s="145">
        <f>+G135/1.01-1</f>
        <v>-0.27722772277227725</v>
      </c>
      <c r="H136" s="146"/>
      <c r="I136" s="145">
        <f>+I135/D135-1</f>
        <v>-0.16956521739130437</v>
      </c>
      <c r="J136" s="145">
        <f>+J135/E135-1</f>
        <v>6.6666666666665986E-3</v>
      </c>
      <c r="K136" s="145">
        <f>+K135/F135-1</f>
        <v>-0.10526315789473684</v>
      </c>
      <c r="L136" s="145">
        <f>+L135/G135-1</f>
        <v>0</v>
      </c>
      <c r="M136" s="146"/>
      <c r="N136" s="145">
        <f>+N135/I135-1</f>
        <v>-9.6858638743455572E-2</v>
      </c>
      <c r="O136" s="145">
        <f>+O135/J135-1</f>
        <v>-0.11258278145695355</v>
      </c>
      <c r="P136" s="145">
        <f>+P135/K135-1</f>
        <v>4.4117647058823373E-2</v>
      </c>
      <c r="Q136" s="145">
        <f>+Q135/L135-1</f>
        <v>6.8493150684931559E-2</v>
      </c>
      <c r="R136" s="146"/>
      <c r="S136" s="145">
        <f>+S135/N135-1</f>
        <v>0.10144927536231885</v>
      </c>
      <c r="T136" s="145">
        <f>+T135/O135-1</f>
        <v>0.11940298507462677</v>
      </c>
      <c r="U136" s="145">
        <f>+U135/P135-1</f>
        <v>7.0422535211267734E-2</v>
      </c>
      <c r="V136" s="145">
        <f>+V135/Q135-1</f>
        <v>-7.6923076923076983E-2</v>
      </c>
      <c r="W136" s="146"/>
      <c r="X136" s="141">
        <f>AVERAGE(V136,U136,T136,S136)-5%</f>
        <v>3.5879296812840883E-3</v>
      </c>
      <c r="Y136" s="141">
        <f>AVERAGE(X136,V136,U136,T136)+0.25%</f>
        <v>3.16225932610254E-2</v>
      </c>
      <c r="Z136" s="141">
        <f>AVERAGE(Y136,X136,V136,U136)+1.5%</f>
        <v>2.2177495307625059E-2</v>
      </c>
      <c r="AA136" s="141">
        <f>AVERAGE(Z136,Y136,X136,V136)+1.5%</f>
        <v>1.011623533171439E-2</v>
      </c>
      <c r="AB136" s="146"/>
      <c r="AC136" s="141">
        <f>AVERAGE(AA136,Z136,Y136,X136)+1.7025915644001%</f>
        <v>3.3901979039413235E-2</v>
      </c>
      <c r="AD136" s="141">
        <f>AVERAGE(AC136,AA136,Z136,Y136)+1.7025915644001%</f>
        <v>4.1480491378945522E-2</v>
      </c>
      <c r="AE136" s="141">
        <f>AVERAGE(AD136,AC136,AA136,Z136)+1.7025915644001%</f>
        <v>4.3944965908425553E-2</v>
      </c>
      <c r="AF136" s="141">
        <f>AVERAGE(AE136,AD136,AC136,AA136)+1.7025915644001%</f>
        <v>4.9386833558625678E-2</v>
      </c>
      <c r="AG136" s="146"/>
      <c r="AH136" s="141">
        <f>AVERAGE(AF136,AE136,AD136,AC136)+0.0417563340095869%</f>
        <v>4.259613081144837E-2</v>
      </c>
      <c r="AI136" s="141">
        <f>AVERAGE(AH136,AF136,AE136,AD136)+0.0417563340095869%</f>
        <v>4.4769668754457155E-2</v>
      </c>
      <c r="AJ136" s="141">
        <f>AVERAGE(AI136,AH136,AF136,AE136)+0.0417563340095869%</f>
        <v>4.5591963098335062E-2</v>
      </c>
      <c r="AK136" s="141">
        <f>AVERAGE(AJ136,AI136,AH136,AF136)+0.0417563340095869%</f>
        <v>4.6003712395812434E-2</v>
      </c>
      <c r="AL136" s="146"/>
      <c r="AM136" s="176">
        <f>AVERAGE(AK136,AJ136,AI136,AH136)-0.25%</f>
        <v>4.2240368765013248E-2</v>
      </c>
      <c r="AN136" s="176">
        <f>AVERAGE(AM136,AK136,AJ136,AI136)-0.25%</f>
        <v>4.2151428253404469E-2</v>
      </c>
      <c r="AO136" s="176">
        <f>AVERAGE(AN136,AM136,AK136,AJ136)-0.25%</f>
        <v>4.1496868128141295E-2</v>
      </c>
      <c r="AP136" s="176">
        <f>AVERAGE(AO136,AN136,AM136,AK136)-0.25%</f>
        <v>4.0473094385592857E-2</v>
      </c>
      <c r="AQ136" s="146"/>
      <c r="AR136" s="176">
        <f>AVERAGE(AP136,AO136,AN136,AM136)-0.25%</f>
        <v>3.9090439883037967E-2</v>
      </c>
      <c r="AS136" s="176">
        <f>AVERAGE(AR136,AP136,AO136,AN136)-0.25%</f>
        <v>3.8302957662544143E-2</v>
      </c>
      <c r="AT136" s="176">
        <f>AVERAGE(AS136,AR136,AP136,AO136)-0.25%</f>
        <v>3.7340840014829062E-2</v>
      </c>
      <c r="AU136" s="176">
        <f>AVERAGE(AT136,AS136,AR136,AP136)-0.25%</f>
        <v>3.6301832986501005E-2</v>
      </c>
      <c r="AV136" s="146"/>
    </row>
    <row r="137" spans="1:48" outlineLevel="2" x14ac:dyDescent="0.25">
      <c r="A137" s="53"/>
      <c r="B137" s="725" t="s">
        <v>331</v>
      </c>
      <c r="C137" s="726"/>
      <c r="D137" s="145"/>
      <c r="E137" s="145"/>
      <c r="F137" s="145"/>
      <c r="G137" s="145"/>
      <c r="H137" s="146"/>
      <c r="I137" s="145"/>
      <c r="J137" s="145"/>
      <c r="K137" s="145"/>
      <c r="L137" s="145"/>
      <c r="M137" s="146"/>
      <c r="N137" s="145"/>
      <c r="O137" s="167">
        <v>9</v>
      </c>
      <c r="P137" s="167">
        <v>7</v>
      </c>
      <c r="Q137" s="145"/>
      <c r="R137" s="146"/>
      <c r="S137" s="167">
        <v>0</v>
      </c>
      <c r="T137" s="167"/>
      <c r="U137" s="167"/>
      <c r="V137" s="145"/>
      <c r="W137" s="146"/>
      <c r="X137" s="141"/>
      <c r="Y137" s="141"/>
      <c r="Z137" s="141"/>
      <c r="AA137" s="141"/>
      <c r="AB137" s="146"/>
      <c r="AC137" s="141"/>
      <c r="AD137" s="141"/>
      <c r="AE137" s="141"/>
      <c r="AF137" s="141"/>
      <c r="AG137" s="146"/>
      <c r="AH137" s="141"/>
      <c r="AI137" s="141"/>
      <c r="AJ137" s="141"/>
      <c r="AK137" s="141"/>
      <c r="AL137" s="146"/>
      <c r="AM137" s="141"/>
      <c r="AN137" s="141"/>
      <c r="AO137" s="141"/>
      <c r="AP137" s="141"/>
      <c r="AQ137" s="146"/>
      <c r="AR137" s="141"/>
      <c r="AS137" s="141"/>
      <c r="AT137" s="141"/>
      <c r="AU137" s="141"/>
      <c r="AV137" s="146"/>
    </row>
    <row r="138" spans="1:48" outlineLevel="2" x14ac:dyDescent="0.25">
      <c r="A138" s="53"/>
      <c r="B138" s="131" t="s">
        <v>192</v>
      </c>
      <c r="C138" s="130"/>
      <c r="D138" s="147">
        <f>+D133*D135*D61/1000</f>
        <v>36.418199999999999</v>
      </c>
      <c r="E138" s="147">
        <f>+E133*E135*E61/1000</f>
        <v>32.035499999999999</v>
      </c>
      <c r="F138" s="147">
        <f>+F133*F135*F61/1000</f>
        <v>29.781359999999999</v>
      </c>
      <c r="G138" s="147">
        <f>+G133*G135*G61/1000</f>
        <v>27.805699999999998</v>
      </c>
      <c r="H138" s="136"/>
      <c r="I138" s="147">
        <f>+I133*I135*I61/1000</f>
        <v>92.834404000000006</v>
      </c>
      <c r="J138" s="147">
        <f>+J133*J135*J61/1000</f>
        <v>93.156052500000001</v>
      </c>
      <c r="K138" s="147">
        <f>+K133*K135*K61/1000</f>
        <v>84.109200000000016</v>
      </c>
      <c r="L138" s="147">
        <f>+L133*L135*L61/1000</f>
        <v>84.793149999999997</v>
      </c>
      <c r="M138" s="136"/>
      <c r="N138" s="147">
        <f>+N133*N135*N61/1000</f>
        <v>83.107050000000001</v>
      </c>
      <c r="O138" s="147">
        <f>+O133*O135*O61/1000+O137</f>
        <v>99.540450000000007</v>
      </c>
      <c r="P138" s="147">
        <f>+P133*P135*P61/1000+P137</f>
        <v>92.883020000000002</v>
      </c>
      <c r="Q138" s="147">
        <f>+Q133*Q135*Q61/1000</f>
        <v>91.817700000000016</v>
      </c>
      <c r="R138" s="136"/>
      <c r="S138" s="147">
        <f>+S133*S135*S61/1000</f>
        <v>84.819800000000001</v>
      </c>
      <c r="T138" s="147">
        <f>+T133*T135*T61/1000</f>
        <v>83.112750000000005</v>
      </c>
      <c r="U138" s="147">
        <f>+U133*U135*U61/1000</f>
        <v>76.098799999999997</v>
      </c>
      <c r="V138" s="147">
        <f>+V133*V135*V61/1000</f>
        <v>69.63839999999999</v>
      </c>
      <c r="W138" s="136"/>
      <c r="X138" s="147">
        <f>+X133*X135*X61/1000</f>
        <v>66.969445502816995</v>
      </c>
      <c r="Y138" s="147">
        <f>+Y133*Y135*Y61/1000</f>
        <v>70.275294602277242</v>
      </c>
      <c r="Z138" s="147">
        <f>+Z133*Z135*Z61/1000</f>
        <v>65.763555198450433</v>
      </c>
      <c r="AA138" s="147">
        <f>+AA133*AA135*AA61/1000</f>
        <v>57.699433543149865</v>
      </c>
      <c r="AB138" s="136"/>
      <c r="AC138" s="147">
        <f>+AC133*AC135*AC61/1000</f>
        <v>58.926781045266161</v>
      </c>
      <c r="AD138" s="147">
        <f>+AD133*AD135*AD61/1000</f>
        <v>62.043096363260268</v>
      </c>
      <c r="AE138" s="147">
        <f>+AE133*AE135*AE61/1000</f>
        <v>57.747656207928358</v>
      </c>
      <c r="AF138" s="147">
        <f>+AF133*AF135*AF61/1000</f>
        <v>52.909589239592933</v>
      </c>
      <c r="AG138" s="136"/>
      <c r="AH138" s="147">
        <f>+AH133*AH135*AH61/1000</f>
        <v>52.25855994746906</v>
      </c>
      <c r="AI138" s="147">
        <f>+AI133*AI135*AI61/1000</f>
        <v>55.34187321316319</v>
      </c>
      <c r="AJ138" s="147">
        <f>+AJ133*AJ135*AJ61/1000</f>
        <v>51.642592352511905</v>
      </c>
      <c r="AK138" s="147">
        <f>+AK133*AK135*AK61/1000</f>
        <v>47.342566389194765</v>
      </c>
      <c r="AL138" s="136"/>
      <c r="AM138" s="147">
        <f>+AM133*AM135*AM61/1000</f>
        <v>46.365389163135177</v>
      </c>
      <c r="AN138" s="147">
        <f>+AN133*AN135*AN61/1000</f>
        <v>49.106413300568342</v>
      </c>
      <c r="AO138" s="147">
        <f>+AO133*AO135*AO61/1000</f>
        <v>45.763839289460549</v>
      </c>
      <c r="AP138" s="147">
        <f>+AP133*AP135*AP61/1000</f>
        <v>41.857522433973244</v>
      </c>
      <c r="AQ138" s="136"/>
      <c r="AR138" s="147">
        <f>+AR133*AR135*AR61/1000</f>
        <v>40.870671744560099</v>
      </c>
      <c r="AS138" s="147">
        <f>+AS133*AS135*AS61/1000</f>
        <v>43.216539849350291</v>
      </c>
      <c r="AT138" s="147">
        <f>+AT133*AT135*AT61/1000</f>
        <v>40.191920565957524</v>
      </c>
      <c r="AU138" s="147">
        <f>+AU133*AU135*AU61/1000</f>
        <v>36.678581083476921</v>
      </c>
      <c r="AV138" s="136"/>
    </row>
    <row r="139" spans="1:48" ht="15.75" x14ac:dyDescent="0.25">
      <c r="A139" s="53"/>
      <c r="B139" s="691" t="s">
        <v>202</v>
      </c>
      <c r="C139" s="692"/>
      <c r="D139" s="89" t="s">
        <v>69</v>
      </c>
      <c r="E139" s="89" t="s">
        <v>72</v>
      </c>
      <c r="F139" s="89" t="s">
        <v>73</v>
      </c>
      <c r="G139" s="89" t="s">
        <v>76</v>
      </c>
      <c r="H139" s="396"/>
      <c r="I139" s="89" t="s">
        <v>78</v>
      </c>
      <c r="J139" s="89" t="s">
        <v>89</v>
      </c>
      <c r="K139" s="89" t="s">
        <v>105</v>
      </c>
      <c r="L139" s="89" t="s">
        <v>109</v>
      </c>
      <c r="M139" s="396"/>
      <c r="N139" s="89" t="s">
        <v>111</v>
      </c>
      <c r="O139" s="89" t="s">
        <v>112</v>
      </c>
      <c r="P139" s="89" t="s">
        <v>113</v>
      </c>
      <c r="Q139" s="89" t="s">
        <v>114</v>
      </c>
      <c r="R139" s="396"/>
      <c r="S139" s="89" t="s">
        <v>492</v>
      </c>
      <c r="T139" s="89" t="s">
        <v>734</v>
      </c>
      <c r="U139" s="89" t="s">
        <v>753</v>
      </c>
      <c r="V139" s="89" t="s">
        <v>771</v>
      </c>
      <c r="W139" s="396"/>
      <c r="X139" s="91" t="s">
        <v>371</v>
      </c>
      <c r="Y139" s="91" t="s">
        <v>372</v>
      </c>
      <c r="Z139" s="91" t="s">
        <v>373</v>
      </c>
      <c r="AA139" s="91" t="s">
        <v>374</v>
      </c>
      <c r="AB139" s="400"/>
      <c r="AC139" s="91" t="s">
        <v>376</v>
      </c>
      <c r="AD139" s="91" t="s">
        <v>377</v>
      </c>
      <c r="AE139" s="91" t="s">
        <v>378</v>
      </c>
      <c r="AF139" s="91" t="s">
        <v>379</v>
      </c>
      <c r="AG139" s="400"/>
      <c r="AH139" s="91" t="s">
        <v>381</v>
      </c>
      <c r="AI139" s="91" t="s">
        <v>382</v>
      </c>
      <c r="AJ139" s="91" t="s">
        <v>383</v>
      </c>
      <c r="AK139" s="91" t="s">
        <v>384</v>
      </c>
      <c r="AL139" s="400"/>
      <c r="AM139" s="91" t="s">
        <v>386</v>
      </c>
      <c r="AN139" s="91" t="s">
        <v>387</v>
      </c>
      <c r="AO139" s="91" t="s">
        <v>388</v>
      </c>
      <c r="AP139" s="91" t="s">
        <v>389</v>
      </c>
      <c r="AQ139" s="400"/>
      <c r="AR139" s="91" t="s">
        <v>781</v>
      </c>
      <c r="AS139" s="91" t="s">
        <v>782</v>
      </c>
      <c r="AT139" s="91" t="s">
        <v>783</v>
      </c>
      <c r="AU139" s="91" t="s">
        <v>784</v>
      </c>
      <c r="AV139" s="400"/>
    </row>
    <row r="140" spans="1:48" ht="15.75" x14ac:dyDescent="0.25">
      <c r="A140" s="53"/>
      <c r="B140" s="291" t="s">
        <v>204</v>
      </c>
      <c r="C140" s="149"/>
      <c r="D140" s="156">
        <f>ROUND((3460-D148),0)</f>
        <v>0</v>
      </c>
      <c r="E140" s="156">
        <f>ROUND((3677-E148),0)</f>
        <v>0</v>
      </c>
      <c r="F140" s="156">
        <f>ROUND((4025-F148),0)</f>
        <v>0</v>
      </c>
      <c r="G140" s="156">
        <f>ROUND((3889-G148),0)</f>
        <v>0</v>
      </c>
      <c r="H140" s="186"/>
      <c r="I140" s="156">
        <f>ROUND((3893-I148),0)</f>
        <v>0</v>
      </c>
      <c r="J140" s="156">
        <f>ROUND((4017-J148),0)</f>
        <v>0</v>
      </c>
      <c r="K140" s="156">
        <f>ROUND((4297-K148),0)</f>
        <v>0</v>
      </c>
      <c r="L140" s="156">
        <f>ROUND((4296-L148),0)</f>
        <v>0</v>
      </c>
      <c r="M140" s="54"/>
      <c r="N140" s="156">
        <f>ROUND((4245-N148),0)</f>
        <v>0</v>
      </c>
      <c r="O140" s="156">
        <f>ROUND((4525-O148),0)</f>
        <v>0</v>
      </c>
      <c r="P140" s="156">
        <f>ROUND((4828-P148),0)</f>
        <v>0</v>
      </c>
      <c r="Q140" s="156">
        <f>ROUND((4797-Q148),0)</f>
        <v>0</v>
      </c>
      <c r="R140" s="54"/>
      <c r="S140" s="156"/>
      <c r="T140" s="156"/>
      <c r="U140" s="156"/>
      <c r="V140" s="49"/>
      <c r="W140" s="54"/>
      <c r="X140" s="49"/>
      <c r="Y140" s="49"/>
      <c r="Z140" s="49"/>
      <c r="AA140" s="49"/>
      <c r="AB140" s="54"/>
      <c r="AC140" s="49"/>
      <c r="AD140" s="49"/>
      <c r="AE140" s="49"/>
      <c r="AF140" s="49"/>
      <c r="AG140" s="54"/>
      <c r="AH140" s="49"/>
      <c r="AI140" s="49"/>
      <c r="AJ140" s="49"/>
      <c r="AK140" s="49"/>
      <c r="AL140" s="54"/>
      <c r="AM140" s="49"/>
      <c r="AN140" s="49"/>
      <c r="AO140" s="49"/>
      <c r="AP140" s="49"/>
      <c r="AQ140" s="54"/>
      <c r="AR140" s="49"/>
      <c r="AS140" s="49"/>
      <c r="AT140" s="49"/>
      <c r="AU140" s="49"/>
      <c r="AV140" s="54"/>
    </row>
    <row r="141" spans="1:48" outlineLevel="1" x14ac:dyDescent="0.25">
      <c r="A141" s="53"/>
      <c r="B141" s="701" t="s">
        <v>366</v>
      </c>
      <c r="C141" s="702"/>
      <c r="D141" s="261">
        <v>6717.4</v>
      </c>
      <c r="E141" s="261">
        <v>7623.4</v>
      </c>
      <c r="F141" s="261">
        <v>8339.4</v>
      </c>
      <c r="G141" s="261">
        <v>7453.4</v>
      </c>
      <c r="H141" s="54"/>
      <c r="I141" s="261">
        <v>7389.4</v>
      </c>
      <c r="J141" s="261">
        <v>8005.4</v>
      </c>
      <c r="K141" s="261">
        <v>8522.4</v>
      </c>
      <c r="L141" s="261">
        <v>7700.4</v>
      </c>
      <c r="M141" s="54"/>
      <c r="N141" s="261">
        <v>7688.4</v>
      </c>
      <c r="O141" s="261">
        <v>8576.4</v>
      </c>
      <c r="P141" s="261">
        <v>8993.4</v>
      </c>
      <c r="Q141" s="261">
        <v>8125.4</v>
      </c>
      <c r="R141" s="54"/>
      <c r="S141" s="261">
        <v>8221</v>
      </c>
      <c r="T141" s="123">
        <v>9237</v>
      </c>
      <c r="U141" s="123">
        <v>9550</v>
      </c>
      <c r="V141" s="123">
        <v>8836</v>
      </c>
      <c r="W141" s="50"/>
      <c r="X141" s="123">
        <f>+S141*(1+X142)</f>
        <v>8664.1992532946388</v>
      </c>
      <c r="Y141" s="123">
        <f>+T141*(1+Y142)</f>
        <v>9699.4964453560842</v>
      </c>
      <c r="Z141" s="123">
        <f>+U141*(1+Z142)</f>
        <v>10059.312473887672</v>
      </c>
      <c r="AA141" s="123">
        <f>+V141*(1+AA142)</f>
        <v>9376.6879066125512</v>
      </c>
      <c r="AB141" s="50"/>
      <c r="AC141" s="123">
        <f>+X141*(1+AC142)</f>
        <v>9137.4881508731196</v>
      </c>
      <c r="AD141" s="123">
        <f>+Y141*(1+AD142)</f>
        <v>10231.073520857415</v>
      </c>
      <c r="AE141" s="123">
        <f>+Z141*(1+AE142)</f>
        <v>10622.515883088843</v>
      </c>
      <c r="AF141" s="123">
        <f>+AA141*(1+AF142)</f>
        <v>9907.9010801285167</v>
      </c>
      <c r="AG141" s="50"/>
      <c r="AH141" s="123">
        <f>+AC141*(1+AH142)</f>
        <v>9621.9377025479353</v>
      </c>
      <c r="AI141" s="123">
        <f>+AD141*(1+AI142)</f>
        <v>10769.389660138839</v>
      </c>
      <c r="AJ141" s="123">
        <f>+AE141*(1+AJ142)</f>
        <v>11175.615426607897</v>
      </c>
      <c r="AK141" s="123">
        <f>+AF141*(1+AK142)</f>
        <v>10414.082730867825</v>
      </c>
      <c r="AL141" s="50"/>
      <c r="AM141" s="123">
        <f>+AH141*(1+AM142)</f>
        <v>10100.126100077196</v>
      </c>
      <c r="AN141" s="123">
        <f>+AI141*(1+AN142)</f>
        <v>11295.664998083324</v>
      </c>
      <c r="AO141" s="123">
        <f>+AJ141*(1+AO142)</f>
        <v>11711.270256982767</v>
      </c>
      <c r="AP141" s="123">
        <f>+AK141*(1+AP142)</f>
        <v>10902.463615091985</v>
      </c>
      <c r="AQ141" s="50"/>
      <c r="AR141" s="123">
        <f>+AM141*(1+AR142)</f>
        <v>10563.197446389762</v>
      </c>
      <c r="AS141" s="123">
        <f>+AN141*(1+AS142)</f>
        <v>11802.678420005866</v>
      </c>
      <c r="AT141" s="123">
        <f>+AO141*(1+AT142)</f>
        <v>12225.279711952206</v>
      </c>
      <c r="AU141" s="123">
        <f>+AP141*(1+AU142)</f>
        <v>11369.961504053423</v>
      </c>
      <c r="AV141" s="50"/>
    </row>
    <row r="142" spans="1:48" outlineLevel="1" x14ac:dyDescent="0.25">
      <c r="A142" s="53"/>
      <c r="B142" s="140" t="s">
        <v>200</v>
      </c>
      <c r="C142" s="283"/>
      <c r="D142" s="165">
        <f>+D141/6456-1</f>
        <v>4.0489467162329484E-2</v>
      </c>
      <c r="E142" s="165">
        <f>+E141/6967-1</f>
        <v>9.4215587770920095E-2</v>
      </c>
      <c r="F142" s="165">
        <f>+F141/7496-1</f>
        <v>0.11251334044823902</v>
      </c>
      <c r="G142" s="165">
        <f>+G141/6746-1</f>
        <v>0.10486214052772014</v>
      </c>
      <c r="H142" s="83"/>
      <c r="I142" s="165">
        <f>+I141/D141-1</f>
        <v>0.10003870545151394</v>
      </c>
      <c r="J142" s="165">
        <f>+J141/E141-1</f>
        <v>5.0108875304982092E-2</v>
      </c>
      <c r="K142" s="165">
        <f>+K141/F141-1</f>
        <v>2.1944024749982027E-2</v>
      </c>
      <c r="L142" s="165">
        <f>+L141/G141-1</f>
        <v>3.3139238468349985E-2</v>
      </c>
      <c r="M142" s="83"/>
      <c r="N142" s="165">
        <f>+N141/I141-1</f>
        <v>4.0463366443824977E-2</v>
      </c>
      <c r="O142" s="165">
        <f>+O141/J141-1</f>
        <v>7.132685437329811E-2</v>
      </c>
      <c r="P142" s="165">
        <f>+P141/K141-1</f>
        <v>5.5266122219093106E-2</v>
      </c>
      <c r="Q142" s="165">
        <f>+Q141/L141-1</f>
        <v>5.5191938081138536E-2</v>
      </c>
      <c r="R142" s="83"/>
      <c r="S142" s="165">
        <f>+S141/N141-1</f>
        <v>6.927319078091676E-2</v>
      </c>
      <c r="T142" s="165">
        <f>+T141/O141-1</f>
        <v>7.7025325311319559E-2</v>
      </c>
      <c r="U142" s="165">
        <f>+U141/P141-1</f>
        <v>6.1889830320012607E-2</v>
      </c>
      <c r="V142" s="165">
        <f>+V141/Q141-1</f>
        <v>8.7454156103084157E-2</v>
      </c>
      <c r="W142" s="75"/>
      <c r="X142" s="176">
        <f>AVERAGE(V142,U142,T142,S142)-2%</f>
        <v>5.3910625628833267E-2</v>
      </c>
      <c r="Y142" s="176">
        <f>AVERAGE(X142,V142,U142,T142)-2%</f>
        <v>5.006998434081239E-2</v>
      </c>
      <c r="Z142" s="176">
        <f>AVERAGE(Y142,X142,V142,U142)-1%</f>
        <v>5.33311490981856E-2</v>
      </c>
      <c r="AA142" s="176">
        <f>AVERAGE(Z142,Y142,X142,V142)</f>
        <v>6.1191478792728848E-2</v>
      </c>
      <c r="AB142" s="57"/>
      <c r="AC142" s="141">
        <f>AVERAGE(AA142,Z142,Y142,X142)</f>
        <v>5.4625809465140021E-2</v>
      </c>
      <c r="AD142" s="141">
        <f>AVERAGE(AC142,AA142,Z142,Y142)</f>
        <v>5.4804605424216717E-2</v>
      </c>
      <c r="AE142" s="141">
        <f>AVERAGE(AD142,AC142,AA142,Z142)</f>
        <v>5.5988260695067793E-2</v>
      </c>
      <c r="AF142" s="141">
        <f>AVERAGE(AE142,AD142,AC142,AA142)</f>
        <v>5.6652538594288343E-2</v>
      </c>
      <c r="AG142" s="57"/>
      <c r="AH142" s="176">
        <f>AVERAGE(AF142,AE142,AD142,AC142)-0.25%</f>
        <v>5.3017803544678221E-2</v>
      </c>
      <c r="AI142" s="176">
        <f>AVERAGE(AH142,AF142,AE142,AD142)-0.25%</f>
        <v>5.2615802064562768E-2</v>
      </c>
      <c r="AJ142" s="176">
        <f>AVERAGE(AI142,AH142,AF142,AE142)-0.25%</f>
        <v>5.2068601224649277E-2</v>
      </c>
      <c r="AK142" s="176">
        <f>AVERAGE(AJ142,AI142,AH142,AF142)-0.25%</f>
        <v>5.1088686357044652E-2</v>
      </c>
      <c r="AL142" s="57"/>
      <c r="AM142" s="176">
        <f>AVERAGE(AK142,AJ142,AI142,AH142)-0.25%</f>
        <v>4.9697723297733726E-2</v>
      </c>
      <c r="AN142" s="176">
        <f>AVERAGE(AM142,AK142,AJ142,AI142)-0.25%</f>
        <v>4.8867703235997602E-2</v>
      </c>
      <c r="AO142" s="176">
        <f>AVERAGE(AN142,AM142,AK142,AJ142)-0.25%</f>
        <v>4.793067852885631E-2</v>
      </c>
      <c r="AP142" s="176">
        <f>AVERAGE(AO142,AN142,AM142,AK142)-0.25%</f>
        <v>4.6896197854908075E-2</v>
      </c>
      <c r="AQ142" s="57"/>
      <c r="AR142" s="176">
        <f>AVERAGE(AP142,AO142,AN142,AM142)-0.25%</f>
        <v>4.5848075729373924E-2</v>
      </c>
      <c r="AS142" s="176">
        <f>AVERAGE(AR142,AP142,AO142,AN142)-0.25%</f>
        <v>4.4885663837283971E-2</v>
      </c>
      <c r="AT142" s="176">
        <f>AVERAGE(AS142,AR142,AP142,AO142)-0.25%</f>
        <v>4.3890153987605568E-2</v>
      </c>
      <c r="AU142" s="176">
        <f>AVERAGE(AT142,AS142,AR142,AP142)-0.25%</f>
        <v>4.2880022852292879E-2</v>
      </c>
      <c r="AV142" s="57"/>
    </row>
    <row r="143" spans="1:48" outlineLevel="1" x14ac:dyDescent="0.25">
      <c r="A143" s="53"/>
      <c r="B143" s="122" t="s">
        <v>203</v>
      </c>
      <c r="C143" s="283"/>
      <c r="D143" s="142">
        <v>7.9139999999999997</v>
      </c>
      <c r="E143" s="142">
        <v>7.6440000000000001</v>
      </c>
      <c r="F143" s="142">
        <v>7.6539999999999999</v>
      </c>
      <c r="G143" s="142">
        <v>8.0139999999999993</v>
      </c>
      <c r="H143" s="54"/>
      <c r="I143" s="142">
        <v>8.0939999999999994</v>
      </c>
      <c r="J143" s="142">
        <v>7.9539999999999997</v>
      </c>
      <c r="K143" s="142">
        <v>8.1240000000000006</v>
      </c>
      <c r="L143" s="142">
        <v>8.5739999999999998</v>
      </c>
      <c r="M143" s="54"/>
      <c r="N143" s="142">
        <v>8.4749999998999996</v>
      </c>
      <c r="O143" s="142">
        <v>8.3549999999000004</v>
      </c>
      <c r="P143" s="142">
        <v>8.6449999000000002</v>
      </c>
      <c r="Q143" s="142">
        <v>9.0500000000000007</v>
      </c>
      <c r="R143" s="54"/>
      <c r="S143" s="142">
        <v>8.9600000000000009</v>
      </c>
      <c r="T143" s="142">
        <v>8.81</v>
      </c>
      <c r="U143" s="142">
        <v>8.8699999999999992</v>
      </c>
      <c r="V143" s="142">
        <v>9.25</v>
      </c>
      <c r="W143" s="50"/>
      <c r="X143" s="142">
        <f>+S143*(1+X144)</f>
        <v>9.1387780090056321</v>
      </c>
      <c r="Y143" s="142">
        <f>+T143*(1+Y144)</f>
        <v>8.9036885690949266</v>
      </c>
      <c r="Z143" s="142">
        <f>+U143*(1+Z144)</f>
        <v>8.9558467670796436</v>
      </c>
      <c r="AA143" s="142">
        <f>+V143*(1+AA144)</f>
        <v>9.3942191130793589</v>
      </c>
      <c r="AB143" s="50"/>
      <c r="AC143" s="142">
        <f>+X143*(1+AC144)</f>
        <v>9.2663938010231597</v>
      </c>
      <c r="AD143" s="142">
        <f>+Y143*(1+AD144)</f>
        <v>9.014691153854935</v>
      </c>
      <c r="AE143" s="142">
        <f>+Z143*(1+AE144)</f>
        <v>9.0716029320992035</v>
      </c>
      <c r="AF143" s="142">
        <f>+AA143*(1+AF144)</f>
        <v>9.5232668026232723</v>
      </c>
      <c r="AG143" s="50"/>
      <c r="AH143" s="142">
        <f>+AC143*(1+AH144)</f>
        <v>9.3662238416850006</v>
      </c>
      <c r="AI143" s="142">
        <f>+AD143*(1+AI144)</f>
        <v>9.1046183515714016</v>
      </c>
      <c r="AJ143" s="142">
        <f>+AE143*(1+AJ144)</f>
        <v>9.1564475979018614</v>
      </c>
      <c r="AK143" s="142">
        <f>+AF143*(1+AK144)</f>
        <v>9.603830476887067</v>
      </c>
      <c r="AL143" s="50"/>
      <c r="AM143" s="142">
        <f>+AH143*(1+AM144)</f>
        <v>9.4331019902540785</v>
      </c>
      <c r="AN143" s="142">
        <f>+AI143*(1+AN144)</f>
        <v>9.1613592981524121</v>
      </c>
      <c r="AO143" s="142">
        <f>+AJ143*(1+AO144)</f>
        <v>9.204942211037201</v>
      </c>
      <c r="AP143" s="142">
        <f>+AK143*(1+AP144)</f>
        <v>9.6449549265476211</v>
      </c>
      <c r="AQ143" s="50"/>
      <c r="AR143" s="142">
        <f>+AM143*(1+AR144)</f>
        <v>9.4636434817969075</v>
      </c>
      <c r="AS143" s="142">
        <f>+AN143*(1+AS144)</f>
        <v>9.1820825523679552</v>
      </c>
      <c r="AT143" s="142">
        <f>+AO143*(1+AT144)</f>
        <v>9.2166279671591713</v>
      </c>
      <c r="AU143" s="142">
        <f>+AP143*(1+AU144)</f>
        <v>9.6474899072251912</v>
      </c>
      <c r="AV143" s="50"/>
    </row>
    <row r="144" spans="1:48" outlineLevel="1" x14ac:dyDescent="0.25">
      <c r="A144" s="53"/>
      <c r="B144" s="140" t="s">
        <v>199</v>
      </c>
      <c r="C144" s="283"/>
      <c r="D144" s="165">
        <f>+D143/7.15-1</f>
        <v>0.10685314685314684</v>
      </c>
      <c r="E144" s="165">
        <f>+E143/6.96-1</f>
        <v>9.8275862068965436E-2</v>
      </c>
      <c r="F144" s="165">
        <f>+F143/7.06-1</f>
        <v>8.4135977337110424E-2</v>
      </c>
      <c r="G144" s="165">
        <f>+G143/7.49-1</f>
        <v>6.9959946595460565E-2</v>
      </c>
      <c r="H144" s="83"/>
      <c r="I144" s="165">
        <f>+I143/D143-1</f>
        <v>2.2744503411675554E-2</v>
      </c>
      <c r="J144" s="165">
        <f>+J143/E143-1</f>
        <v>4.055468341182622E-2</v>
      </c>
      <c r="K144" s="165">
        <f>+K143/F143-1</f>
        <v>6.14058008884244E-2</v>
      </c>
      <c r="L144" s="165">
        <f>+L143/G143-1</f>
        <v>6.9877714000499136E-2</v>
      </c>
      <c r="M144" s="83"/>
      <c r="N144" s="165">
        <f>+N143/I143-1</f>
        <v>4.707190510254522E-2</v>
      </c>
      <c r="O144" s="165">
        <f>+O143/J143-1</f>
        <v>5.0414885579582736E-2</v>
      </c>
      <c r="P144" s="165">
        <f>+P143/K143-1</f>
        <v>6.4130957656326926E-2</v>
      </c>
      <c r="Q144" s="165">
        <f>+Q143/L143-1</f>
        <v>5.5516678329834424E-2</v>
      </c>
      <c r="R144" s="83"/>
      <c r="S144" s="165">
        <f>+S143/N143-1</f>
        <v>5.7227138655542742E-2</v>
      </c>
      <c r="T144" s="165">
        <f>+T143/O143-1</f>
        <v>5.4458408151459636E-2</v>
      </c>
      <c r="U144" s="165">
        <f>+U143/P143-1</f>
        <v>2.6026616842413031E-2</v>
      </c>
      <c r="V144" s="165">
        <f>+V143/Q143-1</f>
        <v>2.2099447513812098E-2</v>
      </c>
      <c r="W144" s="75"/>
      <c r="X144" s="176">
        <f>AVERAGE(V144,U144,T144,S144)-2%</f>
        <v>1.9952902790806876E-2</v>
      </c>
      <c r="Y144" s="176">
        <f>AVERAGE(X144,V144,U144,T144)-2%</f>
        <v>1.0634343824622909E-2</v>
      </c>
      <c r="Z144" s="176">
        <f>AVERAGE(Y144,X144,V144,U144)-1%</f>
        <v>9.6783277429137293E-3</v>
      </c>
      <c r="AA144" s="176">
        <f>AVERAGE(Z144,Y144,X144,V144)</f>
        <v>1.5591255468038905E-2</v>
      </c>
      <c r="AB144" s="57"/>
      <c r="AC144" s="141">
        <f>AVERAGE(AA144,Z144,Y144,X144)</f>
        <v>1.3964207456595604E-2</v>
      </c>
      <c r="AD144" s="141">
        <f>AVERAGE(AC144,AA144,Z144,Y144)</f>
        <v>1.2467033623042786E-2</v>
      </c>
      <c r="AE144" s="141">
        <f>AVERAGE(AD144,AC144,AA144,Z144)</f>
        <v>1.2925206072647757E-2</v>
      </c>
      <c r="AF144" s="141">
        <f>AVERAGE(AE144,AD144,AC144,AA144)</f>
        <v>1.3736925655081262E-2</v>
      </c>
      <c r="AG144" s="57"/>
      <c r="AH144" s="176">
        <f>AVERAGE(AF144,AE144,AD144,AC144)-0.25%</f>
        <v>1.0773343201841852E-2</v>
      </c>
      <c r="AI144" s="176">
        <f>AVERAGE(AH144,AF144,AE144,AD144)-0.25%</f>
        <v>9.9756271381534149E-3</v>
      </c>
      <c r="AJ144" s="176">
        <f>AVERAGE(AI144,AH144,AF144,AE144)-0.25%</f>
        <v>9.3527755169310715E-3</v>
      </c>
      <c r="AK144" s="176">
        <f>AVERAGE(AJ144,AI144,AH144,AF144)-0.25%</f>
        <v>8.4596678780019009E-3</v>
      </c>
      <c r="AL144" s="57"/>
      <c r="AM144" s="176">
        <f>AVERAGE(AK144,AJ144,AI144,AH144)-0.25%</f>
        <v>7.1403534337320593E-3</v>
      </c>
      <c r="AN144" s="176">
        <f>AVERAGE(AM144,AK144,AJ144,AI144)-0.25%</f>
        <v>6.2321059917046107E-3</v>
      </c>
      <c r="AO144" s="176">
        <f>AVERAGE(AN144,AM144,AK144,AJ144)-0.25%</f>
        <v>5.2962257050924114E-3</v>
      </c>
      <c r="AP144" s="176">
        <f>AVERAGE(AO144,AN144,AM144,AK144)-0.25%</f>
        <v>4.2820882521327451E-3</v>
      </c>
      <c r="AQ144" s="57"/>
      <c r="AR144" s="176">
        <f>AVERAGE(AP144,AO144,AN144,AM144)-0.25%</f>
        <v>3.2376933456654566E-3</v>
      </c>
      <c r="AS144" s="176">
        <f>AVERAGE(AR144,AP144,AO144,AN144)-0.25%</f>
        <v>2.2620283236488054E-3</v>
      </c>
      <c r="AT144" s="176">
        <f>AVERAGE(AS144,AR144,AP144,AO144)-0.25%</f>
        <v>1.2695089066348548E-3</v>
      </c>
      <c r="AU144" s="176">
        <f>AVERAGE(AT144,AS144,AR144,AP144)-0.25%</f>
        <v>2.6282970702046519E-4</v>
      </c>
      <c r="AV144" s="57"/>
    </row>
    <row r="145" spans="1:48" outlineLevel="1" x14ac:dyDescent="0.25">
      <c r="A145" s="53"/>
      <c r="B145" s="122" t="s">
        <v>323</v>
      </c>
      <c r="C145" s="283"/>
      <c r="D145" s="138">
        <v>5</v>
      </c>
      <c r="E145" s="138">
        <v>6</v>
      </c>
      <c r="F145" s="138">
        <v>4</v>
      </c>
      <c r="G145" s="138">
        <v>6</v>
      </c>
      <c r="H145" s="54"/>
      <c r="I145" s="138">
        <v>5</v>
      </c>
      <c r="J145" s="138">
        <v>5</v>
      </c>
      <c r="K145" s="138">
        <v>4</v>
      </c>
      <c r="L145" s="138">
        <v>4</v>
      </c>
      <c r="M145" s="54"/>
      <c r="N145" s="138">
        <v>10</v>
      </c>
      <c r="O145" s="138">
        <v>11</v>
      </c>
      <c r="P145" s="138">
        <v>8</v>
      </c>
      <c r="Q145" s="138">
        <v>17</v>
      </c>
      <c r="R145" s="54"/>
      <c r="S145" s="261">
        <v>11</v>
      </c>
      <c r="T145" s="261">
        <f>5142-5127</f>
        <v>15</v>
      </c>
      <c r="U145" s="123">
        <f>5261-5252</f>
        <v>9</v>
      </c>
      <c r="V145" s="123">
        <f>5320-5313</f>
        <v>7</v>
      </c>
      <c r="W145" s="50"/>
      <c r="X145" s="123">
        <f>+S145*(1+X146)</f>
        <v>11.00110294117647</v>
      </c>
      <c r="Y145" s="123">
        <f>+T145*(1+Y146)</f>
        <v>14.626880013368984</v>
      </c>
      <c r="Z145" s="123">
        <f>+U145*(1+Z146)</f>
        <v>7.9019781918449192</v>
      </c>
      <c r="AA145" s="123">
        <f>+V145*(1+AA146)</f>
        <v>5.713728797627005</v>
      </c>
      <c r="AB145" s="50"/>
      <c r="AC145" s="123">
        <f>+X145*(1+AC146)</f>
        <v>10.092054713736092</v>
      </c>
      <c r="AD145" s="123">
        <f>+Y145*(1+AD146)</f>
        <v>13.115694468904119</v>
      </c>
      <c r="AE145" s="123">
        <f>+Z145*(1+AE146)</f>
        <v>6.9306204903395576</v>
      </c>
      <c r="AF145" s="123">
        <f>+AA145*(1+AF146)</f>
        <v>5.0100444905863792</v>
      </c>
      <c r="AG145" s="50"/>
      <c r="AH145" s="123">
        <f>+AC145*(1+AH146)</f>
        <v>8.9768050743654619</v>
      </c>
      <c r="AI145" s="123">
        <f>+AD145*(1+AI146)</f>
        <v>11.574908652360202</v>
      </c>
      <c r="AJ145" s="123">
        <f>+AE145*(1+AJ146)</f>
        <v>6.0918996172908466</v>
      </c>
      <c r="AK145" s="123">
        <f>+AF145*(1+AK146)</f>
        <v>4.4061366738066399</v>
      </c>
      <c r="AL145" s="50"/>
      <c r="AM145" s="123">
        <f>+AH145*(1+AM146)</f>
        <v>7.9006201176949116</v>
      </c>
      <c r="AN145" s="123">
        <f>+AI145*(1+AN146)</f>
        <v>10.160114251237156</v>
      </c>
      <c r="AO145" s="123">
        <f>+AJ145*(1+AO146)</f>
        <v>5.3400516552411732</v>
      </c>
      <c r="AP145" s="123">
        <f>+AK145*(1+AP146)</f>
        <v>3.8596968951714863</v>
      </c>
      <c r="AQ145" s="50"/>
      <c r="AR145" s="123">
        <f>+AM145*(1+AR146)</f>
        <v>6.9139313357330003</v>
      </c>
      <c r="AS145" s="123">
        <f>+AN145*(1+AS146)</f>
        <v>8.8785365424302007</v>
      </c>
      <c r="AT145" s="123">
        <f>+AO145*(1+AT146)</f>
        <v>4.6612494184309758</v>
      </c>
      <c r="AU145" s="123">
        <f>+AP145*(1+AU146)</f>
        <v>3.3655024470267199</v>
      </c>
      <c r="AV145" s="50"/>
    </row>
    <row r="146" spans="1:48" outlineLevel="1" x14ac:dyDescent="0.25">
      <c r="A146" s="53"/>
      <c r="B146" s="140" t="s">
        <v>321</v>
      </c>
      <c r="C146" s="283"/>
      <c r="D146" s="165"/>
      <c r="E146" s="165"/>
      <c r="F146" s="165"/>
      <c r="G146" s="165"/>
      <c r="H146" s="83"/>
      <c r="I146" s="165">
        <f>+I145/D145-1</f>
        <v>0</v>
      </c>
      <c r="J146" s="165">
        <f>+J145/E145-1</f>
        <v>-0.16666666666666663</v>
      </c>
      <c r="K146" s="165">
        <f>+K145/F145-1</f>
        <v>0</v>
      </c>
      <c r="L146" s="165">
        <f>+L145/G145-1</f>
        <v>-0.33333333333333337</v>
      </c>
      <c r="M146" s="83"/>
      <c r="N146" s="165">
        <f>+N145/I145-1</f>
        <v>1</v>
      </c>
      <c r="O146" s="165">
        <f>+O145/J145-1</f>
        <v>1.2000000000000002</v>
      </c>
      <c r="P146" s="165">
        <f>+P145/K145-1</f>
        <v>1</v>
      </c>
      <c r="Q146" s="165">
        <f>+Q145/L145-1</f>
        <v>3.25</v>
      </c>
      <c r="R146" s="83"/>
      <c r="S146" s="165">
        <f>+S145/N145-1</f>
        <v>0.10000000000000009</v>
      </c>
      <c r="T146" s="165">
        <f>+T145/O145-1</f>
        <v>0.36363636363636354</v>
      </c>
      <c r="U146" s="165">
        <f>+U145/P145-1</f>
        <v>0.125</v>
      </c>
      <c r="V146" s="165">
        <f>+V145/Q145-1</f>
        <v>-0.58823529411764708</v>
      </c>
      <c r="W146" s="57"/>
      <c r="X146" s="141">
        <f>AVERAGE(V146,U146,T146,S146)</f>
        <v>1.0026737967913646E-4</v>
      </c>
      <c r="Y146" s="141">
        <f>AVERAGE(X146,V146,U146,T146)</f>
        <v>-2.4874665775401095E-2</v>
      </c>
      <c r="Z146" s="141">
        <f>AVERAGE(Y146,X146,V146,U146)</f>
        <v>-0.12200242312834225</v>
      </c>
      <c r="AA146" s="141">
        <f>AVERAGE(Z146,Y146,X146,V146)</f>
        <v>-0.18375302891042783</v>
      </c>
      <c r="AB146" s="57"/>
      <c r="AC146" s="141">
        <f>AVERAGE(AA146,Z146,Y146,X146)</f>
        <v>-8.2632462608623003E-2</v>
      </c>
      <c r="AD146" s="141">
        <f>AVERAGE(AC146,AA146,Z146,Y146)</f>
        <v>-0.10331564510569854</v>
      </c>
      <c r="AE146" s="141">
        <f>AVERAGE(AD146,AC146,AA146,Z146)</f>
        <v>-0.1229258899382729</v>
      </c>
      <c r="AF146" s="141">
        <f>AVERAGE(AE146,AD146,AC146,AA146)</f>
        <v>-0.12315675664075557</v>
      </c>
      <c r="AG146" s="57"/>
      <c r="AH146" s="176">
        <f>AVERAGE(AF146,AE146,AD146,AC146)-0.25%</f>
        <v>-0.11050768857333751</v>
      </c>
      <c r="AI146" s="176">
        <f>AVERAGE(AH146,AF146,AE146,AD146)-0.25%</f>
        <v>-0.11747649506451613</v>
      </c>
      <c r="AJ146" s="176">
        <f>AVERAGE(AI146,AH146,AF146,AE146)-0.25%</f>
        <v>-0.12101670755422053</v>
      </c>
      <c r="AK146" s="176">
        <f>AVERAGE(AJ146,AI146,AH146,AF146)-0.25%</f>
        <v>-0.12053941195820744</v>
      </c>
      <c r="AL146" s="57"/>
      <c r="AM146" s="176">
        <f>AVERAGE(AK146,AJ146,AI146,AH146)-0.25%</f>
        <v>-0.11988507578757041</v>
      </c>
      <c r="AN146" s="176">
        <f>AVERAGE(AM146,AK146,AJ146,AI146)-0.25%</f>
        <v>-0.12222942259112864</v>
      </c>
      <c r="AO146" s="176">
        <f>AVERAGE(AN146,AM146,AK146,AJ146)-0.25%</f>
        <v>-0.12341765447278175</v>
      </c>
      <c r="AP146" s="176">
        <f>AVERAGE(AO146,AN146,AM146,AK146)-0.25%</f>
        <v>-0.12401789120242206</v>
      </c>
      <c r="AQ146" s="57"/>
      <c r="AR146" s="176">
        <f>AVERAGE(AP146,AO146,AN146,AM146)-0.25%</f>
        <v>-0.12488751101347571</v>
      </c>
      <c r="AS146" s="176">
        <f>AVERAGE(AR146,AP146,AO146,AN146)-0.25%</f>
        <v>-0.12613811981995202</v>
      </c>
      <c r="AT146" s="176">
        <f>AVERAGE(AS146,AR146,AP146,AO146)-0.25%</f>
        <v>-0.12711529412715789</v>
      </c>
      <c r="AU146" s="176">
        <f>AVERAGE(AT146,AS146,AR146,AP146)-0.25%</f>
        <v>-0.12803970404075191</v>
      </c>
      <c r="AV146" s="57"/>
    </row>
    <row r="147" spans="1:48" x14ac:dyDescent="0.25">
      <c r="A147" s="53"/>
      <c r="B147" s="287" t="s">
        <v>327</v>
      </c>
      <c r="C147" s="288"/>
      <c r="D147" s="138">
        <v>65</v>
      </c>
      <c r="E147" s="138">
        <v>63</v>
      </c>
      <c r="F147" s="138">
        <v>63</v>
      </c>
      <c r="G147" s="138">
        <v>65</v>
      </c>
      <c r="H147" s="54"/>
      <c r="I147" s="138">
        <v>65</v>
      </c>
      <c r="J147" s="138">
        <v>63</v>
      </c>
      <c r="K147" s="138">
        <v>62</v>
      </c>
      <c r="L147" s="138">
        <v>65</v>
      </c>
      <c r="M147" s="54"/>
      <c r="N147" s="138">
        <v>65</v>
      </c>
      <c r="O147" s="138">
        <v>63</v>
      </c>
      <c r="P147" s="138">
        <v>62</v>
      </c>
      <c r="Q147" s="138">
        <v>65</v>
      </c>
      <c r="R147" s="54"/>
      <c r="S147" s="138">
        <v>65</v>
      </c>
      <c r="T147" s="138">
        <v>63</v>
      </c>
      <c r="U147" s="138">
        <v>62</v>
      </c>
      <c r="V147" s="138">
        <v>65</v>
      </c>
      <c r="W147" s="54"/>
      <c r="X147" s="139">
        <v>64</v>
      </c>
      <c r="Y147" s="139">
        <v>63</v>
      </c>
      <c r="Z147" s="139">
        <v>63</v>
      </c>
      <c r="AA147" s="139">
        <v>64</v>
      </c>
      <c r="AB147" s="54"/>
      <c r="AC147" s="139">
        <v>65</v>
      </c>
      <c r="AD147" s="139">
        <v>63</v>
      </c>
      <c r="AE147" s="139">
        <v>62</v>
      </c>
      <c r="AF147" s="139">
        <v>65</v>
      </c>
      <c r="AG147" s="54"/>
      <c r="AH147" s="139">
        <v>65</v>
      </c>
      <c r="AI147" s="139">
        <v>63</v>
      </c>
      <c r="AJ147" s="139">
        <v>62</v>
      </c>
      <c r="AK147" s="139">
        <v>65</v>
      </c>
      <c r="AL147" s="54"/>
      <c r="AM147" s="139">
        <v>65</v>
      </c>
      <c r="AN147" s="139">
        <v>63</v>
      </c>
      <c r="AO147" s="139">
        <v>62</v>
      </c>
      <c r="AP147" s="139">
        <v>65</v>
      </c>
      <c r="AQ147" s="54"/>
      <c r="AR147" s="139">
        <v>65</v>
      </c>
      <c r="AS147" s="139">
        <v>63</v>
      </c>
      <c r="AT147" s="139">
        <v>62</v>
      </c>
      <c r="AU147" s="139">
        <v>65</v>
      </c>
      <c r="AV147" s="54"/>
    </row>
    <row r="148" spans="1:48" outlineLevel="1" x14ac:dyDescent="0.25">
      <c r="A148" s="53"/>
      <c r="B148" s="118" t="s">
        <v>255</v>
      </c>
      <c r="C148" s="119"/>
      <c r="D148" s="143">
        <f>(D141*D143*D147/1000)+D145</f>
        <v>3460.4977339999996</v>
      </c>
      <c r="E148" s="143">
        <f>(E141*E143*E147/1000)+E145</f>
        <v>3677.2159847999997</v>
      </c>
      <c r="F148" s="143">
        <f>(F141*F143*F147/1000)+F145</f>
        <v>4025.2753588</v>
      </c>
      <c r="G148" s="143">
        <f>(G141*G143*G147/1000)+G145</f>
        <v>3888.5505939999994</v>
      </c>
      <c r="H148" s="832">
        <f>SUM(D148:G148)</f>
        <v>15051.5396716</v>
      </c>
      <c r="I148" s="143">
        <f>(I141*I143*I147/1000)+I145</f>
        <v>3892.6372339999998</v>
      </c>
      <c r="J148" s="143">
        <f>(J141*J143*J147/1000)+J145</f>
        <v>4016.5219507999996</v>
      </c>
      <c r="K148" s="143">
        <f>(K141*K143*K147/1000)+K145</f>
        <v>4296.6306112000002</v>
      </c>
      <c r="L148" s="143">
        <f>(L141*L143*L147/1000)+L145</f>
        <v>4295.509924</v>
      </c>
      <c r="M148" s="832">
        <f>SUM(I148:L148)</f>
        <v>16501.299719999999</v>
      </c>
      <c r="N148" s="143">
        <f>(N141*N143*N147/1000)+N145</f>
        <v>4245.3473499500251</v>
      </c>
      <c r="O148" s="143">
        <f>(O141*O143*O147/1000)+O145</f>
        <v>4525.3167859459691</v>
      </c>
      <c r="P148" s="143">
        <f>(P141*P143*P147/1000)+P145</f>
        <v>4828.3724102409205</v>
      </c>
      <c r="Q148" s="143">
        <f>(Q141*Q143*Q147/1000)+Q145</f>
        <v>4796.7665499999994</v>
      </c>
      <c r="R148" s="832">
        <f>SUM(N148:Q148)</f>
        <v>18395.803096136915</v>
      </c>
      <c r="S148" s="143">
        <f>(S141*S143*S147/1000)+S145</f>
        <v>4798.9104000000007</v>
      </c>
      <c r="T148" s="143">
        <f>(T141*T143*T147/1000)+T145</f>
        <v>5141.8121100000008</v>
      </c>
      <c r="U148" s="143">
        <f>(U141*U143*U147/1000)+U145</f>
        <v>5260.9269999999988</v>
      </c>
      <c r="V148" s="143">
        <f>(V141*V143*V147/1000)+V145</f>
        <v>5319.6450000000004</v>
      </c>
      <c r="W148" s="832">
        <f>SUM(S148:V148)</f>
        <v>20521.29451</v>
      </c>
      <c r="X148" s="143">
        <f>(X141*X143*X147/1000)+X145</f>
        <v>5078.5334934469083</v>
      </c>
      <c r="Y148" s="143">
        <f>(Y141*Y143*Y147/1000)+Y145</f>
        <v>5455.388504482481</v>
      </c>
      <c r="Z148" s="143">
        <f>(Z141*Z143*Z147/1000)+Z145</f>
        <v>5683.550627385428</v>
      </c>
      <c r="AA148" s="143">
        <f>(AA141*AA143*AA147/1000)+AA145</f>
        <v>5643.2600167771279</v>
      </c>
      <c r="AB148" s="834">
        <f>SUM(X148:AA148)</f>
        <v>21860.732642091945</v>
      </c>
      <c r="AC148" s="143">
        <f>(AC141*AC143*AC147/1000)+AC145</f>
        <v>5513.7436859949967</v>
      </c>
      <c r="AD148" s="143">
        <f>(AD141*AD143*AD147/1000)+AD145</f>
        <v>5823.6036761324103</v>
      </c>
      <c r="AE148" s="143">
        <f>(AE141*AE143*AE147/1000)+AE145</f>
        <v>5981.4518868308851</v>
      </c>
      <c r="AF148" s="143">
        <f>(AF141*AF143*AF147/1000)+AF145</f>
        <v>6138.1230980946921</v>
      </c>
      <c r="AG148" s="832">
        <f>SUM(AC148:AF148)</f>
        <v>23456.922347052983</v>
      </c>
      <c r="AH148" s="143">
        <f>(AH141*AH143*AH147/1000)+AH145</f>
        <v>5866.8562554071632</v>
      </c>
      <c r="AI148" s="143">
        <f>(AI141*AI143*AI147/1000)+AI145</f>
        <v>6188.7994209525323</v>
      </c>
      <c r="AJ148" s="143">
        <f>(AJ141*AJ143*AJ147/1000)+AJ145</f>
        <v>6350.4859953557007</v>
      </c>
      <c r="AK148" s="143">
        <f>(AK141*AK143*AK147/1000)+AK145</f>
        <v>6505.3866694433691</v>
      </c>
      <c r="AL148" s="832">
        <f>SUM(AH148:AK148)</f>
        <v>24911.528341158766</v>
      </c>
      <c r="AM148" s="143">
        <f>(AM141*AM143*AM147/1000)+AM145</f>
        <v>6200.8093951872943</v>
      </c>
      <c r="AN148" s="143">
        <f>(AN141*AN143*AN147/1000)+AN145</f>
        <v>6529.6297844685778</v>
      </c>
      <c r="AO148" s="143">
        <f>(AO141*AO143*AO147/1000)+AO145</f>
        <v>6689.0371395238799</v>
      </c>
      <c r="AP148" s="143">
        <f>(AP141*AP143*AP147/1000)+AP145</f>
        <v>6838.8547570278679</v>
      </c>
      <c r="AQ148" s="832">
        <f>SUM(AM148:AP148)</f>
        <v>26258.331076207622</v>
      </c>
      <c r="AR148" s="143">
        <f>(AR141*AR143*AR147/1000)+AR145</f>
        <v>6504.7256842656461</v>
      </c>
      <c r="AS148" s="143">
        <f>(AS141*AS143*AS147/1000)+AS145</f>
        <v>6836.3880948098067</v>
      </c>
      <c r="AT148" s="143">
        <f>(AT141*AT143*AT147/1000)+AT145</f>
        <v>6990.5642531888143</v>
      </c>
      <c r="AU148" s="143">
        <f>(AU141*AU143*AU147/1000)+AU145</f>
        <v>7133.3187780801591</v>
      </c>
      <c r="AV148" s="832">
        <f>SUM(AR148:AU148)</f>
        <v>27464.996810344426</v>
      </c>
    </row>
    <row r="149" spans="1:48" outlineLevel="1" x14ac:dyDescent="0.25">
      <c r="A149" s="53"/>
      <c r="B149" s="134" t="s">
        <v>256</v>
      </c>
      <c r="C149" s="133"/>
      <c r="D149" s="316">
        <f>ROUND((524-D154),0)</f>
        <v>0</v>
      </c>
      <c r="E149" s="316">
        <f>ROUND((511-E154),0)</f>
        <v>0</v>
      </c>
      <c r="F149" s="316">
        <f>ROUND((549-F154),0)</f>
        <v>0</v>
      </c>
      <c r="G149" s="316">
        <f>ROUND((656-G154),0)</f>
        <v>0</v>
      </c>
      <c r="H149" s="135"/>
      <c r="I149" s="316">
        <f>ROUND((596-I154),0)</f>
        <v>0</v>
      </c>
      <c r="J149" s="316">
        <f>ROUND((450-J154),0)</f>
        <v>0</v>
      </c>
      <c r="K149" s="316">
        <f>ROUND((501-K154),0)</f>
        <v>0</v>
      </c>
      <c r="L149" s="316">
        <f>ROUND((696-L154),0)</f>
        <v>0</v>
      </c>
      <c r="M149" s="135"/>
      <c r="N149" s="316">
        <f>ROUND((606-N154),0)</f>
        <v>0</v>
      </c>
      <c r="O149" s="316">
        <f>ROUND((496-O154),0)</f>
        <v>0</v>
      </c>
      <c r="P149" s="316">
        <f>ROUND((614-P154),0)</f>
        <v>0</v>
      </c>
      <c r="Q149" s="316">
        <f>ROUND((812-Q154),0)</f>
        <v>0</v>
      </c>
      <c r="R149" s="135"/>
      <c r="S149" s="317"/>
      <c r="T149" s="317"/>
      <c r="U149" s="317"/>
      <c r="V149" s="317"/>
      <c r="W149" s="135"/>
      <c r="X149" s="317"/>
      <c r="Y149" s="317"/>
      <c r="Z149" s="317"/>
      <c r="AA149" s="317"/>
      <c r="AB149" s="135"/>
      <c r="AC149" s="317"/>
      <c r="AD149" s="317"/>
      <c r="AE149" s="317"/>
      <c r="AF149" s="317"/>
      <c r="AG149" s="135"/>
      <c r="AH149" s="317"/>
      <c r="AI149" s="317"/>
      <c r="AJ149" s="317"/>
      <c r="AK149" s="317"/>
      <c r="AL149" s="135"/>
      <c r="AM149" s="317"/>
      <c r="AN149" s="317"/>
      <c r="AO149" s="317"/>
      <c r="AP149" s="317"/>
      <c r="AQ149" s="135"/>
      <c r="AR149" s="317"/>
      <c r="AS149" s="317"/>
      <c r="AT149" s="317"/>
      <c r="AU149" s="317"/>
      <c r="AV149" s="135"/>
    </row>
    <row r="150" spans="1:48" outlineLevel="1" x14ac:dyDescent="0.25">
      <c r="A150" s="53"/>
      <c r="B150" s="126" t="s">
        <v>154</v>
      </c>
      <c r="C150" s="133"/>
      <c r="D150" s="167">
        <v>3</v>
      </c>
      <c r="E150" s="167">
        <v>2</v>
      </c>
      <c r="F150" s="167">
        <v>3</v>
      </c>
      <c r="G150" s="167">
        <v>2</v>
      </c>
      <c r="H150" s="135"/>
      <c r="I150" s="167">
        <v>2</v>
      </c>
      <c r="J150" s="167">
        <v>3</v>
      </c>
      <c r="K150" s="167">
        <v>3</v>
      </c>
      <c r="L150" s="167">
        <v>2</v>
      </c>
      <c r="M150" s="135"/>
      <c r="N150" s="167">
        <v>2</v>
      </c>
      <c r="O150" s="167">
        <v>4</v>
      </c>
      <c r="P150" s="167">
        <v>4</v>
      </c>
      <c r="Q150" s="167">
        <v>3</v>
      </c>
      <c r="R150" s="135"/>
      <c r="S150" s="167">
        <v>3</v>
      </c>
      <c r="T150" s="167">
        <v>4</v>
      </c>
      <c r="U150" s="167">
        <v>4</v>
      </c>
      <c r="V150" s="167">
        <v>3</v>
      </c>
      <c r="W150" s="135"/>
      <c r="X150" s="139">
        <f>+V150/V141*X141</f>
        <v>2.9416701855912084</v>
      </c>
      <c r="Y150" s="139">
        <f>+X150/X141*Y141</f>
        <v>3.2931744382150581</v>
      </c>
      <c r="Z150" s="139">
        <f>+Y150/Y141*Z141</f>
        <v>3.4153392283457467</v>
      </c>
      <c r="AA150" s="139">
        <f>+Z150/Z141*AA141</f>
        <v>3.1835744363781866</v>
      </c>
      <c r="AB150" s="135"/>
      <c r="AC150" s="139">
        <f>(AA150/AA141*AC141)*(1+0.5%)</f>
        <v>3.1178731071618895</v>
      </c>
      <c r="AD150" s="139">
        <f>(AC150/AC141*AD141)*(1+0.5%)</f>
        <v>3.5084789609225924</v>
      </c>
      <c r="AE150" s="139">
        <f>(AD150/AD141*AE141)*(1+0.5%)</f>
        <v>3.6609274460754495</v>
      </c>
      <c r="AF150" s="139">
        <f>(AE150/AE141*AF141)*(1+0.5%)</f>
        <v>3.4317169240729113</v>
      </c>
      <c r="AG150" s="135"/>
      <c r="AH150" s="139">
        <f>(AF150/AF141*AH141)*(1+0.5%)</f>
        <v>3.349333528878911</v>
      </c>
      <c r="AI150" s="139">
        <f>(AH150/AH141*AI141)*(1+0.5%)</f>
        <v>3.7674978142954356</v>
      </c>
      <c r="AJ150" s="139">
        <f>(AI150/AI141*AJ141)*(1+0.5%)</f>
        <v>3.9291574139283063</v>
      </c>
      <c r="AK150" s="139">
        <f>(AJ150/AJ141*AK141)*(1+0.5%)</f>
        <v>3.6797224719453605</v>
      </c>
      <c r="AL150" s="135"/>
      <c r="AM150" s="139">
        <f>(AK150/AK141*AM141)*(1+0.5%)</f>
        <v>3.5866326636837669</v>
      </c>
      <c r="AN150" s="139">
        <f>(AM150/AM141*AN141)*(1+0.5%)</f>
        <v>4.031233634305285</v>
      </c>
      <c r="AO150" s="139">
        <f>(AN150/AN141*AO141)*(1+0.5%)</f>
        <v>4.2004539707260147</v>
      </c>
      <c r="AP150" s="139">
        <f>(AO150/AO141*AP141)*(1+0.5%)</f>
        <v>3.929912986012845</v>
      </c>
      <c r="AQ150" s="135"/>
      <c r="AR150" s="139">
        <f>(AP150/AP141*AR141)*(1+0.5%)</f>
        <v>3.8266588658663254</v>
      </c>
      <c r="AS150" s="139">
        <f>(AR150/AR141*AS141)*(1+0.5%)</f>
        <v>4.297055732162085</v>
      </c>
      <c r="AT150" s="139">
        <f>(AS150/AS141*AT141)*(1+0.5%)</f>
        <v>4.4731687101935345</v>
      </c>
      <c r="AU150" s="139">
        <f>(AT150/AT141*AU141)*(1+0.5%)</f>
        <v>4.1810131154908987</v>
      </c>
      <c r="AV150" s="135"/>
    </row>
    <row r="151" spans="1:48" outlineLevel="1" x14ac:dyDescent="0.25">
      <c r="A151" s="53"/>
      <c r="B151" s="126" t="s">
        <v>153</v>
      </c>
      <c r="C151" s="133"/>
      <c r="D151" s="167">
        <v>132</v>
      </c>
      <c r="E151" s="167">
        <v>136</v>
      </c>
      <c r="F151" s="167">
        <v>145</v>
      </c>
      <c r="G151" s="167">
        <v>143</v>
      </c>
      <c r="H151" s="135"/>
      <c r="I151" s="167">
        <v>145</v>
      </c>
      <c r="J151" s="167">
        <v>155</v>
      </c>
      <c r="K151" s="167">
        <v>165</v>
      </c>
      <c r="L151" s="167">
        <v>162</v>
      </c>
      <c r="M151" s="135"/>
      <c r="N151" s="167">
        <v>161</v>
      </c>
      <c r="O151" s="167">
        <v>166</v>
      </c>
      <c r="P151" s="167">
        <v>177</v>
      </c>
      <c r="Q151" s="167">
        <v>177</v>
      </c>
      <c r="R151" s="135"/>
      <c r="S151" s="167">
        <v>173</v>
      </c>
      <c r="T151" s="167">
        <v>180</v>
      </c>
      <c r="U151" s="167">
        <v>185</v>
      </c>
      <c r="V151" s="167">
        <v>190</v>
      </c>
      <c r="W151" s="135"/>
      <c r="X151" s="167">
        <f>V151/(V69+V151+V168+V182)*X18</f>
        <v>194.3430573917037</v>
      </c>
      <c r="Y151" s="167">
        <f>X151/(X69+X151+X168+X182)*Y18</f>
        <v>198.87477226294689</v>
      </c>
      <c r="Z151" s="167">
        <f>Y151/(Y69+Y151+Y168+Y182)*Z18</f>
        <v>201.19371025827749</v>
      </c>
      <c r="AA151" s="167">
        <f>Z151/(Z69+Z151+Z168+Z182)*AA18</f>
        <v>206.23284085382232</v>
      </c>
      <c r="AB151" s="135"/>
      <c r="AC151" s="167">
        <f>AA151/(AA69+AA151+AA168+AA182)*AC18</f>
        <v>213.63067292331857</v>
      </c>
      <c r="AD151" s="167">
        <f>AC151/(AC69+AC151+AC168+AC182)*AD18</f>
        <v>218.58420022013826</v>
      </c>
      <c r="AE151" s="167">
        <f>AD151/(AD69+AD151+AD168+AD182)*AE18</f>
        <v>221.09733908581944</v>
      </c>
      <c r="AF151" s="167">
        <f>AE151/(AE69+AE151+AE168+AE182)*AF18</f>
        <v>226.34490503024577</v>
      </c>
      <c r="AG151" s="135"/>
      <c r="AH151" s="167">
        <f>AF151/(AF69+AF151+AF168+AF182)*AH18</f>
        <v>234.10512662846764</v>
      </c>
      <c r="AI151" s="167">
        <f>AH151/(AH69+AH151+AH168+AH182)*AI18</f>
        <v>239.34233405313125</v>
      </c>
      <c r="AJ151" s="167">
        <f>AI151/(AI69+AI151+AI168+AI182)*AJ18</f>
        <v>241.97654188723533</v>
      </c>
      <c r="AK151" s="167">
        <f>AJ151/(AJ69+AJ151+AJ168+AJ182)*AK18</f>
        <v>247.45911579195641</v>
      </c>
      <c r="AL151" s="135"/>
      <c r="AM151" s="167">
        <f>AK151/(AK69+AK151+AK168+AK182)*AM18</f>
        <v>255.55384139501001</v>
      </c>
      <c r="AN151" s="167">
        <f>AM151/(AM69+AM151+AM168+AM182)*AN18</f>
        <v>261.01928655345921</v>
      </c>
      <c r="AO151" s="167">
        <f>AN151/(AN69+AN151+AN168+AN182)*AO18</f>
        <v>263.75710410456702</v>
      </c>
      <c r="AP151" s="167">
        <f>AO151/(AO69+AO151+AO168+AO182)*AP18</f>
        <v>269.4555909724171</v>
      </c>
      <c r="AQ151" s="135"/>
      <c r="AR151" s="167">
        <f>AP151/(AP69+AP151+AP168+AP182)*AR18</f>
        <v>277.8545510798341</v>
      </c>
      <c r="AS151" s="167">
        <f>AR151/(AR69+AR151+AR168+AR182)*AS18</f>
        <v>283.51405406638861</v>
      </c>
      <c r="AT151" s="167">
        <f>AS151/(AS69+AS151+AS168+AS182)*AT18</f>
        <v>286.34264963701185</v>
      </c>
      <c r="AU151" s="167">
        <f>AT151/(AT69+AT151+AT168+AT182)*AU18</f>
        <v>292.22908272863111</v>
      </c>
      <c r="AV151" s="135"/>
    </row>
    <row r="152" spans="1:48" outlineLevel="1" x14ac:dyDescent="0.25">
      <c r="A152" s="53"/>
      <c r="B152" s="126" t="s">
        <v>248</v>
      </c>
      <c r="C152" s="133"/>
      <c r="D152" s="167">
        <v>2801</v>
      </c>
      <c r="E152" s="167">
        <v>3028</v>
      </c>
      <c r="F152" s="167">
        <v>3328</v>
      </c>
      <c r="G152" s="167">
        <v>3088</v>
      </c>
      <c r="H152" s="135"/>
      <c r="I152" s="167">
        <f>3141+9</f>
        <v>3150</v>
      </c>
      <c r="J152" s="167">
        <f>3400+9</f>
        <v>3409</v>
      </c>
      <c r="K152" s="167">
        <f>3618+10</f>
        <v>3628</v>
      </c>
      <c r="L152" s="167">
        <f>3428+8</f>
        <v>3436</v>
      </c>
      <c r="M152" s="135"/>
      <c r="N152" s="167">
        <f>3457+19</f>
        <v>3476</v>
      </c>
      <c r="O152" s="167">
        <f>3840+19</f>
        <v>3859</v>
      </c>
      <c r="P152" s="167">
        <f>4014+19</f>
        <v>4033</v>
      </c>
      <c r="Q152" s="167">
        <f>3786+19</f>
        <v>3805</v>
      </c>
      <c r="R152" s="135"/>
      <c r="S152" s="167">
        <v>3956</v>
      </c>
      <c r="T152" s="167">
        <f>891+2342+200+84+394+461</f>
        <v>4372</v>
      </c>
      <c r="U152" s="167">
        <v>4495</v>
      </c>
      <c r="V152" s="167">
        <v>4317</v>
      </c>
      <c r="W152" s="135"/>
      <c r="X152" s="167">
        <f>+X153*X148</f>
        <v>4262.6863606481847</v>
      </c>
      <c r="Y152" s="167">
        <f>+Y153*Y148</f>
        <v>4665.9058988802526</v>
      </c>
      <c r="Z152" s="167">
        <f>+Z153*Z148</f>
        <v>4827.6770130701516</v>
      </c>
      <c r="AA152" s="167">
        <f>+AA153*AA148</f>
        <v>4480.8631109064163</v>
      </c>
      <c r="AB152" s="135"/>
      <c r="AC152" s="167">
        <f>+AC153*AC148</f>
        <v>4572.844250516634</v>
      </c>
      <c r="AD152" s="167">
        <f>+AD153*AD148</f>
        <v>4922.5983663028101</v>
      </c>
      <c r="AE152" s="167">
        <f>+AE153*AE148</f>
        <v>5020.9034463594326</v>
      </c>
      <c r="AF152" s="167">
        <f>+AF153*AF148</f>
        <v>4812.4132209292684</v>
      </c>
      <c r="AG152" s="135"/>
      <c r="AH152" s="167">
        <f>+AH153*AH148</f>
        <v>4836.3652187360558</v>
      </c>
      <c r="AI152" s="167">
        <f>+AI153*AI148</f>
        <v>5200.3484488106506</v>
      </c>
      <c r="AJ152" s="167">
        <f>+AJ153*AJ148</f>
        <v>5298.9227344158371</v>
      </c>
      <c r="AK152" s="167">
        <f>+AK153*AK148</f>
        <v>5067.8283894393262</v>
      </c>
      <c r="AL152" s="135"/>
      <c r="AM152" s="167">
        <f>+AM153*AM148</f>
        <v>5096.1587333707002</v>
      </c>
      <c r="AN152" s="167">
        <f>+AN153*AN148</f>
        <v>5470.4186378664963</v>
      </c>
      <c r="AO152" s="167">
        <f>+AO153*AO148</f>
        <v>5564.6913329352528</v>
      </c>
      <c r="AP152" s="167">
        <f>+AP153*AP148</f>
        <v>5310.5096680513598</v>
      </c>
      <c r="AQ152" s="135"/>
      <c r="AR152" s="167">
        <f>+AR153*AR148</f>
        <v>5329.6716746947486</v>
      </c>
      <c r="AS152" s="167">
        <f>+AS153*AS148</f>
        <v>5710.3248380054438</v>
      </c>
      <c r="AT152" s="167">
        <f>+AT153*AT148</f>
        <v>5798.0589946339942</v>
      </c>
      <c r="AU152" s="167">
        <f>+AU153*AU148</f>
        <v>5521.3336662599277</v>
      </c>
      <c r="AV152" s="135"/>
    </row>
    <row r="153" spans="1:48" outlineLevel="1" x14ac:dyDescent="0.25">
      <c r="A153" s="53"/>
      <c r="B153" s="126" t="s">
        <v>250</v>
      </c>
      <c r="C153" s="133"/>
      <c r="D153" s="317">
        <f>+D152/D148</f>
        <v>0.80942113398303428</v>
      </c>
      <c r="E153" s="317">
        <f>+E152/E148</f>
        <v>0.82344904746319658</v>
      </c>
      <c r="F153" s="317">
        <f>+F152/F148</f>
        <v>0.82677573665224502</v>
      </c>
      <c r="G153" s="317">
        <f>+G152/G148</f>
        <v>0.79412622398812505</v>
      </c>
      <c r="H153" s="135"/>
      <c r="I153" s="317">
        <f>+I152/I148</f>
        <v>0.80922002504793389</v>
      </c>
      <c r="J153" s="317">
        <f>+J152/J148</f>
        <v>0.84874427222313698</v>
      </c>
      <c r="K153" s="317">
        <f>+K152/K148</f>
        <v>0.84438257050604137</v>
      </c>
      <c r="L153" s="317">
        <f>+L152/L148</f>
        <v>0.7999050312518845</v>
      </c>
      <c r="M153" s="135"/>
      <c r="N153" s="145">
        <f>+N152/N148</f>
        <v>0.8187787037121752</v>
      </c>
      <c r="O153" s="145">
        <f>+O152/O148</f>
        <v>0.85275797972523981</v>
      </c>
      <c r="P153" s="145">
        <f>+P152/P148</f>
        <v>0.83527111360467032</v>
      </c>
      <c r="Q153" s="145">
        <f>+Q152/Q148</f>
        <v>0.79324268970312939</v>
      </c>
      <c r="R153" s="135"/>
      <c r="S153" s="145">
        <f>+S152/S148</f>
        <v>0.82435379497812655</v>
      </c>
      <c r="T153" s="145">
        <f>+T152/T148</f>
        <v>0.85028388950602851</v>
      </c>
      <c r="U153" s="145">
        <f>+U152/U148</f>
        <v>0.85441215968212469</v>
      </c>
      <c r="V153" s="145">
        <f>+V152/V148</f>
        <v>0.81152031761517918</v>
      </c>
      <c r="W153" s="135"/>
      <c r="X153" s="176">
        <f>+S153+1.5%</f>
        <v>0.83935379497812657</v>
      </c>
      <c r="Y153" s="176">
        <f>+T153+0.5%</f>
        <v>0.85528388950602852</v>
      </c>
      <c r="Z153" s="176">
        <f>+U153-0.5%</f>
        <v>0.84941215968212469</v>
      </c>
      <c r="AA153" s="176">
        <f>+V153-1.75%</f>
        <v>0.79402031761517922</v>
      </c>
      <c r="AB153" s="135"/>
      <c r="AC153" s="176">
        <f>+X153-1%</f>
        <v>0.82935379497812656</v>
      </c>
      <c r="AD153" s="176">
        <f>+Y153-1%</f>
        <v>0.84528388950602851</v>
      </c>
      <c r="AE153" s="176">
        <f>+Z153-1%</f>
        <v>0.83941215968212468</v>
      </c>
      <c r="AF153" s="176">
        <f>+AA153-1%</f>
        <v>0.78402031761517921</v>
      </c>
      <c r="AG153" s="135"/>
      <c r="AH153" s="176">
        <f>+AC153-0.5%</f>
        <v>0.82435379497812655</v>
      </c>
      <c r="AI153" s="176">
        <f>+AD153-0.5%</f>
        <v>0.8402838895060285</v>
      </c>
      <c r="AJ153" s="176">
        <f>+AE153-0.5%</f>
        <v>0.83441215968212468</v>
      </c>
      <c r="AK153" s="176">
        <f>+AF153-0.5%</f>
        <v>0.7790203176151792</v>
      </c>
      <c r="AL153" s="135"/>
      <c r="AM153" s="176">
        <f>+AH153-0.25%</f>
        <v>0.82185379497812661</v>
      </c>
      <c r="AN153" s="176">
        <f>+AI153-0.25%</f>
        <v>0.83778388950602856</v>
      </c>
      <c r="AO153" s="176">
        <f>+AJ153-0.25%</f>
        <v>0.83191215968212473</v>
      </c>
      <c r="AP153" s="176">
        <f>+AK153-0.25%</f>
        <v>0.77652031761517926</v>
      </c>
      <c r="AQ153" s="135"/>
      <c r="AR153" s="176">
        <f>+AM153-0.25%</f>
        <v>0.81935379497812666</v>
      </c>
      <c r="AS153" s="176">
        <f>+AN153-0.25%</f>
        <v>0.83528388950602861</v>
      </c>
      <c r="AT153" s="176">
        <f>+AO153-0.25%</f>
        <v>0.82941215968212478</v>
      </c>
      <c r="AU153" s="176">
        <f>+AP153-0.25%</f>
        <v>0.77402031761517931</v>
      </c>
      <c r="AV153" s="135"/>
    </row>
    <row r="154" spans="1:48" s="55" customFormat="1" outlineLevel="1" x14ac:dyDescent="0.25">
      <c r="A154" s="195"/>
      <c r="B154" s="171" t="s">
        <v>322</v>
      </c>
      <c r="C154" s="133"/>
      <c r="D154" s="168">
        <f>+D148-D151-D152-D150</f>
        <v>524.49773399999958</v>
      </c>
      <c r="E154" s="168">
        <f>+E148-E151-E152-E150</f>
        <v>511.21598479999966</v>
      </c>
      <c r="F154" s="168">
        <f>+F148-F151-F152-F150</f>
        <v>549.27535880000005</v>
      </c>
      <c r="G154" s="168">
        <f>+G148-G151-G152-G150</f>
        <v>655.55059399999936</v>
      </c>
      <c r="H154" s="189">
        <f>SUM(D154:G154)</f>
        <v>2240.5396715999987</v>
      </c>
      <c r="I154" s="168">
        <f>+I148-I151-I152-I150</f>
        <v>595.63723399999981</v>
      </c>
      <c r="J154" s="168">
        <f>+J148-J151-J152-J150</f>
        <v>449.52195079999956</v>
      </c>
      <c r="K154" s="168">
        <f>+K148-K151-K152-K150</f>
        <v>500.6306112000002</v>
      </c>
      <c r="L154" s="168">
        <f>+L148-L151-L152-L150</f>
        <v>695.50992399999996</v>
      </c>
      <c r="M154" s="189">
        <f>SUM(I154:L154)</f>
        <v>2241.2997199999995</v>
      </c>
      <c r="N154" s="168">
        <f>+N148-N151-N152-N150</f>
        <v>606.34734995002509</v>
      </c>
      <c r="O154" s="168">
        <f>+O148-O151-O152-O150</f>
        <v>496.31678594596906</v>
      </c>
      <c r="P154" s="168">
        <f>+P148-P151-P152-P150</f>
        <v>614.37241024092054</v>
      </c>
      <c r="Q154" s="168">
        <f>+Q148-Q151-Q152-Q150</f>
        <v>811.76654999999937</v>
      </c>
      <c r="R154" s="189">
        <f>SUM(N154:Q154)</f>
        <v>2528.8030961369141</v>
      </c>
      <c r="S154" s="168">
        <f>+S148-S151-S152-S150</f>
        <v>666.91040000000066</v>
      </c>
      <c r="T154" s="168">
        <f>+T148-T151-T152-T150</f>
        <v>585.81211000000076</v>
      </c>
      <c r="U154" s="168">
        <f>+U148-U151-U152-U150</f>
        <v>576.92699999999877</v>
      </c>
      <c r="V154" s="168">
        <f>+V148-V151-V152-V150</f>
        <v>809.64500000000044</v>
      </c>
      <c r="W154" s="189">
        <f>SUM(S154:V154)</f>
        <v>2639.2945100000006</v>
      </c>
      <c r="X154" s="168">
        <f>+X148-X151-X152-X150</f>
        <v>618.56240522142843</v>
      </c>
      <c r="Y154" s="168">
        <f>+Y148-Y151-Y152-Y150</f>
        <v>587.31465890106654</v>
      </c>
      <c r="Z154" s="168">
        <f>+Z148-Z151-Z152-Z150</f>
        <v>651.26456482865285</v>
      </c>
      <c r="AA154" s="168">
        <f>+AA148-AA151-AA152-AA150</f>
        <v>952.98049058051106</v>
      </c>
      <c r="AB154" s="835">
        <f>SUM(X154:AA154)</f>
        <v>2810.1221195316593</v>
      </c>
      <c r="AC154" s="168">
        <f>+AC148-AC151-AC152-AC150</f>
        <v>724.15088944788238</v>
      </c>
      <c r="AD154" s="168">
        <f>+AD148-AD151-AD152-AD150</f>
        <v>678.91263064853968</v>
      </c>
      <c r="AE154" s="168">
        <f>+AE148-AE151-AE152-AE150</f>
        <v>735.79017393955723</v>
      </c>
      <c r="AF154" s="168">
        <f>+AF148-AF151-AF152-AF150</f>
        <v>1095.9332552111048</v>
      </c>
      <c r="AG154" s="189">
        <f>SUM(AC154:AF154)</f>
        <v>3234.7869492470836</v>
      </c>
      <c r="AH154" s="168">
        <f>+AH148-AH151-AH152-AH150</f>
        <v>793.03657651376091</v>
      </c>
      <c r="AI154" s="168">
        <f>+AI148-AI151-AI152-AI150</f>
        <v>745.34114027445548</v>
      </c>
      <c r="AJ154" s="168">
        <f>+AJ148-AJ151-AJ152-AJ150</f>
        <v>805.65756163869946</v>
      </c>
      <c r="AK154" s="168">
        <f>+AK148-AK151-AK152-AK150</f>
        <v>1186.4194417401409</v>
      </c>
      <c r="AL154" s="189">
        <f>SUM(AH154:AK154)</f>
        <v>3530.4547201670566</v>
      </c>
      <c r="AM154" s="168">
        <f>+AM148-AM151-AM152-AM150</f>
        <v>845.51018775790044</v>
      </c>
      <c r="AN154" s="168">
        <f>+AN148-AN151-AN152-AN150</f>
        <v>794.16062641431711</v>
      </c>
      <c r="AO154" s="168">
        <f>+AO148-AO151-AO152-AO150</f>
        <v>856.38824851333436</v>
      </c>
      <c r="AP154" s="168">
        <f>+AP148-AP151-AP152-AP150</f>
        <v>1254.9595850180785</v>
      </c>
      <c r="AQ154" s="189">
        <f>SUM(AM154:AP154)</f>
        <v>3751.0186477036304</v>
      </c>
      <c r="AR154" s="168">
        <f>+AR148-AR151-AR152-AR150</f>
        <v>893.37279962519722</v>
      </c>
      <c r="AS154" s="168">
        <f>+AS148-AS151-AS152-AS150</f>
        <v>838.25214700581205</v>
      </c>
      <c r="AT154" s="168">
        <f>+AT148-AT151-AT152-AT150</f>
        <v>901.68944020761444</v>
      </c>
      <c r="AU154" s="168">
        <f>+AU148-AU151-AU152-AU150</f>
        <v>1315.5750159761089</v>
      </c>
      <c r="AV154" s="189">
        <f>SUM(AR154:AU154)</f>
        <v>3948.8894028147324</v>
      </c>
    </row>
    <row r="155" spans="1:48" s="55" customFormat="1" outlineLevel="1" x14ac:dyDescent="0.25">
      <c r="A155" s="195"/>
      <c r="B155" s="171" t="s">
        <v>258</v>
      </c>
      <c r="C155" s="133"/>
      <c r="D155" s="318">
        <f>+D154/D148</f>
        <v>0.15156713696030399</v>
      </c>
      <c r="E155" s="318">
        <f>+E154/E148</f>
        <v>0.13902256133801838</v>
      </c>
      <c r="F155" s="318">
        <f>+F154/F148</f>
        <v>0.13645659236682581</v>
      </c>
      <c r="G155" s="318">
        <f>+G154/G148</f>
        <v>0.16858481795543778</v>
      </c>
      <c r="H155" s="833">
        <f>+H154/H148</f>
        <v>0.14885783916362799</v>
      </c>
      <c r="I155" s="318">
        <f>+I154/I148</f>
        <v>0.15301637378316252</v>
      </c>
      <c r="J155" s="318">
        <f>+J154/J148</f>
        <v>0.11191821090644483</v>
      </c>
      <c r="K155" s="318">
        <f>+K154/K148</f>
        <v>0.1165170238034914</v>
      </c>
      <c r="L155" s="318">
        <f>+L154/L148</f>
        <v>0.16191556679080785</v>
      </c>
      <c r="M155" s="833">
        <f>+M154/M148</f>
        <v>0.13582564755693072</v>
      </c>
      <c r="N155" s="318">
        <f>+N154/N148</f>
        <v>0.14282632255218478</v>
      </c>
      <c r="O155" s="318">
        <f>+O154/O148</f>
        <v>0.10967558944985978</v>
      </c>
      <c r="P155" s="318">
        <f>+P154/P148</f>
        <v>0.12724213421024524</v>
      </c>
      <c r="Q155" s="318">
        <f>+Q154/Q148</f>
        <v>0.16923203194034939</v>
      </c>
      <c r="R155" s="833">
        <f>+R154/R148</f>
        <v>0.13746630592430933</v>
      </c>
      <c r="S155" s="318">
        <f>+S154/S148</f>
        <v>0.13897121313204777</v>
      </c>
      <c r="T155" s="318">
        <f>+T154/T148</f>
        <v>0.11393106116434905</v>
      </c>
      <c r="U155" s="318">
        <f>+U154/U148</f>
        <v>0.1096626126916414</v>
      </c>
      <c r="V155" s="318">
        <f>+V154/V148</f>
        <v>0.15219906591511281</v>
      </c>
      <c r="W155" s="833">
        <f>+W154/W148</f>
        <v>0.1286124766015066</v>
      </c>
      <c r="X155" s="318">
        <f>+X154/X148</f>
        <v>0.12179941434266234</v>
      </c>
      <c r="Y155" s="318">
        <f>+Y154/Y148</f>
        <v>0.10765771464644414</v>
      </c>
      <c r="Z155" s="318">
        <f>+Z154/Z148</f>
        <v>0.11458762444916418</v>
      </c>
      <c r="AA155" s="318">
        <f>+AA154/AA148</f>
        <v>0.16887056200624251</v>
      </c>
      <c r="AB155" s="833">
        <f>+AB154/AB148</f>
        <v>0.12854656637266054</v>
      </c>
      <c r="AC155" s="318">
        <f>+AC154/AC148</f>
        <v>0.13133560983025708</v>
      </c>
      <c r="AD155" s="318">
        <f>+AD154/AD148</f>
        <v>0.11657947010216554</v>
      </c>
      <c r="AE155" s="318">
        <f>+AE154/AE148</f>
        <v>0.12301196897688269</v>
      </c>
      <c r="AF155" s="318">
        <f>+AF154/AF148</f>
        <v>0.17854533669278946</v>
      </c>
      <c r="AG155" s="833">
        <f>+AG154/AG148</f>
        <v>0.13790329785755065</v>
      </c>
      <c r="AH155" s="318">
        <f>+AH154/AH148</f>
        <v>0.13517232091426512</v>
      </c>
      <c r="AI155" s="318">
        <f>+AI154/AI148</f>
        <v>0.12043388217609068</v>
      </c>
      <c r="AJ155" s="318">
        <f>+AJ154/AJ148</f>
        <v>0.12686549694431273</v>
      </c>
      <c r="AK155" s="318">
        <f>+AK154/AK148</f>
        <v>0.18237493050380915</v>
      </c>
      <c r="AL155" s="833">
        <f>+AL154/AL148</f>
        <v>0.14171971594107488</v>
      </c>
      <c r="AM155" s="318">
        <f>+AM154/AM148</f>
        <v>0.13635481013400219</v>
      </c>
      <c r="AN155" s="318">
        <f>+AN154/AN148</f>
        <v>0.12162414296493701</v>
      </c>
      <c r="AO155" s="318">
        <f>+AO154/AO148</f>
        <v>0.1280286281344061</v>
      </c>
      <c r="AP155" s="318">
        <f>+AP154/AP148</f>
        <v>0.18350434825778897</v>
      </c>
      <c r="AQ155" s="833">
        <f>+AQ154/AQ148</f>
        <v>0.14285061136662972</v>
      </c>
      <c r="AR155" s="318">
        <f>+AR154/AR148</f>
        <v>0.13734211756018963</v>
      </c>
      <c r="AS155" s="318">
        <f>+AS154/AS148</f>
        <v>0.12261623175580304</v>
      </c>
      <c r="AT155" s="318">
        <f>+AT154/AT148</f>
        <v>0.12898664650658206</v>
      </c>
      <c r="AU155" s="318">
        <f>+AU154/AU148</f>
        <v>0.18442678042354066</v>
      </c>
      <c r="AV155" s="833">
        <f>+AV154/AV148</f>
        <v>0.14377898639796752</v>
      </c>
    </row>
    <row r="156" spans="1:48" ht="15.75" x14ac:dyDescent="0.25">
      <c r="A156" s="53"/>
      <c r="B156" s="691" t="s">
        <v>239</v>
      </c>
      <c r="C156" s="692"/>
      <c r="D156" s="89" t="s">
        <v>69</v>
      </c>
      <c r="E156" s="89" t="s">
        <v>72</v>
      </c>
      <c r="F156" s="89" t="s">
        <v>73</v>
      </c>
      <c r="G156" s="89" t="s">
        <v>76</v>
      </c>
      <c r="H156" s="396"/>
      <c r="I156" s="89" t="s">
        <v>78</v>
      </c>
      <c r="J156" s="89" t="s">
        <v>89</v>
      </c>
      <c r="K156" s="89" t="s">
        <v>105</v>
      </c>
      <c r="L156" s="89" t="s">
        <v>109</v>
      </c>
      <c r="M156" s="396"/>
      <c r="N156" s="89" t="s">
        <v>111</v>
      </c>
      <c r="O156" s="89" t="s">
        <v>112</v>
      </c>
      <c r="P156" s="89" t="s">
        <v>113</v>
      </c>
      <c r="Q156" s="89" t="s">
        <v>114</v>
      </c>
      <c r="R156" s="396"/>
      <c r="S156" s="89" t="s">
        <v>492</v>
      </c>
      <c r="T156" s="89" t="s">
        <v>734</v>
      </c>
      <c r="U156" s="89" t="s">
        <v>753</v>
      </c>
      <c r="V156" s="89" t="s">
        <v>771</v>
      </c>
      <c r="W156" s="396"/>
      <c r="X156" s="91" t="s">
        <v>371</v>
      </c>
      <c r="Y156" s="91" t="s">
        <v>372</v>
      </c>
      <c r="Z156" s="91" t="s">
        <v>373</v>
      </c>
      <c r="AA156" s="91" t="s">
        <v>374</v>
      </c>
      <c r="AB156" s="400"/>
      <c r="AC156" s="91" t="s">
        <v>376</v>
      </c>
      <c r="AD156" s="91" t="s">
        <v>377</v>
      </c>
      <c r="AE156" s="91" t="s">
        <v>378</v>
      </c>
      <c r="AF156" s="91" t="s">
        <v>379</v>
      </c>
      <c r="AG156" s="400"/>
      <c r="AH156" s="91" t="s">
        <v>381</v>
      </c>
      <c r="AI156" s="91" t="s">
        <v>382</v>
      </c>
      <c r="AJ156" s="91" t="s">
        <v>383</v>
      </c>
      <c r="AK156" s="91" t="s">
        <v>384</v>
      </c>
      <c r="AL156" s="400"/>
      <c r="AM156" s="91" t="s">
        <v>386</v>
      </c>
      <c r="AN156" s="91" t="s">
        <v>387</v>
      </c>
      <c r="AO156" s="91" t="s">
        <v>388</v>
      </c>
      <c r="AP156" s="91" t="s">
        <v>389</v>
      </c>
      <c r="AQ156" s="400"/>
      <c r="AR156" s="91" t="s">
        <v>781</v>
      </c>
      <c r="AS156" s="91" t="s">
        <v>782</v>
      </c>
      <c r="AT156" s="91" t="s">
        <v>783</v>
      </c>
      <c r="AU156" s="91" t="s">
        <v>784</v>
      </c>
      <c r="AV156" s="400"/>
    </row>
    <row r="157" spans="1:48" ht="15.75" outlineLevel="1" x14ac:dyDescent="0.25">
      <c r="A157" s="53"/>
      <c r="B157" s="297" t="s">
        <v>240</v>
      </c>
      <c r="C157" s="174"/>
      <c r="D157" s="156">
        <f>ROUND((1502-D165),0)</f>
        <v>0</v>
      </c>
      <c r="E157" s="156">
        <f>ROUND((1447-E165),0)</f>
        <v>0</v>
      </c>
      <c r="F157" s="156">
        <f>ROUND((1361-F165),0)</f>
        <v>0</v>
      </c>
      <c r="G157" s="156">
        <f>ROUND((1516-G165),0)</f>
        <v>0</v>
      </c>
      <c r="H157" s="54"/>
      <c r="I157" s="156">
        <f>ROUND((1562-I165),0)</f>
        <v>0</v>
      </c>
      <c r="J157" s="156">
        <f>ROUND((1502-J165),0)</f>
        <v>0</v>
      </c>
      <c r="K157" s="156">
        <f>ROUND((1406-K165),0)</f>
        <v>0</v>
      </c>
      <c r="L157" s="156">
        <f>ROUND((1600-L165),0)</f>
        <v>0</v>
      </c>
      <c r="M157" s="54"/>
      <c r="N157" s="156">
        <f>ROUND((1664-N165),0)</f>
        <v>0</v>
      </c>
      <c r="O157" s="156">
        <f>ROUND((1673-O165),0)</f>
        <v>0</v>
      </c>
      <c r="P157" s="156">
        <f>ROUND((1613-P165),0)</f>
        <v>0</v>
      </c>
      <c r="Q157" s="156">
        <f>ROUND((1862-Q165),0)</f>
        <v>0</v>
      </c>
      <c r="R157" s="54"/>
      <c r="S157" s="49"/>
      <c r="T157" s="49"/>
      <c r="U157" s="49"/>
      <c r="V157" s="49"/>
      <c r="W157" s="54"/>
      <c r="X157" s="49"/>
      <c r="Y157" s="49"/>
      <c r="Z157" s="49"/>
      <c r="AA157" s="49"/>
      <c r="AB157" s="54"/>
      <c r="AC157" s="49"/>
      <c r="AD157" s="49"/>
      <c r="AE157" s="49"/>
      <c r="AF157" s="49"/>
      <c r="AG157" s="54"/>
      <c r="AH157" s="49"/>
      <c r="AI157" s="49"/>
      <c r="AJ157" s="49"/>
      <c r="AK157" s="49"/>
      <c r="AL157" s="54"/>
      <c r="AM157" s="49"/>
      <c r="AN157" s="49"/>
      <c r="AO157" s="49"/>
      <c r="AP157" s="49"/>
      <c r="AQ157" s="54"/>
      <c r="AR157" s="49"/>
      <c r="AS157" s="49"/>
      <c r="AT157" s="49"/>
      <c r="AU157" s="49"/>
      <c r="AV157" s="54"/>
    </row>
    <row r="158" spans="1:48" outlineLevel="1" x14ac:dyDescent="0.25">
      <c r="A158" s="53"/>
      <c r="B158" s="293" t="s">
        <v>367</v>
      </c>
      <c r="C158" s="288"/>
      <c r="D158" s="138">
        <v>97.153000000000006</v>
      </c>
      <c r="E158" s="138">
        <v>100.32899999999999</v>
      </c>
      <c r="F158" s="138">
        <v>94.744</v>
      </c>
      <c r="G158" s="138">
        <v>102.845</v>
      </c>
      <c r="H158" s="54"/>
      <c r="I158" s="138">
        <f>104811.4/1000</f>
        <v>104.81139999999999</v>
      </c>
      <c r="J158" s="138">
        <f>104125/1000</f>
        <v>104.125</v>
      </c>
      <c r="K158" s="138">
        <f>94583/1000</f>
        <v>94.582999999999998</v>
      </c>
      <c r="L158" s="138">
        <f>102709/1000</f>
        <v>102.709</v>
      </c>
      <c r="M158" s="54"/>
      <c r="N158" s="138">
        <f>106080/1000</f>
        <v>106.08</v>
      </c>
      <c r="O158" s="138">
        <f>108638/1000</f>
        <v>108.63800000000001</v>
      </c>
      <c r="P158" s="138">
        <f>100340/1000</f>
        <v>100.34</v>
      </c>
      <c r="Q158" s="261">
        <f>110560/1000</f>
        <v>110.56</v>
      </c>
      <c r="R158" s="54"/>
      <c r="S158" s="261">
        <f>115745/1000</f>
        <v>115.745</v>
      </c>
      <c r="T158" s="261">
        <v>117.05</v>
      </c>
      <c r="U158" s="261">
        <v>105.91200000000001</v>
      </c>
      <c r="V158" s="261">
        <v>111.729</v>
      </c>
      <c r="W158" s="54"/>
      <c r="X158" s="261">
        <f>+S158*(1+X159)</f>
        <v>120.21989240523391</v>
      </c>
      <c r="Y158" s="261">
        <f>+T158*(1+Y159)</f>
        <v>121.21106182056279</v>
      </c>
      <c r="Z158" s="261">
        <f>+U158*(1+Z159)</f>
        <v>109.62727975950479</v>
      </c>
      <c r="AA158" s="261">
        <f>+V158*(1+AA159)</f>
        <v>116.19434618580148</v>
      </c>
      <c r="AB158" s="54"/>
      <c r="AC158" s="261">
        <f>+X158*(1+AC159)</f>
        <v>124.70577395964186</v>
      </c>
      <c r="AD158" s="261">
        <f>+Y158*(1+AD159)</f>
        <v>125.69308950652601</v>
      </c>
      <c r="AE158" s="261">
        <f>+Z158*(1+AE159)</f>
        <v>113.72009966312247</v>
      </c>
      <c r="AF158" s="261">
        <f>+AA158*(1+AF159)</f>
        <v>120.59784589801087</v>
      </c>
      <c r="AG158" s="54"/>
      <c r="AH158" s="261">
        <f>+AC158*(1+AH159)</f>
        <v>129.0555951517569</v>
      </c>
      <c r="AI158" s="261">
        <f>+AD158*(1+AI159)</f>
        <v>130.00088671599812</v>
      </c>
      <c r="AJ158" s="261">
        <f>+AE158*(1+AJ159)</f>
        <v>117.54065959521073</v>
      </c>
      <c r="AK158" s="261">
        <f>+AF158*(1+AK159)</f>
        <v>124.53677960681291</v>
      </c>
      <c r="AL158" s="54"/>
      <c r="AM158" s="261">
        <f>+AH158*(1+AM159)</f>
        <v>133.10184023967275</v>
      </c>
      <c r="AN158" s="261">
        <f>+AI158*(1+AN159)</f>
        <v>133.96211034279449</v>
      </c>
      <c r="AO158" s="261">
        <f>+AJ158*(1+AO159)</f>
        <v>121.01050007849094</v>
      </c>
      <c r="AP158" s="261">
        <f>+AK158*(1+AP159)</f>
        <v>128.08625029045669</v>
      </c>
      <c r="AQ158" s="54"/>
      <c r="AR158" s="261">
        <f>+AM158*(1+AR159)</f>
        <v>136.75698977179812</v>
      </c>
      <c r="AS158" s="261">
        <f>+AN158*(1+AS159)</f>
        <v>137.51055799477416</v>
      </c>
      <c r="AT158" s="261">
        <f>+AO158*(1+AT159)</f>
        <v>124.09540469814691</v>
      </c>
      <c r="AU158" s="261">
        <f>+AP158*(1+AU159)</f>
        <v>131.2225700343804</v>
      </c>
      <c r="AV158" s="54"/>
    </row>
    <row r="159" spans="1:48" outlineLevel="1" x14ac:dyDescent="0.25">
      <c r="A159" s="53"/>
      <c r="B159" s="251" t="s">
        <v>242</v>
      </c>
      <c r="C159" s="288"/>
      <c r="D159" s="165">
        <f>+D158/88.69-1</f>
        <v>9.5422257300710411E-2</v>
      </c>
      <c r="E159" s="165">
        <f>+E158/91.92-1</f>
        <v>9.1481723237597734E-2</v>
      </c>
      <c r="F159" s="165">
        <f>+F158/85.77-1</f>
        <v>0.1046286580389415</v>
      </c>
      <c r="G159" s="165">
        <f>+G158/95.74-1</f>
        <v>7.4211405890954651E-2</v>
      </c>
      <c r="H159" s="54"/>
      <c r="I159" s="165">
        <f>+I158/D158-1</f>
        <v>7.8828239992588811E-2</v>
      </c>
      <c r="J159" s="165">
        <f>+J158/E158-1</f>
        <v>3.7835521135464401E-2</v>
      </c>
      <c r="K159" s="165">
        <f>+K158/F158-1</f>
        <v>-1.6993160516760586E-3</v>
      </c>
      <c r="L159" s="165">
        <f>+L158/G158-1</f>
        <v>-1.3223783363313091E-3</v>
      </c>
      <c r="M159" s="54"/>
      <c r="N159" s="165">
        <f>+N158/I158-1</f>
        <v>1.2103645214165626E-2</v>
      </c>
      <c r="O159" s="165">
        <f>+O158/J158-1</f>
        <v>4.3342136854741975E-2</v>
      </c>
      <c r="P159" s="165">
        <f>+P158/K158-1</f>
        <v>6.0867174862290208E-2</v>
      </c>
      <c r="Q159" s="165">
        <f>+Q158/L158-1</f>
        <v>7.6439260434820744E-2</v>
      </c>
      <c r="R159" s="54"/>
      <c r="S159" s="165">
        <f>+S158/N158-1</f>
        <v>9.1110482654600311E-2</v>
      </c>
      <c r="T159" s="165">
        <f>+T158/O158-1</f>
        <v>7.7431469651503049E-2</v>
      </c>
      <c r="U159" s="165">
        <f>+U158/P158-1</f>
        <v>5.5531193940602019E-2</v>
      </c>
      <c r="V159" s="165">
        <f>+V158/Q158-1</f>
        <v>1.0573444283646927E-2</v>
      </c>
      <c r="W159" s="54"/>
      <c r="X159" s="141">
        <f>AVERAGE(V159,U159,T159,S159)-2%</f>
        <v>3.8661647632588073E-2</v>
      </c>
      <c r="Y159" s="141">
        <f>AVERAGE(X159,V159,U159,T159)-1%</f>
        <v>3.5549438877085011E-2</v>
      </c>
      <c r="Z159" s="141">
        <f>AVERAGE(Y159,X159,V159,U159)</f>
        <v>3.5078931183480509E-2</v>
      </c>
      <c r="AA159" s="141">
        <f>AVERAGE(Z159,Y159,X159,V159)+1%</f>
        <v>3.9965865494200128E-2</v>
      </c>
      <c r="AB159" s="54"/>
      <c r="AC159" s="141">
        <f>AVERAGE(AA159,Z159,Y159,X159)</f>
        <v>3.731397079683843E-2</v>
      </c>
      <c r="AD159" s="141">
        <f>AVERAGE(AC159,AA159,Z159,Y159)</f>
        <v>3.6977051587901016E-2</v>
      </c>
      <c r="AE159" s="141">
        <f>AVERAGE(AD159,AC159,AA159,Z159)</f>
        <v>3.7333954765605019E-2</v>
      </c>
      <c r="AF159" s="141">
        <f>AVERAGE(AE159,AD159,AC159,AA159)</f>
        <v>3.7897710661136147E-2</v>
      </c>
      <c r="AG159" s="54"/>
      <c r="AH159" s="176">
        <f>AVERAGE(AF159,AE159,AD159,AC159)-0.25%</f>
        <v>3.4880671952870153E-2</v>
      </c>
      <c r="AI159" s="176">
        <f>AVERAGE(AH159,AF159,AE159,AD159)-0.25%</f>
        <v>3.4272347241878082E-2</v>
      </c>
      <c r="AJ159" s="176">
        <f>AVERAGE(AI159,AH159,AF159,AE159)-0.25%</f>
        <v>3.3596171155372348E-2</v>
      </c>
      <c r="AK159" s="176">
        <f>AVERAGE(AJ159,AI159,AH159,AF159)-0.25%</f>
        <v>3.2661725252814182E-2</v>
      </c>
      <c r="AL159" s="54"/>
      <c r="AM159" s="176">
        <f>AVERAGE(AK159,AJ159,AI159,AH159)-0.25%</f>
        <v>3.1352728900733685E-2</v>
      </c>
      <c r="AN159" s="176">
        <f>AVERAGE(AM159,AK159,AJ159,AI159)-0.25%</f>
        <v>3.0470743137699572E-2</v>
      </c>
      <c r="AO159" s="176">
        <f>AVERAGE(AN159,AM159,AK159,AJ159)-0.25%</f>
        <v>2.9520342111654944E-2</v>
      </c>
      <c r="AP159" s="176">
        <f>AVERAGE(AO159,AN159,AM159,AK159)-0.25%</f>
        <v>2.8501384850725595E-2</v>
      </c>
      <c r="AQ159" s="54"/>
      <c r="AR159" s="176">
        <f>AVERAGE(AP159,AO159,AN159,AM159)-0.25%</f>
        <v>2.7461299750203453E-2</v>
      </c>
      <c r="AS159" s="176">
        <f>AVERAGE(AR159,AP159,AO159,AN159)-0.25%</f>
        <v>2.6488442462570892E-2</v>
      </c>
      <c r="AT159" s="176">
        <f>AVERAGE(AS159,AR159,AP159,AO159)-0.25%</f>
        <v>2.5492867293788721E-2</v>
      </c>
      <c r="AU159" s="176">
        <f>AVERAGE(AT159,AS159,AR159,AP159)-0.25%</f>
        <v>2.4485998589322166E-2</v>
      </c>
      <c r="AV159" s="54"/>
    </row>
    <row r="160" spans="1:48" outlineLevel="1" x14ac:dyDescent="0.25">
      <c r="A160" s="53"/>
      <c r="B160" s="293" t="s">
        <v>243</v>
      </c>
      <c r="C160" s="288"/>
      <c r="D160" s="138">
        <v>1189</v>
      </c>
      <c r="E160" s="138">
        <v>1167</v>
      </c>
      <c r="F160" s="138">
        <v>1177</v>
      </c>
      <c r="G160" s="138">
        <v>1173</v>
      </c>
      <c r="H160" s="54"/>
      <c r="I160" s="138">
        <v>1152</v>
      </c>
      <c r="J160" s="138">
        <v>1149.0166428171599</v>
      </c>
      <c r="K160" s="138">
        <v>1172</v>
      </c>
      <c r="L160" s="138">
        <v>1174</v>
      </c>
      <c r="M160" s="54"/>
      <c r="N160" s="138">
        <v>1173</v>
      </c>
      <c r="O160" s="138">
        <v>1187</v>
      </c>
      <c r="P160" s="138">
        <v>1202</v>
      </c>
      <c r="Q160" s="261">
        <v>1198</v>
      </c>
      <c r="R160" s="54"/>
      <c r="S160" s="261">
        <v>1156</v>
      </c>
      <c r="T160" s="261">
        <v>1155</v>
      </c>
      <c r="U160" s="261">
        <v>1178</v>
      </c>
      <c r="V160" s="261">
        <v>1169</v>
      </c>
      <c r="W160" s="54"/>
      <c r="X160" s="261">
        <f>+S160*(1+X161)</f>
        <v>1108.1343152059171</v>
      </c>
      <c r="Y160" s="261">
        <f>+T160*(1+Y161)</f>
        <v>1099.4044344932481</v>
      </c>
      <c r="Z160" s="261">
        <f>+U160*(1+Z161)</f>
        <v>1126.8410136961982</v>
      </c>
      <c r="AA160" s="261">
        <f>+V160*(1+AA161)</f>
        <v>1123.0651143247464</v>
      </c>
      <c r="AB160" s="54"/>
      <c r="AC160" s="261">
        <f>+X160*(1+AC161)</f>
        <v>1060.4114464597033</v>
      </c>
      <c r="AD160" s="261">
        <f>+Y160*(1+AD161)</f>
        <v>1051.6013673669847</v>
      </c>
      <c r="AE160" s="261">
        <f>+Z160*(1+AE161)</f>
        <v>1079.1560070558332</v>
      </c>
      <c r="AF160" s="261">
        <f>+AA160*(1+AF161)</f>
        <v>1075.8518981014497</v>
      </c>
      <c r="AG160" s="54"/>
      <c r="AH160" s="261">
        <f>+AC160*(1+AH161)</f>
        <v>1012.4533141709413</v>
      </c>
      <c r="AI160" s="261">
        <f>+AD160*(1+AI161)</f>
        <v>1003.4738131913144</v>
      </c>
      <c r="AJ160" s="261">
        <f>+AE160*(1+AJ161)</f>
        <v>1029.1508953443927</v>
      </c>
      <c r="AK160" s="261">
        <f>+AF160*(1+AK161)</f>
        <v>1024.918707257573</v>
      </c>
      <c r="AL160" s="54"/>
      <c r="AM160" s="261">
        <f>+AH160*(1+AM161)</f>
        <v>963.17939570569456</v>
      </c>
      <c r="AN160" s="261">
        <f>+AI160*(1+AN161)</f>
        <v>953.77344948642542</v>
      </c>
      <c r="AO160" s="261">
        <f>+AJ160*(1+AO161)</f>
        <v>977.21078420562776</v>
      </c>
      <c r="AP160" s="261">
        <f>+AK160*(1+AP161)</f>
        <v>972.13353689121368</v>
      </c>
      <c r="AQ160" s="54"/>
      <c r="AR160" s="261">
        <f>+AM160*(1+AR161)</f>
        <v>912.57229755579408</v>
      </c>
      <c r="AS160" s="261">
        <f>+AN160*(1+AS161)</f>
        <v>902.73685650407788</v>
      </c>
      <c r="AT160" s="261">
        <f>+AO160*(1+AT161)</f>
        <v>923.94727291016136</v>
      </c>
      <c r="AU160" s="261">
        <f>+AP160*(1+AU161)</f>
        <v>918.16569809684813</v>
      </c>
      <c r="AV160" s="54"/>
    </row>
    <row r="161" spans="1:48" outlineLevel="1" x14ac:dyDescent="0.25">
      <c r="A161" s="53"/>
      <c r="B161" s="251" t="s">
        <v>241</v>
      </c>
      <c r="C161" s="288"/>
      <c r="D161" s="165">
        <f>+D160/1166-1</f>
        <v>1.9725557461406584E-2</v>
      </c>
      <c r="E161" s="165">
        <f>+E160/1165-1</f>
        <v>1.7167381974247942E-3</v>
      </c>
      <c r="F161" s="165">
        <f>+F160/1195.2-1</f>
        <v>-1.5227576974565005E-2</v>
      </c>
      <c r="G161" s="165">
        <f>+G160/1200-1</f>
        <v>-2.2499999999999964E-2</v>
      </c>
      <c r="H161" s="54"/>
      <c r="I161" s="165">
        <f>+I160/D160-1</f>
        <v>-3.1118587047939461E-2</v>
      </c>
      <c r="J161" s="165">
        <f>+J160/E160-1</f>
        <v>-1.5409903327198049E-2</v>
      </c>
      <c r="K161" s="165">
        <f>+K160/F160-1</f>
        <v>-4.2480883602379338E-3</v>
      </c>
      <c r="L161" s="165">
        <f>+L160/G160-1</f>
        <v>8.5251491901106036E-4</v>
      </c>
      <c r="M161" s="54"/>
      <c r="N161" s="165">
        <f>+N160/I160-1</f>
        <v>1.8229166666666741E-2</v>
      </c>
      <c r="O161" s="165">
        <f>+O160/J160-1</f>
        <v>3.3057273295635126E-2</v>
      </c>
      <c r="P161" s="165">
        <f>+P160/K160-1</f>
        <v>2.5597269624573427E-2</v>
      </c>
      <c r="Q161" s="165">
        <f>+Q160/L160-1</f>
        <v>2.0442930153321992E-2</v>
      </c>
      <c r="R161" s="54"/>
      <c r="S161" s="165">
        <f>+S160/N160-1</f>
        <v>-1.4492753623188359E-2</v>
      </c>
      <c r="T161" s="165">
        <f>+T160/O160-1</f>
        <v>-2.695871946082562E-2</v>
      </c>
      <c r="U161" s="165">
        <f>+U160/P160-1</f>
        <v>-1.9966722129783676E-2</v>
      </c>
      <c r="V161" s="165">
        <f>+V160/Q160-1</f>
        <v>-2.4207011686143587E-2</v>
      </c>
      <c r="W161" s="54"/>
      <c r="X161" s="141">
        <f>AVERAGE(V161,U161,T161,S161)-2%</f>
        <v>-4.1406301724985314E-2</v>
      </c>
      <c r="Y161" s="141">
        <f>AVERAGE(X161,V161,U161,T161)-2%</f>
        <v>-4.813468875043455E-2</v>
      </c>
      <c r="Z161" s="141">
        <f>AVERAGE(Y161,X161,V161,U161)-1%</f>
        <v>-4.3428681072836782E-2</v>
      </c>
      <c r="AA161" s="141">
        <f>AVERAGE(Z161,Y161,X161,V161)</f>
        <v>-3.9294170808600058E-2</v>
      </c>
      <c r="AB161" s="54"/>
      <c r="AC161" s="141">
        <f>AVERAGE(AA161,Z161,Y161,X161)</f>
        <v>-4.3065960589214178E-2</v>
      </c>
      <c r="AD161" s="141">
        <f>AVERAGE(AC161,AA161,Z161,Y161)</f>
        <v>-4.3480875305271394E-2</v>
      </c>
      <c r="AE161" s="141">
        <f>AVERAGE(AD161,AC161,AA161,Z161)</f>
        <v>-4.2317421943980603E-2</v>
      </c>
      <c r="AF161" s="141">
        <f>AVERAGE(AE161,AD161,AC161,AA161)</f>
        <v>-4.2039607161766558E-2</v>
      </c>
      <c r="AG161" s="54"/>
      <c r="AH161" s="176">
        <f>AVERAGE(AF161,AE161,AD161,AC161)-0.25%</f>
        <v>-4.5225966250058189E-2</v>
      </c>
      <c r="AI161" s="176">
        <f>AVERAGE(AH161,AF161,AE161,AD161)-0.25%</f>
        <v>-4.5765967665269192E-2</v>
      </c>
      <c r="AJ161" s="176">
        <f>AVERAGE(AI161,AH161,AF161,AE161)-0.25%</f>
        <v>-4.6337240755268641E-2</v>
      </c>
      <c r="AK161" s="176">
        <f>AVERAGE(AJ161,AI161,AH161,AF161)-0.25%</f>
        <v>-4.7342195458090645E-2</v>
      </c>
      <c r="AL161" s="54"/>
      <c r="AM161" s="176">
        <f>AVERAGE(AK161,AJ161,AI161,AH161)-0.25%</f>
        <v>-4.8667842532171671E-2</v>
      </c>
      <c r="AN161" s="176">
        <f>AVERAGE(AM161,AK161,AJ161,AI161)-0.25%</f>
        <v>-4.9528311602700034E-2</v>
      </c>
      <c r="AO161" s="176">
        <f>AVERAGE(AN161,AM161,AK161,AJ161)-0.25%</f>
        <v>-5.0468897587057748E-2</v>
      </c>
      <c r="AP161" s="176">
        <f>AVERAGE(AO161,AN161,AM161,AK161)-0.25%</f>
        <v>-5.1501811795005029E-2</v>
      </c>
      <c r="AQ161" s="54"/>
      <c r="AR161" s="176">
        <f>AVERAGE(AP161,AO161,AN161,AM161)-0.25%</f>
        <v>-5.2541715879233619E-2</v>
      </c>
      <c r="AS161" s="176">
        <f>AVERAGE(AR161,AP161,AO161,AN161)-0.25%</f>
        <v>-5.351018421599911E-2</v>
      </c>
      <c r="AT161" s="176">
        <f>AVERAGE(AS161,AR161,AP161,AO161)-0.25%</f>
        <v>-5.4505652369323879E-2</v>
      </c>
      <c r="AU161" s="176">
        <f>AVERAGE(AT161,AS161,AR161,AP161)-0.25%</f>
        <v>-5.5514841064890408E-2</v>
      </c>
      <c r="AV161" s="54"/>
    </row>
    <row r="162" spans="1:48" outlineLevel="1" x14ac:dyDescent="0.25">
      <c r="A162" s="53"/>
      <c r="B162" s="293" t="s">
        <v>324</v>
      </c>
      <c r="C162" s="288"/>
      <c r="D162" s="142">
        <v>237.81</v>
      </c>
      <c r="E162" s="142">
        <v>232.6</v>
      </c>
      <c r="F162" s="142">
        <v>231.61</v>
      </c>
      <c r="G162" s="142">
        <v>226.71</v>
      </c>
      <c r="H162" s="54"/>
      <c r="I162" s="142">
        <v>229.20400000000001</v>
      </c>
      <c r="J162" s="142">
        <v>232.7</v>
      </c>
      <c r="K162" s="142">
        <v>239.82</v>
      </c>
      <c r="L162" s="142">
        <v>239.68</v>
      </c>
      <c r="M162" s="54"/>
      <c r="N162" s="142">
        <v>241.34</v>
      </c>
      <c r="O162" s="142">
        <v>248.36</v>
      </c>
      <c r="P162" s="142">
        <v>259.2</v>
      </c>
      <c r="Q162" s="142">
        <v>259.15499999999997</v>
      </c>
      <c r="R162" s="54"/>
      <c r="S162" s="142">
        <v>260.39</v>
      </c>
      <c r="T162" s="142">
        <v>264.26499999999999</v>
      </c>
      <c r="U162" s="142">
        <v>270.82</v>
      </c>
      <c r="V162" s="142">
        <v>269.17</v>
      </c>
      <c r="W162" s="54"/>
      <c r="X162" s="142">
        <f>+S162*(1+X163)</f>
        <v>269.92349372419204</v>
      </c>
      <c r="Y162" s="142">
        <f>+T162*(1+Y163)</f>
        <v>271.14431618545609</v>
      </c>
      <c r="Z162" s="142">
        <f>+U162*(1+Z163)</f>
        <v>278.00480881374062</v>
      </c>
      <c r="AA162" s="142">
        <f>+V162*(1+AA163)</f>
        <v>277.77125385044076</v>
      </c>
      <c r="AB162" s="54"/>
      <c r="AC162" s="142">
        <f>+X162*(1+AC163)</f>
        <v>278.0973715022136</v>
      </c>
      <c r="AD162" s="142">
        <f>+Y162*(1+AD163)</f>
        <v>278.92606623010522</v>
      </c>
      <c r="AE162" s="142">
        <f>+Z162*(1+AE163)</f>
        <v>286.16886630989154</v>
      </c>
      <c r="AF162" s="142">
        <f>+AA162*(1+AF163)</f>
        <v>286.12544622430187</v>
      </c>
      <c r="AG162" s="54"/>
      <c r="AH162" s="142">
        <f>+AC162*(1+AH163)</f>
        <v>285.63549745965776</v>
      </c>
      <c r="AI162" s="142">
        <f>+AD162*(1+AI163)</f>
        <v>286.26517812090162</v>
      </c>
      <c r="AJ162" s="142">
        <f>+AE162*(1+AJ163)</f>
        <v>293.52773478160788</v>
      </c>
      <c r="AK162" s="142">
        <f>+AF162*(1+AK163)</f>
        <v>293.22200286025549</v>
      </c>
      <c r="AL162" s="54"/>
      <c r="AM162" s="142">
        <f>+AH162*(1+AM163)</f>
        <v>292.34332451528087</v>
      </c>
      <c r="AN162" s="142">
        <f>+AI162*(1+AN163)</f>
        <v>292.72856534685047</v>
      </c>
      <c r="AO162" s="142">
        <f>+AJ162*(1+AO163)</f>
        <v>299.88111136873516</v>
      </c>
      <c r="AP162" s="142">
        <f>+AK162*(1+AP163)</f>
        <v>299.27039148372347</v>
      </c>
      <c r="AQ162" s="54"/>
      <c r="AR162" s="142">
        <f>+AM162*(1+AR163)</f>
        <v>298.06846079170418</v>
      </c>
      <c r="AS162" s="142">
        <f>+AN162*(1+AS163)</f>
        <v>298.17581626188667</v>
      </c>
      <c r="AT162" s="142">
        <f>+AO162*(1+AT163)</f>
        <v>305.16384501564693</v>
      </c>
      <c r="AU162" s="142">
        <f>+AP162*(1+AU163)</f>
        <v>304.24094147414195</v>
      </c>
      <c r="AV162" s="54"/>
    </row>
    <row r="163" spans="1:48" outlineLevel="1" x14ac:dyDescent="0.25">
      <c r="A163" s="53"/>
      <c r="B163" s="251" t="s">
        <v>325</v>
      </c>
      <c r="C163" s="288"/>
      <c r="D163" s="165"/>
      <c r="E163" s="165"/>
      <c r="F163" s="165"/>
      <c r="G163" s="165"/>
      <c r="H163" s="54"/>
      <c r="I163" s="165">
        <f>+I162/D162-1</f>
        <v>-3.6188553887557262E-2</v>
      </c>
      <c r="J163" s="165">
        <f>+J162/E162-1</f>
        <v>4.2992261392948983E-4</v>
      </c>
      <c r="K163" s="165">
        <f>+K162/F162-1</f>
        <v>3.5447519537152861E-2</v>
      </c>
      <c r="L163" s="165">
        <f>+L162/G162-1</f>
        <v>5.7209651096113978E-2</v>
      </c>
      <c r="M163" s="54"/>
      <c r="N163" s="165">
        <f>+N162/I162-1</f>
        <v>5.2948465122772737E-2</v>
      </c>
      <c r="O163" s="165">
        <f>+O162/J162-1</f>
        <v>6.729694886119475E-2</v>
      </c>
      <c r="P163" s="165">
        <f>+P162/K162-1</f>
        <v>8.0810607955966951E-2</v>
      </c>
      <c r="Q163" s="165">
        <f>+Q162/L162-1</f>
        <v>8.1254172229639376E-2</v>
      </c>
      <c r="R163" s="54"/>
      <c r="S163" s="165">
        <f>+S162/N162-1</f>
        <v>7.8934283583326437E-2</v>
      </c>
      <c r="T163" s="165">
        <f>+T162/O162-1</f>
        <v>6.4040103076179689E-2</v>
      </c>
      <c r="U163" s="165">
        <f>+U162/P162-1</f>
        <v>4.4830246913580174E-2</v>
      </c>
      <c r="V163" s="165">
        <f>+V162/Q162-1</f>
        <v>3.864482645521039E-2</v>
      </c>
      <c r="W163" s="54"/>
      <c r="X163" s="141">
        <f>AVERAGE(V163,U163,T163,S163)-2%</f>
        <v>3.6612365007074169E-2</v>
      </c>
      <c r="Y163" s="141">
        <f>AVERAGE(X163,V163,U163,T163)-2%</f>
        <v>2.6031885363011101E-2</v>
      </c>
      <c r="Z163" s="141">
        <f>AVERAGE(Y163,X163,V163,U163)-1%</f>
        <v>2.6529830934718952E-2</v>
      </c>
      <c r="AA163" s="141">
        <f>AVERAGE(Z163,Y163,X163,V163)</f>
        <v>3.1954726940003654E-2</v>
      </c>
      <c r="AB163" s="54"/>
      <c r="AC163" s="141">
        <f>AVERAGE(AA163,Z163,Y163,X163)</f>
        <v>3.0282202061201968E-2</v>
      </c>
      <c r="AD163" s="141">
        <f>AVERAGE(AC163,AA163,Z163,Y163)</f>
        <v>2.8699661324733918E-2</v>
      </c>
      <c r="AE163" s="141">
        <f>AVERAGE(AD163,AC163,AA163,Z163)</f>
        <v>2.9366605315164621E-2</v>
      </c>
      <c r="AF163" s="141">
        <f>AVERAGE(AE163,AD163,AC163,AA163)</f>
        <v>3.0075798910276043E-2</v>
      </c>
      <c r="AG163" s="54"/>
      <c r="AH163" s="176">
        <f>AVERAGE(AF163,AE163,AD163,AC163)-0.25%</f>
        <v>2.7106066902844138E-2</v>
      </c>
      <c r="AI163" s="176">
        <f>AVERAGE(AH163,AF163,AE163,AD163)-0.25%</f>
        <v>2.6312033113254682E-2</v>
      </c>
      <c r="AJ163" s="176">
        <f>AVERAGE(AI163,AH163,AF163,AE163)-0.25%</f>
        <v>2.5715126060384872E-2</v>
      </c>
      <c r="AK163" s="176">
        <f>AVERAGE(AJ163,AI163,AH163,AF163)-0.25%</f>
        <v>2.4802256246689931E-2</v>
      </c>
      <c r="AL163" s="54"/>
      <c r="AM163" s="176">
        <f>AVERAGE(AK163,AJ163,AI163,AH163)-0.25%</f>
        <v>2.3483870580793407E-2</v>
      </c>
      <c r="AN163" s="176">
        <f>AVERAGE(AM163,AK163,AJ163,AI163)-0.25%</f>
        <v>2.2578321500280725E-2</v>
      </c>
      <c r="AO163" s="176">
        <f>AVERAGE(AN163,AM163,AK163,AJ163)-0.25%</f>
        <v>2.1644893597037234E-2</v>
      </c>
      <c r="AP163" s="176">
        <f>AVERAGE(AO163,AN163,AM163,AK163)-0.25%</f>
        <v>2.0627335481200323E-2</v>
      </c>
      <c r="AQ163" s="54"/>
      <c r="AR163" s="176">
        <f>AVERAGE(AP163,AO163,AN163,AM163)-0.25%</f>
        <v>1.9583605289827923E-2</v>
      </c>
      <c r="AS163" s="176">
        <f>AVERAGE(AR163,AP163,AO163,AN163)-0.25%</f>
        <v>1.8608538967086554E-2</v>
      </c>
      <c r="AT163" s="176">
        <f>AVERAGE(AS163,AR163,AP163,AO163)-0.25%</f>
        <v>1.761609333378801E-2</v>
      </c>
      <c r="AU163" s="176">
        <f>AVERAGE(AT163,AS163,AR163,AP163)-0.25%</f>
        <v>1.6608893267975704E-2</v>
      </c>
      <c r="AV163" s="54"/>
    </row>
    <row r="164" spans="1:48" x14ac:dyDescent="0.25">
      <c r="A164" s="53"/>
      <c r="B164" s="287" t="s">
        <v>328</v>
      </c>
      <c r="C164" s="288"/>
      <c r="D164" s="138">
        <v>65</v>
      </c>
      <c r="E164" s="138">
        <v>62</v>
      </c>
      <c r="F164" s="138">
        <v>62</v>
      </c>
      <c r="G164" s="138">
        <v>65</v>
      </c>
      <c r="H164" s="54"/>
      <c r="I164" s="138">
        <v>65</v>
      </c>
      <c r="J164" s="138">
        <v>62</v>
      </c>
      <c r="K164" s="138">
        <v>62</v>
      </c>
      <c r="L164" s="138">
        <v>65</v>
      </c>
      <c r="M164" s="54"/>
      <c r="N164" s="138">
        <v>65</v>
      </c>
      <c r="O164" s="138">
        <v>62</v>
      </c>
      <c r="P164" s="138">
        <v>62</v>
      </c>
      <c r="Q164" s="138">
        <v>65</v>
      </c>
      <c r="R164" s="54"/>
      <c r="S164" s="138">
        <v>65</v>
      </c>
      <c r="T164" s="138">
        <v>62</v>
      </c>
      <c r="U164" s="138">
        <v>61</v>
      </c>
      <c r="V164" s="138">
        <v>65</v>
      </c>
      <c r="W164" s="54"/>
      <c r="X164" s="139">
        <v>64</v>
      </c>
      <c r="Y164" s="139">
        <v>62</v>
      </c>
      <c r="Z164" s="139">
        <v>62</v>
      </c>
      <c r="AA164" s="139">
        <v>64</v>
      </c>
      <c r="AB164" s="54"/>
      <c r="AC164" s="139">
        <v>65</v>
      </c>
      <c r="AD164" s="139">
        <v>62</v>
      </c>
      <c r="AE164" s="139">
        <v>62</v>
      </c>
      <c r="AF164" s="139">
        <v>65</v>
      </c>
      <c r="AG164" s="54"/>
      <c r="AH164" s="139">
        <v>65</v>
      </c>
      <c r="AI164" s="139">
        <v>62</v>
      </c>
      <c r="AJ164" s="139">
        <v>62</v>
      </c>
      <c r="AK164" s="139">
        <v>65</v>
      </c>
      <c r="AL164" s="54"/>
      <c r="AM164" s="139">
        <v>65</v>
      </c>
      <c r="AN164" s="139">
        <v>62</v>
      </c>
      <c r="AO164" s="139">
        <v>62</v>
      </c>
      <c r="AP164" s="139">
        <v>65</v>
      </c>
      <c r="AQ164" s="54"/>
      <c r="AR164" s="139">
        <v>65</v>
      </c>
      <c r="AS164" s="139">
        <v>62</v>
      </c>
      <c r="AT164" s="139">
        <v>62</v>
      </c>
      <c r="AU164" s="139">
        <v>65</v>
      </c>
      <c r="AV164" s="54"/>
    </row>
    <row r="165" spans="1:48" outlineLevel="1" x14ac:dyDescent="0.25">
      <c r="A165" s="53"/>
      <c r="B165" s="319" t="s">
        <v>262</v>
      </c>
      <c r="C165" s="166"/>
      <c r="D165" s="266">
        <f>+D158*D164*D162/1000</f>
        <v>1501.7570704500001</v>
      </c>
      <c r="E165" s="266">
        <f>+E158*E164*E162/1000</f>
        <v>1446.8645747999999</v>
      </c>
      <c r="F165" s="266">
        <f>+F158*F164*F162/1000</f>
        <v>1360.50678608</v>
      </c>
      <c r="G165" s="266">
        <f>+G158*G164*G162/1000</f>
        <v>1515.53934675</v>
      </c>
      <c r="H165" s="56"/>
      <c r="I165" s="266">
        <f>+I158*I164*I162/1000</f>
        <v>1561.5074881639998</v>
      </c>
      <c r="J165" s="266">
        <f>+J158*J164*J162/1000</f>
        <v>1502.253025</v>
      </c>
      <c r="K165" s="266">
        <f>+K158*K164*K162/1000</f>
        <v>1406.3394937199998</v>
      </c>
      <c r="L165" s="266">
        <f>+L158*L164*L162/1000</f>
        <v>1600.1240527999998</v>
      </c>
      <c r="M165" s="56"/>
      <c r="N165" s="266">
        <f>+N158*N164*N162/1000</f>
        <v>1664.0875679999999</v>
      </c>
      <c r="O165" s="266">
        <f>+O158*O164*O162/1000</f>
        <v>1672.8426881600001</v>
      </c>
      <c r="P165" s="266">
        <f>+P158*P164*P162/1000</f>
        <v>1612.5039360000001</v>
      </c>
      <c r="Q165" s="266">
        <f>+Q158*Q164*Q162/1000</f>
        <v>1862.3914919999997</v>
      </c>
      <c r="R165" s="320"/>
      <c r="S165" s="266">
        <f>+S158*S164*S162/1000</f>
        <v>1959.0246357499998</v>
      </c>
      <c r="T165" s="266">
        <f>+T158*T164*T162/1000</f>
        <v>1917.7975314999999</v>
      </c>
      <c r="U165" s="266">
        <f>+U158*U164*U162/1000</f>
        <v>1749.6683582400003</v>
      </c>
      <c r="V165" s="266">
        <f>+V158*V164*V162/1000</f>
        <v>1954.8161704500001</v>
      </c>
      <c r="W165" s="832">
        <f>SUM(S165:V165)</f>
        <v>7581.3066959399994</v>
      </c>
      <c r="X165" s="266">
        <f>+X158*X164*X162/1000</f>
        <v>2076.8110958827006</v>
      </c>
      <c r="Y165" s="266">
        <f>+Y158*Y164*Y162/1000</f>
        <v>2037.6728092298715</v>
      </c>
      <c r="Z165" s="266">
        <f>+Z158*Z164*Z162/1000</f>
        <v>1889.5684789193185</v>
      </c>
      <c r="AA165" s="266">
        <f>+AA158*AA164*AA162/1000</f>
        <v>2065.6287507431844</v>
      </c>
      <c r="AB165" s="834">
        <f>SUM(X165:AA165)</f>
        <v>8069.6811347750745</v>
      </c>
      <c r="AC165" s="266">
        <f>+AC158*AC164*AC162/1000</f>
        <v>2254.222616706164</v>
      </c>
      <c r="AD165" s="266">
        <f>+AD158*AD164*AD162/1000</f>
        <v>2173.6628985185566</v>
      </c>
      <c r="AE165" s="266">
        <f>+AE158*AE164*AE162/1000</f>
        <v>2017.6754238291055</v>
      </c>
      <c r="AF165" s="266">
        <f>+AF158*AF164*AF162/1000</f>
        <v>2242.8973106317671</v>
      </c>
      <c r="AG165" s="832">
        <f>SUM(AC165:AF165)</f>
        <v>8688.4582496855946</v>
      </c>
      <c r="AH165" s="266">
        <f>+AH158*AH164*AH162/1000</f>
        <v>2396.085842873078</v>
      </c>
      <c r="AI165" s="266">
        <f>+AI158*AI164*AI162/1000</f>
        <v>2307.313073481082</v>
      </c>
      <c r="AJ165" s="266">
        <f>+AJ158*AJ164*AJ162/1000</f>
        <v>2139.0895004545323</v>
      </c>
      <c r="AK165" s="266">
        <f>+AK158*AK164*AK162/1000</f>
        <v>2373.6000564949336</v>
      </c>
      <c r="AL165" s="832">
        <f>SUM(AH165:AK165)</f>
        <v>9216.0884733036255</v>
      </c>
      <c r="AM165" s="266">
        <f>+AM158*AM164*AM162/1000</f>
        <v>2529.243240859902</v>
      </c>
      <c r="AN165" s="266">
        <f>+AN158*AN164*AN162/1000</f>
        <v>2431.3012550319281</v>
      </c>
      <c r="AO165" s="266">
        <f>+AO158*AO164*AO162/1000</f>
        <v>2249.9033215511049</v>
      </c>
      <c r="AP165" s="266">
        <f>+AP158*AP164*AP162/1000</f>
        <v>2491.6074474269653</v>
      </c>
      <c r="AQ165" s="832">
        <f>SUM(AM165:AP165)</f>
        <v>9702.0552648699013</v>
      </c>
      <c r="AR165" s="266">
        <f>+AR158*AR164*AR162/1000</f>
        <v>2649.5914538461357</v>
      </c>
      <c r="AS165" s="266">
        <f>+AS158*AS164*AS162/1000</f>
        <v>2542.144018232596</v>
      </c>
      <c r="AT165" s="266">
        <f>+AT158*AT164*AT162/1000</f>
        <v>2347.9047124804756</v>
      </c>
      <c r="AU165" s="266">
        <f>+AU158*AU164*AU162/1000</f>
        <v>2595.0130862445671</v>
      </c>
      <c r="AV165" s="832">
        <f>SUM(AR165:AU165)</f>
        <v>10134.653270803774</v>
      </c>
    </row>
    <row r="166" spans="1:48" outlineLevel="1" x14ac:dyDescent="0.25">
      <c r="A166" s="53"/>
      <c r="B166" s="134" t="s">
        <v>259</v>
      </c>
      <c r="C166" s="133"/>
      <c r="D166" s="316">
        <f>ROUND((130-D171),0)</f>
        <v>0</v>
      </c>
      <c r="E166" s="316">
        <f>ROUND((98-E171),0)</f>
        <v>0</v>
      </c>
      <c r="F166" s="316">
        <f>ROUND((56-F171),0)</f>
        <v>0</v>
      </c>
      <c r="G166" s="316">
        <f>ROUND((137-G171),0)</f>
        <v>0</v>
      </c>
      <c r="H166" s="135"/>
      <c r="I166" s="316">
        <f>ROUND((128-I171),0)</f>
        <v>0</v>
      </c>
      <c r="J166" s="316">
        <f>ROUND((81-J171),0)</f>
        <v>0</v>
      </c>
      <c r="K166" s="316">
        <f>ROUND((37-K171),0)</f>
        <v>0</v>
      </c>
      <c r="L166" s="316">
        <f>ROUND((125-L171),0)</f>
        <v>0</v>
      </c>
      <c r="M166" s="135"/>
      <c r="N166" s="316">
        <f>ROUND((165-N171),0)</f>
        <v>0</v>
      </c>
      <c r="O166" s="316">
        <f>ROUND((108-O171),0)</f>
        <v>0</v>
      </c>
      <c r="P166" s="316">
        <f>ROUND((49-P171),0)</f>
        <v>0</v>
      </c>
      <c r="Q166" s="316">
        <f>ROUND((168-Q171),0)</f>
        <v>0</v>
      </c>
      <c r="R166" s="189"/>
      <c r="S166" s="168"/>
      <c r="T166" s="168"/>
      <c r="U166" s="168"/>
      <c r="V166" s="168"/>
      <c r="W166" s="135"/>
      <c r="X166" s="168"/>
      <c r="Y166" s="168"/>
      <c r="Z166" s="168"/>
      <c r="AA166" s="168"/>
      <c r="AB166" s="135"/>
      <c r="AC166" s="168"/>
      <c r="AD166" s="168"/>
      <c r="AE166" s="168"/>
      <c r="AF166" s="168"/>
      <c r="AG166" s="135"/>
      <c r="AH166" s="168"/>
      <c r="AI166" s="168"/>
      <c r="AJ166" s="168"/>
      <c r="AK166" s="168"/>
      <c r="AL166" s="135"/>
      <c r="AM166" s="168"/>
      <c r="AN166" s="168"/>
      <c r="AO166" s="168"/>
      <c r="AP166" s="168"/>
      <c r="AQ166" s="135"/>
      <c r="AR166" s="168"/>
      <c r="AS166" s="168"/>
      <c r="AT166" s="168"/>
      <c r="AU166" s="168"/>
      <c r="AV166" s="135"/>
    </row>
    <row r="167" spans="1:48" outlineLevel="1" x14ac:dyDescent="0.25">
      <c r="A167" s="53"/>
      <c r="B167" s="126" t="s">
        <v>154</v>
      </c>
      <c r="C167" s="133"/>
      <c r="D167" s="167">
        <v>102</v>
      </c>
      <c r="E167" s="167">
        <v>95</v>
      </c>
      <c r="F167" s="167">
        <v>80</v>
      </c>
      <c r="G167" s="167">
        <v>86</v>
      </c>
      <c r="H167" s="135"/>
      <c r="I167" s="167">
        <v>91</v>
      </c>
      <c r="J167" s="167">
        <v>92</v>
      </c>
      <c r="K167" s="167">
        <v>99</v>
      </c>
      <c r="L167" s="167">
        <v>102</v>
      </c>
      <c r="M167" s="135"/>
      <c r="N167" s="167">
        <v>97</v>
      </c>
      <c r="O167" s="167">
        <v>112</v>
      </c>
      <c r="P167" s="167">
        <v>127</v>
      </c>
      <c r="Q167" s="167">
        <v>135</v>
      </c>
      <c r="R167" s="135"/>
      <c r="S167" s="167">
        <v>137</v>
      </c>
      <c r="T167" s="167">
        <v>150</v>
      </c>
      <c r="U167" s="167">
        <v>131</v>
      </c>
      <c r="V167" s="167">
        <v>145</v>
      </c>
      <c r="W167" s="135"/>
      <c r="X167" s="139">
        <f>+V167/V158*X158</f>
        <v>156.01933606099507</v>
      </c>
      <c r="Y167" s="139">
        <f>+X167/X158*Y158</f>
        <v>157.30565890665454</v>
      </c>
      <c r="Z167" s="139">
        <f t="shared" ref="Z167:AA167" si="128">+Y167/Y158*Z158</f>
        <v>142.2724231410663</v>
      </c>
      <c r="AA167" s="139">
        <f t="shared" si="128"/>
        <v>150.79505049665903</v>
      </c>
      <c r="AB167" s="135"/>
      <c r="AC167" s="139">
        <f>(AA167/AA158*AC158)*(1+0.5%)</f>
        <v>162.65024219556975</v>
      </c>
      <c r="AD167" s="139">
        <f>(AC167/AC158*AD158)*(1+0.5%)</f>
        <v>164.75766001378508</v>
      </c>
      <c r="AE167" s="139">
        <f t="shared" ref="AE167:AF167" si="129">(AD167/AD158*AE158)*(1+0.5%)</f>
        <v>149.80886283042622</v>
      </c>
      <c r="AF167" s="139">
        <f t="shared" si="129"/>
        <v>159.66358927169395</v>
      </c>
      <c r="AG167" s="135"/>
      <c r="AH167" s="139">
        <f>(AF167/AF158*AH158)*(1+0.5%)</f>
        <v>171.7153965811699</v>
      </c>
      <c r="AI167" s="139">
        <f>(AH167/AH158*AI158)*(1+0.5%)</f>
        <v>173.83802353591832</v>
      </c>
      <c r="AJ167" s="139">
        <f t="shared" ref="AJ167:AK167" si="130">(AI167/AI158*AJ158)*(1+0.5%)</f>
        <v>157.96200816496591</v>
      </c>
      <c r="AK167" s="139">
        <f t="shared" si="130"/>
        <v>168.20086142243284</v>
      </c>
      <c r="AL167" s="135"/>
      <c r="AM167" s="139">
        <f>(AK167/AK158*AM158)*(1+0.5%)</f>
        <v>180.66777924711357</v>
      </c>
      <c r="AN167" s="139">
        <f>(AM167/AM158*AN158)*(1+0.5%)</f>
        <v>182.74465717367238</v>
      </c>
      <c r="AO167" s="139">
        <f t="shared" ref="AO167:AP167" si="131">(AN167/AN158*AO158)*(1+0.5%)</f>
        <v>165.90207787966651</v>
      </c>
      <c r="AP167" s="139">
        <f t="shared" si="131"/>
        <v>176.48075111254536</v>
      </c>
      <c r="AQ167" s="135"/>
      <c r="AR167" s="139">
        <f>(AP167/AP158*AR158)*(1+0.5%)</f>
        <v>189.36967161727361</v>
      </c>
      <c r="AS167" s="139">
        <f>(AR167/AR158*AS158)*(1+0.5%)</f>
        <v>191.36521578242713</v>
      </c>
      <c r="AT167" s="139">
        <f t="shared" ref="AT167" si="132">(AS167/AS158*AT158)*(1+0.5%)</f>
        <v>173.55963036717398</v>
      </c>
      <c r="AU167" s="139">
        <f t="shared" ref="AU167" si="133">(AT167/AT158*AU158)*(1+0.5%)</f>
        <v>184.44531052884702</v>
      </c>
      <c r="AV167" s="135"/>
    </row>
    <row r="168" spans="1:48" outlineLevel="1" x14ac:dyDescent="0.25">
      <c r="A168" s="53"/>
      <c r="B168" s="126" t="s">
        <v>153</v>
      </c>
      <c r="C168" s="133"/>
      <c r="D168" s="167">
        <v>58</v>
      </c>
      <c r="E168" s="167">
        <v>60</v>
      </c>
      <c r="F168" s="167">
        <v>64</v>
      </c>
      <c r="G168" s="167">
        <v>62</v>
      </c>
      <c r="H168" s="135"/>
      <c r="I168" s="167">
        <v>63</v>
      </c>
      <c r="J168" s="167">
        <v>65</v>
      </c>
      <c r="K168" s="167">
        <v>68</v>
      </c>
      <c r="L168" s="167">
        <v>69</v>
      </c>
      <c r="M168" s="135"/>
      <c r="N168" s="167">
        <v>68</v>
      </c>
      <c r="O168" s="167">
        <v>72</v>
      </c>
      <c r="P168" s="167">
        <v>76</v>
      </c>
      <c r="Q168" s="167">
        <v>80</v>
      </c>
      <c r="R168" s="135"/>
      <c r="S168" s="167">
        <v>78</v>
      </c>
      <c r="T168" s="167">
        <v>76</v>
      </c>
      <c r="U168" s="167">
        <v>88</v>
      </c>
      <c r="V168" s="167">
        <f>U168/(U69+U151+U168+U182)*V18</f>
        <v>89.55111633372502</v>
      </c>
      <c r="W168" s="135"/>
      <c r="X168" s="167">
        <f>V168/(V69+V151+V168+V182)*X18</f>
        <v>91.598093374401358</v>
      </c>
      <c r="Y168" s="167">
        <f>X168/(X69+X151+X168+X182)*Y18</f>
        <v>93.733988772432781</v>
      </c>
      <c r="Z168" s="167">
        <f>Y168/(Y69+Y151+Y168+Y182)*Z18</f>
        <v>94.82695448922513</v>
      </c>
      <c r="AA168" s="167">
        <f>Z168/(Z69+Z151+Z168+Z182)*AA18</f>
        <v>97.202005911238118</v>
      </c>
      <c r="AB168" s="135"/>
      <c r="AC168" s="167">
        <f>AA168/(AA69+AA151+AA168+AA182)*AC18</f>
        <v>100.68876443898981</v>
      </c>
      <c r="AD168" s="167">
        <f>AC168/(AC69+AC151+AC168+AC182)*AD18</f>
        <v>103.02346917172549</v>
      </c>
      <c r="AE168" s="167">
        <f>AD168/(AD69+AD151+AD168+AD182)*AE18</f>
        <v>104.20796596605931</v>
      </c>
      <c r="AF168" s="167">
        <f>AE168/(AE69+AE151+AE168+AE182)*AF18</f>
        <v>106.68125748373413</v>
      </c>
      <c r="AG168" s="135"/>
      <c r="AH168" s="167">
        <f>AF168/(AF69+AF151+AF168+AF182)*AH18</f>
        <v>110.33881804751229</v>
      </c>
      <c r="AI168" s="167">
        <f>AH168/(AH69+AH151+AH168+AH182)*AI18</f>
        <v>112.80722737040651</v>
      </c>
      <c r="AJ168" s="167">
        <f>AI168/(AI69+AI151+AI168+AI182)*AJ18</f>
        <v>114.04878659250683</v>
      </c>
      <c r="AK168" s="167">
        <f>AJ168/(AJ69+AJ151+AJ168+AJ182)*AK18</f>
        <v>116.63284245329591</v>
      </c>
      <c r="AL168" s="135"/>
      <c r="AM168" s="167">
        <f>AK168/(AK69+AK151+AK168+AK182)*AM18</f>
        <v>120.44806200155188</v>
      </c>
      <c r="AN168" s="167">
        <f>AM168/(AM69+AM151+AM168+AM182)*AN18</f>
        <v>123.02404471313019</v>
      </c>
      <c r="AO168" s="167">
        <f>AN168/(AN69+AN151+AN168+AN182)*AO18</f>
        <v>124.31443743955005</v>
      </c>
      <c r="AP168" s="167">
        <f>AO168/(AO69+AO151+AO168+AO182)*AP18</f>
        <v>127.00025775759765</v>
      </c>
      <c r="AQ168" s="135"/>
      <c r="AR168" s="167">
        <f>AP168/(AP69+AP151+AP168+AP182)*AR18</f>
        <v>130.95886961897457</v>
      </c>
      <c r="AS168" s="167">
        <f>AR168/(AR69+AR151+AR168+AR182)*AS18</f>
        <v>133.62631598918512</v>
      </c>
      <c r="AT168" s="167">
        <f>AS168/(AS69+AS151+AS168+AS182)*AT18</f>
        <v>134.95949436290061</v>
      </c>
      <c r="AU168" s="167">
        <f>AT168/(AT69+AT151+AT168+AT182)*AU18</f>
        <v>137.73389780804948</v>
      </c>
      <c r="AV168" s="135"/>
    </row>
    <row r="169" spans="1:48" outlineLevel="1" x14ac:dyDescent="0.25">
      <c r="A169" s="53"/>
      <c r="B169" s="126" t="s">
        <v>248</v>
      </c>
      <c r="C169" s="133"/>
      <c r="D169" s="167">
        <v>1212</v>
      </c>
      <c r="E169" s="167">
        <v>1194</v>
      </c>
      <c r="F169" s="167">
        <v>1161</v>
      </c>
      <c r="G169" s="167">
        <v>1231</v>
      </c>
      <c r="H169" s="135"/>
      <c r="I169" s="167">
        <f>1275+5</f>
        <v>1280</v>
      </c>
      <c r="J169" s="167">
        <f>1259+5</f>
        <v>1264</v>
      </c>
      <c r="K169" s="167">
        <f>1198+4</f>
        <v>1202</v>
      </c>
      <c r="L169" s="167">
        <f>1299+5</f>
        <v>1304</v>
      </c>
      <c r="M169" s="135"/>
      <c r="N169" s="167">
        <f>1328+6</f>
        <v>1334</v>
      </c>
      <c r="O169" s="167">
        <f>1374+7</f>
        <v>1381</v>
      </c>
      <c r="P169" s="167">
        <f>1354+7</f>
        <v>1361</v>
      </c>
      <c r="Q169" s="167">
        <f>1472+7</f>
        <v>1479</v>
      </c>
      <c r="R169" s="135"/>
      <c r="S169" s="167">
        <v>1568</v>
      </c>
      <c r="T169" s="167">
        <f>919+250+42+63+137+133</f>
        <v>1544</v>
      </c>
      <c r="U169" s="167">
        <v>1434</v>
      </c>
      <c r="V169" s="167">
        <v>1526</v>
      </c>
      <c r="W169" s="135"/>
      <c r="X169" s="167">
        <f>+X170*X165</f>
        <v>1657.0840554282663</v>
      </c>
      <c r="Y169" s="167">
        <f>+Y170*Y165</f>
        <v>1630.3220473892832</v>
      </c>
      <c r="Z169" s="167">
        <f>+Z170*Z165</f>
        <v>1539.2120427826972</v>
      </c>
      <c r="AA169" s="167">
        <f>+AA170*AA165</f>
        <v>1591.848008949494</v>
      </c>
      <c r="AB169" s="135"/>
      <c r="AC169" s="167">
        <f>+AC170*AC165</f>
        <v>1776.0981812032137</v>
      </c>
      <c r="AD169" s="167">
        <f>+AD170*AD165</f>
        <v>1717.3897562691025</v>
      </c>
      <c r="AE169" s="167">
        <f>+AE170*AE165</f>
        <v>1623.3891421194915</v>
      </c>
      <c r="AF169" s="167">
        <f>+AF170*AF165</f>
        <v>1706.0285810029532</v>
      </c>
      <c r="AG169" s="135"/>
      <c r="AH169" s="167">
        <f>+AH170*AH165</f>
        <v>1875.8915475791173</v>
      </c>
      <c r="AI169" s="167">
        <f>+AI170*AI165</f>
        <v>1811.4488844936741</v>
      </c>
      <c r="AJ169" s="167">
        <f>+AJ170*AJ165</f>
        <v>1710.3815047408734</v>
      </c>
      <c r="AK169" s="167">
        <f>+AK170*AK165</f>
        <v>1793.5778028113637</v>
      </c>
      <c r="AL169" s="135"/>
      <c r="AM169" s="167">
        <f>+AM170*AM165</f>
        <v>1973.8171408012897</v>
      </c>
      <c r="AN169" s="167">
        <f>+AN170*AN165</f>
        <v>1902.7125377241903</v>
      </c>
      <c r="AO169" s="167">
        <f>+AO170*AO165</f>
        <v>1793.3616926222619</v>
      </c>
      <c r="AP169" s="167">
        <f>+AP170*AP165</f>
        <v>1876.5194245305474</v>
      </c>
      <c r="AQ169" s="135"/>
      <c r="AR169" s="167">
        <f>+AR170*AR165</f>
        <v>2061.1127037194556</v>
      </c>
      <c r="AS169" s="167">
        <f>+AS170*AS165</f>
        <v>1983.1016380047049</v>
      </c>
      <c r="AT169" s="167">
        <f>+AT170*AT165</f>
        <v>1865.6072607901126</v>
      </c>
      <c r="AU169" s="167">
        <f>+AU170*AU165</f>
        <v>1947.910407568934</v>
      </c>
      <c r="AV169" s="135"/>
    </row>
    <row r="170" spans="1:48" outlineLevel="1" x14ac:dyDescent="0.25">
      <c r="A170" s="53"/>
      <c r="B170" s="126" t="s">
        <v>250</v>
      </c>
      <c r="C170" s="133"/>
      <c r="D170" s="317">
        <f>+D169/D165</f>
        <v>0.80705463210293082</v>
      </c>
      <c r="E170" s="317">
        <f>+E169/E165</f>
        <v>0.82523272792482782</v>
      </c>
      <c r="F170" s="317">
        <f>+F169/F165</f>
        <v>0.85335847779573759</v>
      </c>
      <c r="G170" s="317">
        <f>+G169/G165</f>
        <v>0.81225208876286803</v>
      </c>
      <c r="H170" s="135"/>
      <c r="I170" s="317">
        <f>+I169/I165</f>
        <v>0.81972069279347959</v>
      </c>
      <c r="J170" s="317">
        <f>+J169/J165</f>
        <v>0.84140286553924559</v>
      </c>
      <c r="K170" s="317">
        <f>+K169/K165</f>
        <v>0.85470116239181471</v>
      </c>
      <c r="L170" s="317">
        <f>+L169/L165</f>
        <v>0.81493681550388364</v>
      </c>
      <c r="M170" s="135"/>
      <c r="N170" s="145">
        <f>+N169/N165</f>
        <v>0.8016405059760654</v>
      </c>
      <c r="O170" s="145">
        <f>+O169/O165</f>
        <v>0.82554086512402136</v>
      </c>
      <c r="P170" s="145">
        <f>+P169/P165</f>
        <v>0.84402894753616275</v>
      </c>
      <c r="Q170" s="145">
        <f>+Q169/Q165</f>
        <v>0.79414022580811927</v>
      </c>
      <c r="R170" s="178"/>
      <c r="S170" s="145">
        <f>+S169/S165</f>
        <v>0.80039830606811202</v>
      </c>
      <c r="T170" s="145">
        <f>+T169/T165</f>
        <v>0.8050902009412666</v>
      </c>
      <c r="U170" s="145">
        <f>+U169/U165</f>
        <v>0.81958389042507884</v>
      </c>
      <c r="V170" s="145">
        <f>+V169/V165</f>
        <v>0.78063606341496228</v>
      </c>
      <c r="W170" s="135"/>
      <c r="X170" s="176">
        <f>+S170-0.25%</f>
        <v>0.79789830606811207</v>
      </c>
      <c r="Y170" s="176">
        <f>+T170-0.5%</f>
        <v>0.80009020094126659</v>
      </c>
      <c r="Z170" s="176">
        <f>+U170-0.5%</f>
        <v>0.81458389042507884</v>
      </c>
      <c r="AA170" s="176">
        <f>+V170-1%</f>
        <v>0.77063606341496227</v>
      </c>
      <c r="AB170" s="135"/>
      <c r="AC170" s="176">
        <f>+X170-1%</f>
        <v>0.78789830606811206</v>
      </c>
      <c r="AD170" s="176">
        <f>+Y170-1%</f>
        <v>0.79009020094126658</v>
      </c>
      <c r="AE170" s="176">
        <f>+Z170-1%</f>
        <v>0.80458389042507883</v>
      </c>
      <c r="AF170" s="176">
        <f>+AA170-1%</f>
        <v>0.76063606341496226</v>
      </c>
      <c r="AG170" s="135"/>
      <c r="AH170" s="176">
        <f>+AC170-0.5%</f>
        <v>0.78289830606811206</v>
      </c>
      <c r="AI170" s="176">
        <f>+AD170-0.5%</f>
        <v>0.78509020094126658</v>
      </c>
      <c r="AJ170" s="176">
        <f>+AE170-0.5%</f>
        <v>0.79958389042507882</v>
      </c>
      <c r="AK170" s="176">
        <f>+AF170-0.5%</f>
        <v>0.75563606341496226</v>
      </c>
      <c r="AL170" s="135"/>
      <c r="AM170" s="176">
        <f>+AH170-0.25%</f>
        <v>0.78039830606811211</v>
      </c>
      <c r="AN170" s="176">
        <f>+AI170-0.25%</f>
        <v>0.78259020094126663</v>
      </c>
      <c r="AO170" s="176">
        <f>+AJ170-0.25%</f>
        <v>0.79708389042507888</v>
      </c>
      <c r="AP170" s="176">
        <f>+AK170-0.25%</f>
        <v>0.75313606341496231</v>
      </c>
      <c r="AQ170" s="135"/>
      <c r="AR170" s="176">
        <f>+AM170-0.25%</f>
        <v>0.77789830606811217</v>
      </c>
      <c r="AS170" s="176">
        <f>+AN170-0.25%</f>
        <v>0.78009020094126669</v>
      </c>
      <c r="AT170" s="176">
        <f>+AO170-0.25%</f>
        <v>0.79458389042507893</v>
      </c>
      <c r="AU170" s="176">
        <f>+AP170-0.25%</f>
        <v>0.75063606341496236</v>
      </c>
      <c r="AV170" s="135"/>
    </row>
    <row r="171" spans="1:48" outlineLevel="1" x14ac:dyDescent="0.25">
      <c r="A171" s="53"/>
      <c r="B171" s="171" t="s">
        <v>260</v>
      </c>
      <c r="C171" s="133"/>
      <c r="D171" s="168">
        <f t="shared" ref="D171:Q171" si="134">+D165-D168-D169-D167</f>
        <v>129.75707045000013</v>
      </c>
      <c r="E171" s="168">
        <f t="shared" si="134"/>
        <v>97.8645747999999</v>
      </c>
      <c r="F171" s="168">
        <f t="shared" si="134"/>
        <v>55.506786079999983</v>
      </c>
      <c r="G171" s="168">
        <f t="shared" si="134"/>
        <v>136.53934675000005</v>
      </c>
      <c r="H171" s="135">
        <f t="shared" si="134"/>
        <v>0</v>
      </c>
      <c r="I171" s="168">
        <f t="shared" si="134"/>
        <v>127.50748816399982</v>
      </c>
      <c r="J171" s="168">
        <f t="shared" si="134"/>
        <v>81.25302499999998</v>
      </c>
      <c r="K171" s="168">
        <f t="shared" si="134"/>
        <v>37.339493719999837</v>
      </c>
      <c r="L171" s="168">
        <f t="shared" si="134"/>
        <v>125.12405279999984</v>
      </c>
      <c r="M171" s="135">
        <f t="shared" si="134"/>
        <v>0</v>
      </c>
      <c r="N171" s="168">
        <f t="shared" si="134"/>
        <v>165.08756799999992</v>
      </c>
      <c r="O171" s="168">
        <f t="shared" si="134"/>
        <v>107.84268816000008</v>
      </c>
      <c r="P171" s="168">
        <f t="shared" si="134"/>
        <v>48.503936000000067</v>
      </c>
      <c r="Q171" s="168">
        <f t="shared" si="134"/>
        <v>168.39149199999974</v>
      </c>
      <c r="R171" s="189"/>
      <c r="S171" s="168">
        <f>+S165-S168-S169-S167</f>
        <v>176.02463574999979</v>
      </c>
      <c r="T171" s="168">
        <f>+T165-T168-T169-T167</f>
        <v>147.79753149999988</v>
      </c>
      <c r="U171" s="168">
        <f>+U165-U168-U169-U167</f>
        <v>96.668358240000316</v>
      </c>
      <c r="V171" s="168">
        <f>+V165-V168-V169-V167</f>
        <v>194.265054116275</v>
      </c>
      <c r="W171" s="189">
        <f>SUM(S171:V171)</f>
        <v>614.75557960627498</v>
      </c>
      <c r="X171" s="168">
        <f>+X165-X168-X169-X167</f>
        <v>172.10961101903789</v>
      </c>
      <c r="Y171" s="168">
        <f>+Y165-Y168-Y169-Y167</f>
        <v>156.31111416150114</v>
      </c>
      <c r="Z171" s="168">
        <f>+Z165-Z168-Z169-Z167</f>
        <v>113.25705850633003</v>
      </c>
      <c r="AA171" s="168">
        <f>+AA165-AA168-AA169-AA167</f>
        <v>225.78368538579326</v>
      </c>
      <c r="AB171" s="835">
        <f>SUM(X171:AA171)</f>
        <v>667.46146907266234</v>
      </c>
      <c r="AC171" s="168">
        <f>+AC165-AC168-AC169-AC167</f>
        <v>214.78542886839065</v>
      </c>
      <c r="AD171" s="168">
        <f>+AD165-AD168-AD169-AD167</f>
        <v>188.49201306394355</v>
      </c>
      <c r="AE171" s="168">
        <f>+AE165-AE168-AE169-AE167</f>
        <v>140.26945291312842</v>
      </c>
      <c r="AF171" s="168">
        <f>+AF165-AF168-AF169-AF167</f>
        <v>270.52388287338601</v>
      </c>
      <c r="AG171" s="189">
        <f>SUM(AC171:AF171)</f>
        <v>814.07077771884872</v>
      </c>
      <c r="AH171" s="168">
        <f>+AH165-AH168-AH169-AH167</f>
        <v>238.14008066527867</v>
      </c>
      <c r="AI171" s="168">
        <f>+AI165-AI168-AI169-AI167</f>
        <v>209.21893808108311</v>
      </c>
      <c r="AJ171" s="168">
        <f>+AJ165-AJ168-AJ169-AJ167</f>
        <v>156.69720095618621</v>
      </c>
      <c r="AK171" s="168">
        <f>+AK165-AK168-AK169-AK167</f>
        <v>295.18854980784135</v>
      </c>
      <c r="AL171" s="189">
        <f>SUM(AH171:AK171)</f>
        <v>899.24476951038935</v>
      </c>
      <c r="AM171" s="168">
        <f>+AM165-AM168-AM169-AM167</f>
        <v>254.31025880994673</v>
      </c>
      <c r="AN171" s="168">
        <f>+AN165-AN168-AN169-AN167</f>
        <v>222.82001542093545</v>
      </c>
      <c r="AO171" s="168">
        <f>+AO165-AO168-AO169-AO167</f>
        <v>166.32511360962636</v>
      </c>
      <c r="AP171" s="168">
        <f>+AP165-AP168-AP169-AP167</f>
        <v>311.60701402627467</v>
      </c>
      <c r="AQ171" s="189">
        <f>SUM(AM171:AP171)</f>
        <v>955.06240186678315</v>
      </c>
      <c r="AR171" s="168">
        <f>+AR165-AR168-AR169-AR167</f>
        <v>268.15020889043205</v>
      </c>
      <c r="AS171" s="168">
        <f>+AS165-AS168-AS169-AS167</f>
        <v>234.05084845627886</v>
      </c>
      <c r="AT171" s="168">
        <f>+AT165-AT168-AT169-AT167</f>
        <v>173.77832696028818</v>
      </c>
      <c r="AU171" s="168">
        <f>+AU165-AU168-AU169-AU167</f>
        <v>324.92347033873682</v>
      </c>
      <c r="AV171" s="189">
        <f>SUM(AR171:AU171)</f>
        <v>1000.9028546457359</v>
      </c>
    </row>
    <row r="172" spans="1:48" outlineLevel="1" x14ac:dyDescent="0.25">
      <c r="A172" s="53"/>
      <c r="B172" s="171" t="s">
        <v>261</v>
      </c>
      <c r="C172" s="130"/>
      <c r="D172" s="191">
        <f>+D171/(D165)</f>
        <v>8.6403502272919902E-2</v>
      </c>
      <c r="E172" s="191">
        <f>+E171/(E165)</f>
        <v>6.7639070376388E-2</v>
      </c>
      <c r="F172" s="191">
        <f>+F171/(F165)</f>
        <v>4.0798610229597264E-2</v>
      </c>
      <c r="G172" s="191">
        <f>+G171/(G165)</f>
        <v>9.0092907876527253E-2</v>
      </c>
      <c r="H172" s="136"/>
      <c r="I172" s="191">
        <f>+I171/(I165)</f>
        <v>8.1656661354804941E-2</v>
      </c>
      <c r="J172" s="191">
        <f>+J171/(J165)</f>
        <v>5.4087443092351223E-2</v>
      </c>
      <c r="K172" s="191">
        <f>+K171/(K165)</f>
        <v>2.655083917271691E-2</v>
      </c>
      <c r="L172" s="191">
        <f>+L171/(L165)</f>
        <v>7.8196470193076434E-2</v>
      </c>
      <c r="M172" s="136"/>
      <c r="N172" s="191">
        <f>+N171/(N165)</f>
        <v>9.9206058127344857E-2</v>
      </c>
      <c r="O172" s="191">
        <f>+O171/(O165)</f>
        <v>6.4466724171547085E-2</v>
      </c>
      <c r="P172" s="191">
        <f>+P171/(P165)</f>
        <v>3.0079886887172266E-2</v>
      </c>
      <c r="Q172" s="191">
        <f>+Q171/(Q165)</f>
        <v>9.0416806951349502E-2</v>
      </c>
      <c r="R172" s="173"/>
      <c r="S172" s="191">
        <f>+S171/(S165)</f>
        <v>8.9853201709538436E-2</v>
      </c>
      <c r="T172" s="191">
        <f>+T171/(T165)</f>
        <v>7.7066285190387357E-2</v>
      </c>
      <c r="U172" s="191">
        <f>+U171/(U165)</f>
        <v>5.5249532166907034E-2</v>
      </c>
      <c r="V172" s="191">
        <f>+V171/(V165)</f>
        <v>9.9377658652964301E-2</v>
      </c>
      <c r="W172" s="833">
        <f>+W171/W165</f>
        <v>8.1088340606968679E-2</v>
      </c>
      <c r="X172" s="191">
        <f>+X171/(X165)</f>
        <v>8.2872058686631139E-2</v>
      </c>
      <c r="Y172" s="191">
        <f>+Y171/(Y165)</f>
        <v>7.6710605085110878E-2</v>
      </c>
      <c r="Z172" s="191">
        <f>+Z171/(Z165)</f>
        <v>5.9938054518724811E-2</v>
      </c>
      <c r="AA172" s="191">
        <f>+AA171/(AA165)</f>
        <v>0.10930506525171062</v>
      </c>
      <c r="AB172" s="833">
        <f>+AB171/AB165</f>
        <v>8.2712248219615245E-2</v>
      </c>
      <c r="AC172" s="191">
        <f>+AC171/(AC165)</f>
        <v>9.5281374286906889E-2</v>
      </c>
      <c r="AD172" s="191">
        <f>+AD171/(AD165)</f>
        <v>8.6716304166763319E-2</v>
      </c>
      <c r="AE172" s="191">
        <f>+AE171/(AE165)</f>
        <v>6.952032584454429E-2</v>
      </c>
      <c r="AF172" s="191">
        <f>+AF171/(AF165)</f>
        <v>0.12061358386362607</v>
      </c>
      <c r="AG172" s="833">
        <f>+AG171/AG165</f>
        <v>9.3695653972706502E-2</v>
      </c>
      <c r="AH172" s="191">
        <f>+AH171/(AH165)</f>
        <v>9.9387123952008216E-2</v>
      </c>
      <c r="AI172" s="191">
        <f>+AI171/(AI165)</f>
        <v>9.067644113220881E-2</v>
      </c>
      <c r="AJ172" s="191">
        <f>+AJ171/(AJ165)</f>
        <v>7.3254158333669453E-2</v>
      </c>
      <c r="AK172" s="191">
        <f>+AK171/(AK165)</f>
        <v>0.12436322159670939</v>
      </c>
      <c r="AL172" s="833">
        <f>+AL171/AL165</f>
        <v>9.7573365546049659E-2</v>
      </c>
      <c r="AM172" s="191">
        <f>+AM171/(AM165)</f>
        <v>0.10054796419006554</v>
      </c>
      <c r="AN172" s="191">
        <f>+AN171/(AN165)</f>
        <v>9.1646403324054285E-2</v>
      </c>
      <c r="AO172" s="191">
        <f>+AO171/(AO165)</f>
        <v>7.3925449158837739E-2</v>
      </c>
      <c r="AP172" s="191">
        <f>+AP171/(AP165)</f>
        <v>0.12506264353482535</v>
      </c>
      <c r="AQ172" s="833">
        <f>+AQ171/AQ165</f>
        <v>9.8439183842310346E-2</v>
      </c>
      <c r="AR172" s="191">
        <f>+AR171/(AR165)</f>
        <v>0.10120436058215176</v>
      </c>
      <c r="AS172" s="191">
        <f>+AS171/(AS165)</f>
        <v>9.2068288333640794E-2</v>
      </c>
      <c r="AT172" s="191">
        <f>+AT171/(AT165)</f>
        <v>7.4014216180305598E-2</v>
      </c>
      <c r="AU172" s="191">
        <f>+AU171/(AU165)</f>
        <v>0.12521072516399417</v>
      </c>
      <c r="AV172" s="833">
        <f>+AV171/AV165</f>
        <v>9.8760443786386667E-2</v>
      </c>
    </row>
    <row r="173" spans="1:48" ht="15.75" x14ac:dyDescent="0.25">
      <c r="A173" s="53"/>
      <c r="B173" s="691" t="s">
        <v>244</v>
      </c>
      <c r="C173" s="692"/>
      <c r="D173" s="89" t="s">
        <v>69</v>
      </c>
      <c r="E173" s="89" t="s">
        <v>72</v>
      </c>
      <c r="F173" s="89" t="s">
        <v>73</v>
      </c>
      <c r="G173" s="89" t="s">
        <v>76</v>
      </c>
      <c r="H173" s="396"/>
      <c r="I173" s="89" t="s">
        <v>78</v>
      </c>
      <c r="J173" s="89" t="s">
        <v>89</v>
      </c>
      <c r="K173" s="89" t="s">
        <v>105</v>
      </c>
      <c r="L173" s="89" t="s">
        <v>109</v>
      </c>
      <c r="M173" s="396"/>
      <c r="N173" s="89" t="s">
        <v>111</v>
      </c>
      <c r="O173" s="89" t="s">
        <v>112</v>
      </c>
      <c r="P173" s="89" t="s">
        <v>113</v>
      </c>
      <c r="Q173" s="89" t="s">
        <v>114</v>
      </c>
      <c r="R173" s="396"/>
      <c r="S173" s="89" t="s">
        <v>492</v>
      </c>
      <c r="T173" s="89" t="s">
        <v>734</v>
      </c>
      <c r="U173" s="89" t="s">
        <v>753</v>
      </c>
      <c r="V173" s="89" t="s">
        <v>771</v>
      </c>
      <c r="W173" s="396"/>
      <c r="X173" s="91" t="s">
        <v>371</v>
      </c>
      <c r="Y173" s="91" t="s">
        <v>372</v>
      </c>
      <c r="Z173" s="91" t="s">
        <v>373</v>
      </c>
      <c r="AA173" s="91" t="s">
        <v>374</v>
      </c>
      <c r="AB173" s="400"/>
      <c r="AC173" s="91" t="s">
        <v>376</v>
      </c>
      <c r="AD173" s="91" t="s">
        <v>377</v>
      </c>
      <c r="AE173" s="91" t="s">
        <v>378</v>
      </c>
      <c r="AF173" s="91" t="s">
        <v>379</v>
      </c>
      <c r="AG173" s="400"/>
      <c r="AH173" s="91" t="s">
        <v>381</v>
      </c>
      <c r="AI173" s="91" t="s">
        <v>382</v>
      </c>
      <c r="AJ173" s="91" t="s">
        <v>383</v>
      </c>
      <c r="AK173" s="91" t="s">
        <v>384</v>
      </c>
      <c r="AL173" s="400"/>
      <c r="AM173" s="91" t="s">
        <v>386</v>
      </c>
      <c r="AN173" s="91" t="s">
        <v>387</v>
      </c>
      <c r="AO173" s="91" t="s">
        <v>388</v>
      </c>
      <c r="AP173" s="91" t="s">
        <v>389</v>
      </c>
      <c r="AQ173" s="400"/>
      <c r="AR173" s="91" t="s">
        <v>781</v>
      </c>
      <c r="AS173" s="91" t="s">
        <v>782</v>
      </c>
      <c r="AT173" s="91" t="s">
        <v>783</v>
      </c>
      <c r="AU173" s="91" t="s">
        <v>784</v>
      </c>
      <c r="AV173" s="400"/>
    </row>
    <row r="174" spans="1:48" ht="15.75" outlineLevel="1" x14ac:dyDescent="0.25">
      <c r="A174" s="53"/>
      <c r="B174" s="297" t="s">
        <v>245</v>
      </c>
      <c r="C174" s="174"/>
      <c r="D174" s="138">
        <v>390</v>
      </c>
      <c r="E174" s="138">
        <v>403</v>
      </c>
      <c r="F174" s="138">
        <v>384</v>
      </c>
      <c r="G174" s="138">
        <v>416</v>
      </c>
      <c r="H174" s="169"/>
      <c r="I174" s="138">
        <v>395</v>
      </c>
      <c r="J174" s="138">
        <v>414</v>
      </c>
      <c r="K174" s="138">
        <v>389</v>
      </c>
      <c r="L174" s="138">
        <v>423</v>
      </c>
      <c r="M174" s="169"/>
      <c r="N174" s="138">
        <v>400</v>
      </c>
      <c r="O174" s="138">
        <v>416</v>
      </c>
      <c r="P174" s="138">
        <v>397</v>
      </c>
      <c r="Q174" s="261">
        <v>437</v>
      </c>
      <c r="R174" s="50"/>
      <c r="S174" s="261">
        <v>417</v>
      </c>
      <c r="T174" s="123">
        <v>429</v>
      </c>
      <c r="U174" s="123">
        <v>402</v>
      </c>
      <c r="V174" s="123">
        <v>443</v>
      </c>
      <c r="W174" s="54"/>
      <c r="X174" s="123">
        <f>+S174*(1+X175)</f>
        <v>427.43275990660794</v>
      </c>
      <c r="Y174" s="123">
        <f>+T174*(1+Y175)</f>
        <v>437.85810401659108</v>
      </c>
      <c r="Z174" s="123">
        <f>+U174*(1+Z175)</f>
        <v>409.23512620824482</v>
      </c>
      <c r="AA174" s="123">
        <f>+V174*(1+AA175)</f>
        <v>451.57146009068498</v>
      </c>
      <c r="AB174" s="54"/>
      <c r="AC174" s="123">
        <f>+X174*(1+AC175)</f>
        <v>436.3034178092264</v>
      </c>
      <c r="AD174" s="123">
        <f>+Y174*(1+AD175)</f>
        <v>446.47822713576124</v>
      </c>
      <c r="AE174" s="123">
        <f>+Z174*(1+AE175)</f>
        <v>417.1934050984043</v>
      </c>
      <c r="AF174" s="123">
        <f>+AA174*(1+AF175)</f>
        <v>460.51661079508091</v>
      </c>
      <c r="AG174" s="54"/>
      <c r="AH174" s="123">
        <f>+AC174*(1+AH175)</f>
        <v>443.90557049571368</v>
      </c>
      <c r="AI174" s="123">
        <f>+AD174*(1+AI175)</f>
        <v>453.88604665185392</v>
      </c>
      <c r="AJ174" s="123">
        <f>+AE174*(1+AJ175)</f>
        <v>423.79250018296983</v>
      </c>
      <c r="AK174" s="123">
        <f>+AF174*(1+AK175)</f>
        <v>467.38319479629229</v>
      </c>
      <c r="AL174" s="54"/>
      <c r="AM174" s="123">
        <f>+AH174*(1+AM175)</f>
        <v>449.98087515416915</v>
      </c>
      <c r="AN174" s="123">
        <f>+AI174*(1+AN175)</f>
        <v>459.67379071434817</v>
      </c>
      <c r="AO174" s="123">
        <f>+AJ174*(1+AO175)</f>
        <v>428.78965024750511</v>
      </c>
      <c r="AP174" s="123">
        <f>+AK174*(1+AP175)</f>
        <v>472.42388489080111</v>
      </c>
      <c r="AQ174" s="54"/>
      <c r="AR174" s="123">
        <f>+AM174*(1+AR175)</f>
        <v>454.36976206685688</v>
      </c>
      <c r="AS174" s="123">
        <f>+AN174*(1+AS175)</f>
        <v>463.70529688256323</v>
      </c>
      <c r="AT174" s="123">
        <f>+AO174*(1+AT175)</f>
        <v>432.12351992276581</v>
      </c>
      <c r="AU174" s="123">
        <f>+AP174*(1+AU175)</f>
        <v>475.62264925502006</v>
      </c>
      <c r="AV174" s="54"/>
    </row>
    <row r="175" spans="1:48" ht="15.75" outlineLevel="1" x14ac:dyDescent="0.25">
      <c r="A175" s="53"/>
      <c r="B175" s="140" t="s">
        <v>246</v>
      </c>
      <c r="C175" s="174"/>
      <c r="D175" s="165">
        <f>+D174/374-1</f>
        <v>4.2780748663101553E-2</v>
      </c>
      <c r="E175" s="165">
        <f>+E174/394-1</f>
        <v>2.2842639593908531E-2</v>
      </c>
      <c r="F175" s="165">
        <f>+F174/370-1</f>
        <v>3.7837837837837895E-2</v>
      </c>
      <c r="G175" s="165">
        <f>+G174/407-1</f>
        <v>2.2113022113022129E-2</v>
      </c>
      <c r="H175" s="169"/>
      <c r="I175" s="165">
        <f>+I174/D174-1</f>
        <v>1.2820512820512775E-2</v>
      </c>
      <c r="J175" s="165">
        <f>+J174/E174-1</f>
        <v>2.7295285359801413E-2</v>
      </c>
      <c r="K175" s="165">
        <f>+K174/F174-1</f>
        <v>1.3020833333333259E-2</v>
      </c>
      <c r="L175" s="165">
        <f>+L174/G174-1</f>
        <v>1.6826923076923128E-2</v>
      </c>
      <c r="M175" s="169"/>
      <c r="N175" s="165">
        <f>+N174/I174-1</f>
        <v>1.2658227848101333E-2</v>
      </c>
      <c r="O175" s="165">
        <f>+O174/J174-1</f>
        <v>4.8309178743961567E-3</v>
      </c>
      <c r="P175" s="165">
        <f>+P174/K174-1</f>
        <v>2.0565552699228773E-2</v>
      </c>
      <c r="Q175" s="165">
        <f>+Q174/L174-1</f>
        <v>3.3096926713948038E-2</v>
      </c>
      <c r="R175" s="75"/>
      <c r="S175" s="165">
        <f>+S174/N174-1</f>
        <v>4.2499999999999982E-2</v>
      </c>
      <c r="T175" s="165">
        <f>+T174/O174-1</f>
        <v>3.125E-2</v>
      </c>
      <c r="U175" s="165">
        <f>+U174/P174-1</f>
        <v>1.2594458438287104E-2</v>
      </c>
      <c r="V175" s="165">
        <f>+V174/Q174-1</f>
        <v>1.3729977116704761E-2</v>
      </c>
      <c r="W175" s="54"/>
      <c r="X175" s="176">
        <f>AVERAGE(V175,U175,T175,S175)</f>
        <v>2.5018608888747962E-2</v>
      </c>
      <c r="Y175" s="176">
        <f>AVERAGE(X175,V175,U175,T175)</f>
        <v>2.0648261110934957E-2</v>
      </c>
      <c r="Z175" s="176">
        <f>AVERAGE(Y175,X175,V175,U175)</f>
        <v>1.7997826388668696E-2</v>
      </c>
      <c r="AA175" s="176">
        <f>AVERAGE(Z175,Y175,X175,V175)</f>
        <v>1.9348668376264096E-2</v>
      </c>
      <c r="AB175" s="54"/>
      <c r="AC175" s="176">
        <f>AVERAGE(AA175,Z175,Y175,X175)</f>
        <v>2.0753341191153928E-2</v>
      </c>
      <c r="AD175" s="176">
        <f>AVERAGE(AC175,AA175,Z175,Y175)</f>
        <v>1.9687024266755421E-2</v>
      </c>
      <c r="AE175" s="176">
        <f>AVERAGE(AD175,AC175,AA175,Z175)</f>
        <v>1.9446715055710537E-2</v>
      </c>
      <c r="AF175" s="176">
        <f>AVERAGE(AE175,AD175,AC175,AA175)</f>
        <v>1.9808937222470995E-2</v>
      </c>
      <c r="AG175" s="54"/>
      <c r="AH175" s="176">
        <f>AVERAGE(AF175,AE175,AD175,AC175)-0.25%</f>
        <v>1.7424004434022724E-2</v>
      </c>
      <c r="AI175" s="176">
        <f>AVERAGE(AH175,AF175,AE175,AD175)-0.25%</f>
        <v>1.6591670244739922E-2</v>
      </c>
      <c r="AJ175" s="176">
        <f>AVERAGE(AI175,AH175,AF175,AE175)-0.25%</f>
        <v>1.5817831739236045E-2</v>
      </c>
      <c r="AK175" s="176">
        <f>AVERAGE(AJ175,AI175,AH175,AF175)-0.25%</f>
        <v>1.4910610910117422E-2</v>
      </c>
      <c r="AL175" s="54"/>
      <c r="AM175" s="176">
        <f>AVERAGE(AK175,AJ175,AI175,AH175)-0.25%</f>
        <v>1.368602933202903E-2</v>
      </c>
      <c r="AN175" s="176">
        <f>AVERAGE(AM175,AK175,AJ175,AI175)-0.25%</f>
        <v>1.2751535556530606E-2</v>
      </c>
      <c r="AO175" s="176">
        <f>AVERAGE(AN175,AM175,AK175,AJ175)-0.25%</f>
        <v>1.1791501884478275E-2</v>
      </c>
      <c r="AP175" s="176">
        <f>AVERAGE(AO175,AN175,AM175,AK175)-0.25%</f>
        <v>1.0784919420788833E-2</v>
      </c>
      <c r="AQ175" s="54"/>
      <c r="AR175" s="176">
        <f>AVERAGE(AP175,AO175,AN175,AM175)-0.25%</f>
        <v>9.7534965484566867E-3</v>
      </c>
      <c r="AS175" s="176">
        <f>AVERAGE(AR175,AP175,AO175,AN175)-0.25%</f>
        <v>8.7703633525636013E-3</v>
      </c>
      <c r="AT175" s="176">
        <f>AVERAGE(AS175,AR175,AP175,AO175)-0.25%</f>
        <v>7.7750703015718476E-3</v>
      </c>
      <c r="AU175" s="176">
        <f>AVERAGE(AT175,AS175,AR175,AP175)-0.25%</f>
        <v>6.7709624058452413E-3</v>
      </c>
      <c r="AV175" s="54"/>
    </row>
    <row r="176" spans="1:48" s="53" customFormat="1" ht="15.75" outlineLevel="1" x14ac:dyDescent="0.25">
      <c r="B176" s="326" t="s">
        <v>267</v>
      </c>
      <c r="C176" s="327"/>
      <c r="D176" s="328"/>
      <c r="E176" s="313"/>
      <c r="F176" s="313"/>
      <c r="G176" s="313"/>
      <c r="H176" s="329"/>
      <c r="I176" s="313"/>
      <c r="J176" s="313"/>
      <c r="K176" s="313"/>
      <c r="L176" s="313"/>
      <c r="M176" s="329"/>
      <c r="N176" s="313"/>
      <c r="O176" s="313"/>
      <c r="P176" s="313"/>
      <c r="Q176" s="313"/>
      <c r="R176" s="330"/>
      <c r="S176" s="313"/>
      <c r="T176" s="313"/>
      <c r="U176" s="313"/>
      <c r="V176" s="313"/>
      <c r="W176" s="164"/>
      <c r="X176" s="313"/>
      <c r="Y176" s="313"/>
      <c r="Z176" s="313"/>
      <c r="AA176" s="313"/>
      <c r="AB176" s="164"/>
      <c r="AC176" s="313"/>
      <c r="AD176" s="313"/>
      <c r="AE176" s="313"/>
      <c r="AF176" s="313"/>
      <c r="AG176" s="164"/>
      <c r="AH176" s="313"/>
      <c r="AI176" s="313"/>
      <c r="AJ176" s="313"/>
      <c r="AK176" s="313"/>
      <c r="AL176" s="164"/>
      <c r="AM176" s="313"/>
      <c r="AN176" s="313"/>
      <c r="AO176" s="313"/>
      <c r="AP176" s="313"/>
      <c r="AQ176" s="164"/>
      <c r="AR176" s="313"/>
      <c r="AS176" s="313"/>
      <c r="AT176" s="313"/>
      <c r="AU176" s="313"/>
      <c r="AV176" s="164"/>
    </row>
    <row r="177" spans="1:48" ht="15.75" outlineLevel="1" x14ac:dyDescent="0.25">
      <c r="A177" s="53"/>
      <c r="B177" s="177" t="s">
        <v>329</v>
      </c>
      <c r="C177" s="170"/>
      <c r="D177" s="167">
        <v>578.5</v>
      </c>
      <c r="E177" s="167">
        <v>596</v>
      </c>
      <c r="F177" s="167">
        <v>531</v>
      </c>
      <c r="G177" s="167">
        <v>637</v>
      </c>
      <c r="H177" s="331"/>
      <c r="I177" s="167">
        <v>564.4</v>
      </c>
      <c r="J177" s="167">
        <v>608</v>
      </c>
      <c r="K177" s="167">
        <v>542.4</v>
      </c>
      <c r="L177" s="167">
        <v>587.4</v>
      </c>
      <c r="M177" s="331"/>
      <c r="N177" s="167">
        <v>587.5</v>
      </c>
      <c r="O177" s="167">
        <v>623</v>
      </c>
      <c r="P177" s="167">
        <v>590</v>
      </c>
      <c r="Q177" s="167">
        <v>620</v>
      </c>
      <c r="R177" s="135"/>
      <c r="S177" s="167">
        <v>655.4</v>
      </c>
      <c r="T177" s="167">
        <v>731</v>
      </c>
      <c r="U177" s="167">
        <v>592</v>
      </c>
      <c r="V177" s="167">
        <v>589</v>
      </c>
      <c r="W177" s="135"/>
      <c r="X177" s="139">
        <f>AVERAGE(V177,U177,T177,S177)</f>
        <v>641.85</v>
      </c>
      <c r="Y177" s="139">
        <f>AVERAGE(X177,V177,U177,T177)</f>
        <v>638.46249999999998</v>
      </c>
      <c r="Z177" s="139">
        <f>AVERAGE(Y177,X177,V177,U177)</f>
        <v>615.328125</v>
      </c>
      <c r="AA177" s="139">
        <f>AVERAGE(Z177,Y177,X177,V177)</f>
        <v>621.16015625</v>
      </c>
      <c r="AB177" s="135"/>
      <c r="AC177" s="139">
        <f>AVERAGE(AA177,Z177,Y177,X177)</f>
        <v>629.2001953125</v>
      </c>
      <c r="AD177" s="139">
        <f>AVERAGE(AC177,AA177,Z177,Y177)</f>
        <v>626.03774414062502</v>
      </c>
      <c r="AE177" s="139">
        <f>AVERAGE(AD177,AC177,AA177,Z177)</f>
        <v>622.93155517578123</v>
      </c>
      <c r="AF177" s="139">
        <f>AVERAGE(AE177,AD177,AC177,AA177)</f>
        <v>624.83241271972656</v>
      </c>
      <c r="AG177" s="135"/>
      <c r="AH177" s="139">
        <f>AVERAGE(AF177,AE177,AD177,AC177)</f>
        <v>625.7504768371582</v>
      </c>
      <c r="AI177" s="139">
        <f>AVERAGE(AH177,AF177,AE177,AD177)</f>
        <v>624.88804721832275</v>
      </c>
      <c r="AJ177" s="139">
        <f>AVERAGE(AI177,AH177,AF177,AE177)</f>
        <v>624.60062298774722</v>
      </c>
      <c r="AK177" s="139">
        <f>AVERAGE(AJ177,AI177,AH177,AF177)</f>
        <v>625.01788994073866</v>
      </c>
      <c r="AL177" s="135"/>
      <c r="AM177" s="139">
        <f>AVERAGE(AK177,AJ177,AI177,AH177)</f>
        <v>625.06425924599171</v>
      </c>
      <c r="AN177" s="139">
        <f>AVERAGE(AM177,AK177,AJ177,AI177)</f>
        <v>624.89270484820008</v>
      </c>
      <c r="AO177" s="139">
        <f>AVERAGE(AN177,AM177,AK177,AJ177)</f>
        <v>624.89386925566941</v>
      </c>
      <c r="AP177" s="139">
        <f>AVERAGE(AO177,AN177,AM177,AK177)</f>
        <v>624.96718082264999</v>
      </c>
      <c r="AQ177" s="135"/>
      <c r="AR177" s="139">
        <f>AVERAGE(AP177,AO177,AN177,AM177)</f>
        <v>624.95450354312777</v>
      </c>
      <c r="AS177" s="139">
        <f>AVERAGE(AR177,AP177,AO177,AN177)</f>
        <v>624.92706461741182</v>
      </c>
      <c r="AT177" s="139">
        <f>AVERAGE(AS177,AR177,AP177,AO177)</f>
        <v>624.93565455971475</v>
      </c>
      <c r="AU177" s="139">
        <f>AVERAGE(AT177,AS177,AR177,AP177)</f>
        <v>624.94610088572608</v>
      </c>
      <c r="AV177" s="135"/>
    </row>
    <row r="178" spans="1:48" ht="15.75" outlineLevel="1" x14ac:dyDescent="0.25">
      <c r="A178" s="53"/>
      <c r="B178" s="177" t="s">
        <v>330</v>
      </c>
      <c r="C178" s="170"/>
      <c r="D178" s="167">
        <v>-43.4</v>
      </c>
      <c r="E178" s="167">
        <v>-83</v>
      </c>
      <c r="F178" s="167">
        <v>-329</v>
      </c>
      <c r="G178" s="167">
        <v>-1613.5</v>
      </c>
      <c r="H178" s="135"/>
      <c r="I178" s="167">
        <f>-80.5-1</f>
        <v>-81.5</v>
      </c>
      <c r="J178" s="167">
        <f>-88-1</f>
        <v>-89</v>
      </c>
      <c r="K178" s="167">
        <f>-90.5-1</f>
        <v>-91.5</v>
      </c>
      <c r="L178" s="167">
        <f>-140.5-24</f>
        <v>-164.5</v>
      </c>
      <c r="M178" s="135"/>
      <c r="N178" s="167">
        <f>-118-3</f>
        <v>-121</v>
      </c>
      <c r="O178" s="167">
        <f>-87-3</f>
        <v>-90</v>
      </c>
      <c r="P178" s="167">
        <f>-119-3</f>
        <v>-122</v>
      </c>
      <c r="Q178" s="167">
        <f>-507-13</f>
        <v>-520</v>
      </c>
      <c r="R178" s="135"/>
      <c r="S178" s="167">
        <v>-139</v>
      </c>
      <c r="T178" s="167">
        <v>-186</v>
      </c>
      <c r="U178" s="167">
        <v>-133</v>
      </c>
      <c r="V178" s="167">
        <v>-454</v>
      </c>
      <c r="W178" s="135"/>
      <c r="X178" s="167">
        <f>+X177-X179-X211</f>
        <v>-228</v>
      </c>
      <c r="Y178" s="167">
        <f>+Y177-Y179-Y211</f>
        <v>-250.25</v>
      </c>
      <c r="Z178" s="167">
        <f>+Z177-Z179-Z211</f>
        <v>-266.3125</v>
      </c>
      <c r="AA178" s="167">
        <f>+AA177-AA179-AA211</f>
        <v>-199.64062500000006</v>
      </c>
      <c r="AB178" s="135"/>
      <c r="AC178" s="167">
        <f>+AC177-AC179-AC211</f>
        <v>-261.05078125</v>
      </c>
      <c r="AD178" s="167">
        <f>+AD177-AD179-AD211</f>
        <v>-269.3134765625</v>
      </c>
      <c r="AE178" s="167">
        <f>+AE177-AE179-AE211</f>
        <v>-274.079345703125</v>
      </c>
      <c r="AF178" s="167">
        <f>+AF177-AF179-AF211</f>
        <v>-221.02105712890619</v>
      </c>
      <c r="AG178" s="135"/>
      <c r="AH178" s="167">
        <f>+AH177-AH179-AH211</f>
        <v>-270.11616516113281</v>
      </c>
      <c r="AI178" s="167">
        <f>+AI177-AI179-AI211</f>
        <v>-272.38251113891602</v>
      </c>
      <c r="AJ178" s="167">
        <f>+AJ177-AJ179-AJ211</f>
        <v>-273.14976978302002</v>
      </c>
      <c r="AK178" s="167">
        <f>+AK177-AK179-AK211</f>
        <v>-217.91737580299372</v>
      </c>
      <c r="AL178" s="135"/>
      <c r="AM178" s="167">
        <f>+AM177-AM179-AM211</f>
        <v>-272.14145547151566</v>
      </c>
      <c r="AN178" s="167">
        <f>+AN177-AN179-AN211</f>
        <v>-272.64777804911137</v>
      </c>
      <c r="AO178" s="167">
        <f>+AO177-AO179-AO211</f>
        <v>-272.7140947766602</v>
      </c>
      <c r="AP178" s="167">
        <f>+AP177-AP179-AP211</f>
        <v>-217.60517602507019</v>
      </c>
      <c r="AQ178" s="135"/>
      <c r="AR178" s="167">
        <f>+AR177-AR179-AR211</f>
        <v>-272.52712608058937</v>
      </c>
      <c r="AS178" s="167">
        <f>+AS177-AS179-AS211</f>
        <v>-272.6235437328578</v>
      </c>
      <c r="AT178" s="167">
        <f>+AT177-AT179-AT211</f>
        <v>-272.61748515379441</v>
      </c>
      <c r="AU178" s="167">
        <f>+AU177-AU179-AU211</f>
        <v>-217.5933327480779</v>
      </c>
      <c r="AV178" s="135"/>
    </row>
    <row r="179" spans="1:48" s="53" customFormat="1" ht="15.6" customHeight="1" outlineLevel="1" x14ac:dyDescent="0.25">
      <c r="B179" s="729" t="s">
        <v>393</v>
      </c>
      <c r="C179" s="730"/>
      <c r="D179" s="167">
        <f>-(D178-D177)</f>
        <v>621.9</v>
      </c>
      <c r="E179" s="167">
        <f>-(E178-E177)</f>
        <v>679</v>
      </c>
      <c r="F179" s="167">
        <f>-(F178-F177)</f>
        <v>860</v>
      </c>
      <c r="G179" s="167">
        <f>-(G178-G177)</f>
        <v>2250.5</v>
      </c>
      <c r="H179" s="135"/>
      <c r="I179" s="167">
        <f>-(I178-I177)</f>
        <v>645.9</v>
      </c>
      <c r="J179" s="167">
        <f>-(J178-J177)</f>
        <v>697</v>
      </c>
      <c r="K179" s="167">
        <f>-(K178-K177)</f>
        <v>633.9</v>
      </c>
      <c r="L179" s="167">
        <f>-(L178-L177)</f>
        <v>751.9</v>
      </c>
      <c r="M179" s="135"/>
      <c r="N179" s="167">
        <f>-(N178-N177)</f>
        <v>708.5</v>
      </c>
      <c r="O179" s="167">
        <f>-(O178-O177)</f>
        <v>713</v>
      </c>
      <c r="P179" s="167">
        <f>-(P178-P177)</f>
        <v>712</v>
      </c>
      <c r="Q179" s="167">
        <f>-(Q178-Q177)</f>
        <v>1140</v>
      </c>
      <c r="R179" s="135"/>
      <c r="S179" s="167">
        <f>-(S178-S177)</f>
        <v>794.4</v>
      </c>
      <c r="T179" s="167">
        <f>-(T178-T177)</f>
        <v>917</v>
      </c>
      <c r="U179" s="167">
        <f>-(U178-U177)</f>
        <v>725</v>
      </c>
      <c r="V179" s="167">
        <f>-(V178-V177)</f>
        <v>1043</v>
      </c>
      <c r="W179" s="135"/>
      <c r="X179" s="139">
        <f>AVERAGE(V179,U179,T179,S179)</f>
        <v>869.85</v>
      </c>
      <c r="Y179" s="139">
        <f>AVERAGE(X179,V179,U179,T179)</f>
        <v>888.71249999999998</v>
      </c>
      <c r="Z179" s="139">
        <f>AVERAGE(Y179,X179,V179,U179)</f>
        <v>881.640625</v>
      </c>
      <c r="AA179" s="139">
        <f>AVERAGE(Z179,Y179,X179,V179)</f>
        <v>920.80078125</v>
      </c>
      <c r="AB179" s="135"/>
      <c r="AC179" s="139">
        <f>AVERAGE(AA179,Z179,Y179,X179)</f>
        <v>890.2509765625</v>
      </c>
      <c r="AD179" s="139">
        <f>AVERAGE(AC179,AA179,Z179,Y179)</f>
        <v>895.35122070312502</v>
      </c>
      <c r="AE179" s="139">
        <f>AVERAGE(AD179,AC179,AA179,Z179)</f>
        <v>897.01090087890623</v>
      </c>
      <c r="AF179" s="139">
        <f>AVERAGE(AE179,AD179,AC179,AA179)</f>
        <v>900.85346984863281</v>
      </c>
      <c r="AG179" s="135"/>
      <c r="AH179" s="139">
        <f>AVERAGE(AF179,AE179,AD179,AC179)</f>
        <v>895.86664199829102</v>
      </c>
      <c r="AI179" s="139">
        <f>AVERAGE(AH179,AF179,AE179,AD179)</f>
        <v>897.27055835723877</v>
      </c>
      <c r="AJ179" s="139">
        <f>AVERAGE(AI179,AH179,AF179,AE179)</f>
        <v>897.75039277076723</v>
      </c>
      <c r="AK179" s="139">
        <f>AVERAGE(AJ179,AI179,AH179,AF179)</f>
        <v>897.93526574373243</v>
      </c>
      <c r="AL179" s="135"/>
      <c r="AM179" s="139">
        <f>AVERAGE(AK179,AJ179,AI179,AH179)</f>
        <v>897.20571471750736</v>
      </c>
      <c r="AN179" s="139">
        <f>AVERAGE(AM179,AK179,AJ179,AI179)</f>
        <v>897.54048289731145</v>
      </c>
      <c r="AO179" s="139">
        <f>AVERAGE(AN179,AM179,AK179,AJ179)</f>
        <v>897.60796403232962</v>
      </c>
      <c r="AP179" s="139">
        <f>AVERAGE(AO179,AN179,AM179,AK179)</f>
        <v>897.57235684772024</v>
      </c>
      <c r="AQ179" s="135"/>
      <c r="AR179" s="139">
        <f>AVERAGE(AP179,AO179,AN179,AM179)</f>
        <v>897.48162962371714</v>
      </c>
      <c r="AS179" s="139">
        <f>AVERAGE(AR179,AP179,AO179,AN179)</f>
        <v>897.55060835026961</v>
      </c>
      <c r="AT179" s="139">
        <f>AVERAGE(AS179,AR179,AP179,AO179)</f>
        <v>897.55313971350915</v>
      </c>
      <c r="AU179" s="139">
        <f>AVERAGE(AT179,AS179,AR179,AP179)</f>
        <v>897.53943363380404</v>
      </c>
      <c r="AV179" s="135"/>
    </row>
    <row r="180" spans="1:48" s="193" customFormat="1" ht="15.75" outlineLevel="1" x14ac:dyDescent="0.25">
      <c r="B180" s="321" t="s">
        <v>264</v>
      </c>
      <c r="C180" s="322"/>
      <c r="D180" s="201"/>
      <c r="E180" s="201"/>
      <c r="F180" s="244"/>
      <c r="G180" s="201"/>
      <c r="H180" s="200"/>
      <c r="I180" s="201"/>
      <c r="J180" s="201"/>
      <c r="K180" s="244"/>
      <c r="L180" s="201"/>
      <c r="M180" s="202"/>
      <c r="N180" s="323"/>
      <c r="O180" s="323"/>
      <c r="P180" s="323"/>
      <c r="Q180" s="201"/>
      <c r="R180" s="324"/>
      <c r="S180" s="201"/>
      <c r="T180" s="201"/>
      <c r="U180" s="244"/>
      <c r="V180" s="201"/>
      <c r="W180" s="200"/>
      <c r="X180" s="201"/>
      <c r="Y180" s="201"/>
      <c r="Z180" s="244"/>
      <c r="AA180" s="201"/>
      <c r="AB180" s="200"/>
      <c r="AC180" s="201"/>
      <c r="AD180" s="201"/>
      <c r="AE180" s="244"/>
      <c r="AF180" s="201"/>
      <c r="AG180" s="200"/>
      <c r="AH180" s="201"/>
      <c r="AI180" s="201"/>
      <c r="AJ180" s="244"/>
      <c r="AK180" s="201"/>
      <c r="AL180" s="200"/>
      <c r="AM180" s="201"/>
      <c r="AN180" s="201"/>
      <c r="AO180" s="244"/>
      <c r="AP180" s="201"/>
      <c r="AQ180" s="200"/>
      <c r="AR180" s="201"/>
      <c r="AS180" s="201"/>
      <c r="AT180" s="244"/>
      <c r="AU180" s="201"/>
      <c r="AV180" s="200"/>
    </row>
    <row r="181" spans="1:48" s="193" customFormat="1" ht="15.75" outlineLevel="1" x14ac:dyDescent="0.25">
      <c r="B181" s="293" t="s">
        <v>265</v>
      </c>
      <c r="C181" s="174"/>
      <c r="D181" s="138">
        <f>+D19-(D68+D150+D167)</f>
        <v>0</v>
      </c>
      <c r="E181" s="138">
        <f>+E19-(E68+E150+E167)</f>
        <v>1</v>
      </c>
      <c r="F181" s="138">
        <f>+F19-(F68+F150+F167)</f>
        <v>-1</v>
      </c>
      <c r="G181" s="138">
        <f>+G19-(G68+G150+G167)</f>
        <v>3</v>
      </c>
      <c r="H181" s="54"/>
      <c r="I181" s="138">
        <f>+I19-(I68+I150+I167)</f>
        <v>2</v>
      </c>
      <c r="J181" s="138">
        <f>+J19-(J68+J150+J167)</f>
        <v>-2</v>
      </c>
      <c r="K181" s="138">
        <f>+K19-(K68+K150+K167)</f>
        <v>0</v>
      </c>
      <c r="L181" s="138">
        <f>+L19-(L68+L150+L167)</f>
        <v>1</v>
      </c>
      <c r="M181" s="169"/>
      <c r="N181" s="138">
        <f>+N19-(N68+N150+N167)</f>
        <v>1</v>
      </c>
      <c r="O181" s="138">
        <f>+O19-(O68+O150+O167)</f>
        <v>-1</v>
      </c>
      <c r="P181" s="138">
        <f>+P19-(P68+P150+P167)</f>
        <v>1</v>
      </c>
      <c r="Q181" s="138">
        <f>+Q19-(Q68+Q150+Q167)</f>
        <v>0</v>
      </c>
      <c r="R181" s="54"/>
      <c r="S181" s="138">
        <f>+S19-(S68+S150+S167)</f>
        <v>1</v>
      </c>
      <c r="T181" s="138">
        <f>+T19-(T68+T150+T167)</f>
        <v>-1</v>
      </c>
      <c r="U181" s="138">
        <f>+U19-(U68+U150+U167)</f>
        <v>1</v>
      </c>
      <c r="V181" s="138">
        <f>+V19-(V68+V150+V167)</f>
        <v>1</v>
      </c>
      <c r="W181" s="54"/>
      <c r="X181" s="139">
        <f>AVERAGE(V181,U181,T181,S181)</f>
        <v>0.5</v>
      </c>
      <c r="Y181" s="139">
        <f>AVERAGE(X181,V181,U181,T181)</f>
        <v>0.375</v>
      </c>
      <c r="Z181" s="139">
        <f>AVERAGE(Y181,X181,V181,U181)</f>
        <v>0.71875</v>
      </c>
      <c r="AA181" s="139">
        <f>AVERAGE(Z181,Y181,X181,V181)</f>
        <v>0.6484375</v>
      </c>
      <c r="AB181" s="54"/>
      <c r="AC181" s="139">
        <f>AVERAGE(AA181,Z181,Y181,X181)</f>
        <v>0.560546875</v>
      </c>
      <c r="AD181" s="139">
        <f>AVERAGE(AC181,AA181,Z181,Y181)</f>
        <v>0.57568359375</v>
      </c>
      <c r="AE181" s="139">
        <f>AVERAGE(AD181,AC181,AA181,Z181)</f>
        <v>0.6258544921875</v>
      </c>
      <c r="AF181" s="139">
        <f>AVERAGE(AE181,AD181,AC181,AA181)</f>
        <v>0.602630615234375</v>
      </c>
      <c r="AG181" s="54"/>
      <c r="AH181" s="139">
        <f>AVERAGE(AF181,AE181,AD181,AC181)</f>
        <v>0.59117889404296875</v>
      </c>
      <c r="AI181" s="139">
        <f>AVERAGE(AH181,AF181,AE181,AD181)</f>
        <v>0.59883689880371094</v>
      </c>
      <c r="AJ181" s="139">
        <f>AVERAGE(AI181,AH181,AF181,AE181)</f>
        <v>0.60462522506713867</v>
      </c>
      <c r="AK181" s="139">
        <f>AVERAGE(AJ181,AI181,AH181,AF181)</f>
        <v>0.59931790828704834</v>
      </c>
      <c r="AL181" s="54"/>
      <c r="AM181" s="139">
        <f>AVERAGE(AK181,AJ181,AI181,AH181)</f>
        <v>0.59848973155021667</v>
      </c>
      <c r="AN181" s="139">
        <f>AVERAGE(AM181,AK181,AJ181,AI181)</f>
        <v>0.60031744092702866</v>
      </c>
      <c r="AO181" s="139">
        <f>AVERAGE(AN181,AM181,AK181,AJ181)</f>
        <v>0.60068757645785809</v>
      </c>
      <c r="AP181" s="139">
        <f>AVERAGE(AO181,AN181,AM181,AK181)</f>
        <v>0.59970316430553794</v>
      </c>
      <c r="AQ181" s="54"/>
      <c r="AR181" s="139">
        <f>AVERAGE(AP181,AO181,AN181,AM181)</f>
        <v>0.59979947831016034</v>
      </c>
      <c r="AS181" s="139">
        <f>AVERAGE(AR181,AP181,AO181,AN181)</f>
        <v>0.60012691500014625</v>
      </c>
      <c r="AT181" s="139">
        <f>AVERAGE(AS181,AR181,AP181,AO181)</f>
        <v>0.60007928351842565</v>
      </c>
      <c r="AU181" s="139">
        <f>AVERAGE(AT181,AS181,AR181,AP181)</f>
        <v>0.59992721028356755</v>
      </c>
      <c r="AV181" s="54"/>
    </row>
    <row r="182" spans="1:48" s="193" customFormat="1" ht="15.75" outlineLevel="1" x14ac:dyDescent="0.25">
      <c r="B182" s="293" t="s">
        <v>153</v>
      </c>
      <c r="C182" s="174"/>
      <c r="D182" s="138">
        <f>+D18-(D69+D151+D168)</f>
        <v>113</v>
      </c>
      <c r="E182" s="138">
        <f>+E18-(E69+E151+E168)</f>
        <v>110</v>
      </c>
      <c r="F182" s="138">
        <f>+F18-(F69+F151+F168)</f>
        <v>114</v>
      </c>
      <c r="G182" s="138">
        <f>+G18-(G69+G151+G168)</f>
        <v>117</v>
      </c>
      <c r="H182" s="54"/>
      <c r="I182" s="138">
        <f>+I18-(I69+I151+I168)</f>
        <v>113</v>
      </c>
      <c r="J182" s="138">
        <f>+J18-(J69+J151+J168)</f>
        <v>110</v>
      </c>
      <c r="K182" s="138">
        <f>+K18-(K69+K151+K168)</f>
        <v>111</v>
      </c>
      <c r="L182" s="138">
        <f>+L18-(L69+L151+L168)</f>
        <v>107</v>
      </c>
      <c r="M182" s="169"/>
      <c r="N182" s="138">
        <f>+N18-(N69+N151+N168)</f>
        <v>107</v>
      </c>
      <c r="O182" s="138">
        <f>+O18-(O69+O151+O168)</f>
        <v>108</v>
      </c>
      <c r="P182" s="138">
        <f>+P18-(P69+P151+P168)</f>
        <v>110</v>
      </c>
      <c r="Q182" s="138">
        <f>+Q18-(Q69+Q151+Q168)</f>
        <v>114</v>
      </c>
      <c r="R182" s="54"/>
      <c r="S182" s="138">
        <f>+S18-(S69+S151+S168)</f>
        <v>121</v>
      </c>
      <c r="T182" s="138">
        <f>+T18-(T69+T151+T168)</f>
        <v>123</v>
      </c>
      <c r="U182" s="138">
        <f>+U18-(U69+U151+U168)</f>
        <v>122</v>
      </c>
      <c r="V182" s="138">
        <f>+V18-(V69+V151+V168)</f>
        <v>126.44888366627492</v>
      </c>
      <c r="W182" s="54"/>
      <c r="X182" s="138">
        <f>V182/(V69+V151+V168+V182)*X18</f>
        <v>129.33927713406177</v>
      </c>
      <c r="Y182" s="138">
        <f>X182/(X69+X151+X168+X182)*Y18</f>
        <v>132.35522601070682</v>
      </c>
      <c r="Z182" s="138">
        <f>Y182/(Y69+Y151+Y168+Y182)*Z18</f>
        <v>133.89852664650084</v>
      </c>
      <c r="AA182" s="138">
        <f>Z182/(Z69+Z151+Z168+Z182)*AA18</f>
        <v>137.25217105942303</v>
      </c>
      <c r="AB182" s="54"/>
      <c r="AC182" s="138">
        <f>AA182/(AA69+AA151+AA168+AA182)*AC18</f>
        <v>142.17557951594077</v>
      </c>
      <c r="AD182" s="138">
        <f>AC182/(AC69+AC151+AC168+AC182)*AD18</f>
        <v>145.47225318380006</v>
      </c>
      <c r="AE182" s="138">
        <f>AD182/(AD69+AD151+AD168+AD182)*AE18</f>
        <v>147.14479846834595</v>
      </c>
      <c r="AF182" s="138">
        <f>AE182/(AE69+AE151+AE168+AE182)*AF18</f>
        <v>150.63716086644001</v>
      </c>
      <c r="AG182" s="54"/>
      <c r="AH182" s="138">
        <f>AF182/(AF69+AF151+AF168+AF182)*AH18</f>
        <v>155.80174696169303</v>
      </c>
      <c r="AI182" s="138">
        <f>AH182/(AH69+AH151+AH168+AH182)*AI18</f>
        <v>159.28721555315323</v>
      </c>
      <c r="AJ182" s="138">
        <f>AI182/(AI69+AI151+AI168+AI182)*AJ18</f>
        <v>161.04033471087646</v>
      </c>
      <c r="AK182" s="138">
        <f>AJ182/(AJ69+AJ151+AJ168+AJ182)*AK18</f>
        <v>164.68909971019136</v>
      </c>
      <c r="AL182" s="54"/>
      <c r="AM182" s="138">
        <f>AK182/(AK69+AK151+AK168+AK182)*AM18</f>
        <v>170.07630505803843</v>
      </c>
      <c r="AN182" s="138">
        <f>AM182/(AM69+AM151+AM168+AM182)*AN18</f>
        <v>173.71367052659187</v>
      </c>
      <c r="AO182" s="138">
        <f>AN182/(AN69+AN151+AN168+AN182)*AO18</f>
        <v>175.53574406879986</v>
      </c>
      <c r="AP182" s="138">
        <f>AO182/(AO69+AO151+AO168+AO182)*AP18</f>
        <v>179.32820355841338</v>
      </c>
      <c r="AQ182" s="54"/>
      <c r="AR182" s="138">
        <f>AP182/(AP69+AP151+AP168+AP182)*AR18</f>
        <v>184.91788318757369</v>
      </c>
      <c r="AS182" s="138">
        <f>AR182/(AR69+AR151+AR168+AR182)*AS18</f>
        <v>188.68439810734085</v>
      </c>
      <c r="AT182" s="138">
        <f>AS182/(AS69+AS151+AS168+AS182)*AT18</f>
        <v>190.56688627707078</v>
      </c>
      <c r="AU182" s="138">
        <f>AT182/(AT69+AT151+AT168+AT182)*AU18</f>
        <v>194.48442782028903</v>
      </c>
      <c r="AV182" s="54"/>
    </row>
    <row r="183" spans="1:48" s="53" customFormat="1" ht="15.6" customHeight="1" outlineLevel="1" x14ac:dyDescent="0.25">
      <c r="B183" s="723" t="s">
        <v>266</v>
      </c>
      <c r="C183" s="724"/>
      <c r="D183" s="214">
        <f>+D24-(D68+D69+D70+D150+D151+D152+D167+D168+D169)-(D181+D182)-D179</f>
        <v>277.10000000000002</v>
      </c>
      <c r="E183" s="214">
        <f>+E24-(E68+E69+E70+E150+E151+E152+E167+E168+E169)-(E181+E182)-E179</f>
        <v>292</v>
      </c>
      <c r="F183" s="214">
        <f>+F24-(F68+F69+F70+F150+F151+F152+F167+F168+F169)-(F181+F182)-F179</f>
        <v>271</v>
      </c>
      <c r="G183" s="214">
        <f>+G24-(G68+G69+G70+G150+G151+G152+G167+G168+G169)-(G181+G182)-G179</f>
        <v>295.5</v>
      </c>
      <c r="H183" s="56"/>
      <c r="I183" s="214">
        <f>+I24-(I68+I69+I70+I150+I151+I152+I167+I168+I169)-(I181+I182)-I179</f>
        <v>280.10000000000002</v>
      </c>
      <c r="J183" s="214">
        <f>+J24-(J68+J69+J70+J150+J151+J152+J167+J168+J169)-(J181+J182)-J179</f>
        <v>306</v>
      </c>
      <c r="K183" s="214">
        <f>+K24-(K68+K69+K70+K150+K151+K152+K167+K168+K169)-(K181+K182)-K179</f>
        <v>278.10000000000002</v>
      </c>
      <c r="L183" s="214">
        <f>+L24-(L68+L69+L70+L150+L151+L152+L167+L168+L169)-(L181+L182)-L179</f>
        <v>315.10000000000002</v>
      </c>
      <c r="M183" s="175"/>
      <c r="N183" s="214">
        <f>+N24-(N68+N69+N70+N150+N151+N152+N167+N168+N169)-(N181+N182)-N179</f>
        <v>291.5</v>
      </c>
      <c r="O183" s="214">
        <f>+O24-(O68+O69+O70+O150+O151+O152+O167+O168+O169)-(O181+O182)-O179</f>
        <v>309</v>
      </c>
      <c r="P183" s="214">
        <f>+P24-(P68+P69+P70+P150+P151+P152+P167+P168+P169)-(P181+P182)-P179</f>
        <v>286</v>
      </c>
      <c r="Q183" s="214">
        <f>+Q24-(Q68+Q69+Q70+Q150+Q151+Q152+Q167+Q168+Q169)-(Q181+Q182)-Q179</f>
        <v>322</v>
      </c>
      <c r="R183" s="56"/>
      <c r="S183" s="214">
        <f>+S24-(S68+S69+S70+S150+S151+S152+S167+S168+S169)-(S181+S182)-S179</f>
        <v>295.10000000000002</v>
      </c>
      <c r="T183" s="214">
        <f>+T24-(T68+T69+T70+T150+T151+T152+T167+T168+T169)-(T181+T182)-T179</f>
        <v>307</v>
      </c>
      <c r="U183" s="214">
        <f>+U24-(U68+U69+U70+U150+U151+U152+U167+U168+U169)-(U181+U182)-U179</f>
        <v>279</v>
      </c>
      <c r="V183" s="214">
        <f>+V24-(V68+V69+V70+V150+V151+V152+V167+V168+V169)-(V181+V182)-V179</f>
        <v>316</v>
      </c>
      <c r="W183" s="56"/>
      <c r="X183" s="325">
        <v>298</v>
      </c>
      <c r="Y183" s="325">
        <v>305</v>
      </c>
      <c r="Z183" s="325">
        <v>275</v>
      </c>
      <c r="AA183" s="325">
        <v>214</v>
      </c>
      <c r="AB183" s="56"/>
      <c r="AC183" s="325">
        <v>294</v>
      </c>
      <c r="AD183" s="325">
        <v>300</v>
      </c>
      <c r="AE183" s="325">
        <v>269</v>
      </c>
      <c r="AF183" s="325">
        <v>254</v>
      </c>
      <c r="AG183" s="56"/>
      <c r="AH183" s="325">
        <v>288</v>
      </c>
      <c r="AI183" s="325">
        <v>294</v>
      </c>
      <c r="AJ183" s="325">
        <v>262</v>
      </c>
      <c r="AK183" s="325">
        <v>247</v>
      </c>
      <c r="AL183" s="56"/>
      <c r="AM183" s="325">
        <v>279</v>
      </c>
      <c r="AN183" s="325">
        <v>285</v>
      </c>
      <c r="AO183" s="325">
        <v>253</v>
      </c>
      <c r="AP183" s="325">
        <v>237</v>
      </c>
      <c r="AQ183" s="56"/>
      <c r="AR183" s="325">
        <v>269</v>
      </c>
      <c r="AS183" s="325">
        <v>274</v>
      </c>
      <c r="AT183" s="325">
        <v>241</v>
      </c>
      <c r="AU183" s="325">
        <v>226</v>
      </c>
      <c r="AV183" s="56"/>
    </row>
    <row r="184" spans="1:48" s="53" customFormat="1" ht="15.6" customHeight="1" outlineLevel="1" x14ac:dyDescent="0.25">
      <c r="B184" s="332" t="s">
        <v>268</v>
      </c>
      <c r="C184" s="333"/>
      <c r="D184" s="167"/>
      <c r="E184" s="167"/>
      <c r="F184" s="167"/>
      <c r="G184" s="167"/>
      <c r="H184" s="135"/>
      <c r="I184" s="167"/>
      <c r="J184" s="167"/>
      <c r="K184" s="167"/>
      <c r="L184" s="167"/>
      <c r="M184" s="331"/>
      <c r="N184" s="157"/>
      <c r="O184" s="157"/>
      <c r="P184" s="157"/>
      <c r="Q184" s="167"/>
      <c r="R184" s="135"/>
      <c r="S184" s="167"/>
      <c r="T184" s="167"/>
      <c r="U184" s="167"/>
      <c r="V184" s="167"/>
      <c r="W184" s="135"/>
      <c r="X184" s="167"/>
      <c r="Y184" s="167"/>
      <c r="Z184" s="167"/>
      <c r="AA184" s="167"/>
      <c r="AB184" s="135"/>
      <c r="AC184" s="167"/>
      <c r="AD184" s="167"/>
      <c r="AE184" s="167"/>
      <c r="AF184" s="167"/>
      <c r="AG184" s="135"/>
      <c r="AH184" s="167"/>
      <c r="AI184" s="167"/>
      <c r="AJ184" s="167"/>
      <c r="AK184" s="167"/>
      <c r="AL184" s="135"/>
      <c r="AM184" s="167"/>
      <c r="AN184" s="167"/>
      <c r="AO184" s="167"/>
      <c r="AP184" s="167"/>
      <c r="AQ184" s="135"/>
      <c r="AR184" s="167"/>
      <c r="AS184" s="167"/>
      <c r="AT184" s="167"/>
      <c r="AU184" s="167"/>
      <c r="AV184" s="135"/>
    </row>
    <row r="185" spans="1:48" s="194" customFormat="1" ht="15.6" customHeight="1" outlineLevel="1" x14ac:dyDescent="0.25">
      <c r="B185" s="334" t="s">
        <v>90</v>
      </c>
      <c r="C185" s="335"/>
      <c r="D185" s="336">
        <f>ROUND((D13-(D54+D57+D58+D148+D165+D174+D177)),0)</f>
        <v>0</v>
      </c>
      <c r="E185" s="336">
        <f>ROUND((E13-(E54+E57+E58+E148+E165+E174+E177)),0)</f>
        <v>0</v>
      </c>
      <c r="F185" s="336">
        <f>ROUND((F13-(F54+F57+F58+F148+F165+F174+F177)),0)</f>
        <v>0</v>
      </c>
      <c r="G185" s="336">
        <f>ROUND((G13-(G54+G57+G58+G148+G165+G174+G177)),0)</f>
        <v>0</v>
      </c>
      <c r="H185" s="135"/>
      <c r="I185" s="336">
        <f>ROUND((I13-(I54+I57+I58+I148+I165+I174+I177)),0)</f>
        <v>0</v>
      </c>
      <c r="J185" s="336">
        <f>ROUND((J13-(J54+J57+J58+J148+J165+J174+J177)),0)</f>
        <v>0</v>
      </c>
      <c r="K185" s="336">
        <f>ROUND((K13-(K54+K57+K58+K148+K165+K174+K177)),0)</f>
        <v>0</v>
      </c>
      <c r="L185" s="336">
        <f>ROUND((L13-(L54+L57+L58+L148+L165+L174+L177)),0)</f>
        <v>0</v>
      </c>
      <c r="M185" s="337"/>
      <c r="N185" s="336">
        <f>ROUND((N13-(N54+N57+N58+N148+N165+N174+N177)),0)</f>
        <v>0</v>
      </c>
      <c r="O185" s="336">
        <f>ROUND((O13-(O54+O57+O58+O148+O165+O174+O177)),0)</f>
        <v>0</v>
      </c>
      <c r="P185" s="336">
        <f>ROUND((P13-(P54+P57+P58+P148+P165+P174+P177)),0)</f>
        <v>0</v>
      </c>
      <c r="Q185" s="336">
        <f>ROUND((Q13-(Q54+Q57+Q58+Q148+Q165+Q174+Q177)),0)</f>
        <v>0</v>
      </c>
      <c r="R185" s="337"/>
      <c r="S185" s="336">
        <f>ROUND((S13-(S54+S57+S58+S148+S165+S174+S177)),0)</f>
        <v>0</v>
      </c>
      <c r="T185" s="336">
        <f>ROUND((T13-(T54+T57+T58+T148+T165+T174+T177)),0)</f>
        <v>1</v>
      </c>
      <c r="U185" s="336">
        <f>ROUND((U13-(U54+U57+U58+U148+U165+U174+U177)),0)</f>
        <v>0</v>
      </c>
      <c r="V185" s="820">
        <f>(V13-(V54+V57+V58+V148+V165+V174+V177))</f>
        <v>0.72690715150383767</v>
      </c>
      <c r="W185" s="337"/>
      <c r="X185" s="336">
        <f>ROUND((X13-(X54+X57+X58+X148+X165+X174+X177)),0)</f>
        <v>0</v>
      </c>
      <c r="Y185" s="336">
        <f>ROUND((Y13-(Y54+Y57+Y58+Y148+Y165+Y174+Y177)),0)</f>
        <v>0</v>
      </c>
      <c r="Z185" s="336">
        <f>ROUND((Z13-(Z54+Z57+Z58+Z148+Z165+Z174+Z177)),0)</f>
        <v>0</v>
      </c>
      <c r="AA185" s="336">
        <f>ROUND((AA13-(AA54+AA57+AA58+AA148+AA165+AA174+AA177)),0)</f>
        <v>0</v>
      </c>
      <c r="AB185" s="337"/>
      <c r="AC185" s="336">
        <f>ROUND((AC13-(AC54+AC57+AC58+AC148+AC165+AC174+AC177)),0)</f>
        <v>0</v>
      </c>
      <c r="AD185" s="336">
        <f>ROUND((AD13-(AD54+AD57+AD58+AD148+AD165+AD174+AD177)),0)</f>
        <v>0</v>
      </c>
      <c r="AE185" s="336">
        <f>ROUND((AE13-(AE54+AE57+AE58+AE148+AE165+AE174+AE177)),0)</f>
        <v>0</v>
      </c>
      <c r="AF185" s="336">
        <f>ROUND((AF13-(AF54+AF57+AF58+AF148+AF165+AF174+AF177)),0)</f>
        <v>0</v>
      </c>
      <c r="AG185" s="337"/>
      <c r="AH185" s="336">
        <f>ROUND((AH13-(AH54+AH57+AH58+AH148+AH165+AH174+AH177)),0)</f>
        <v>0</v>
      </c>
      <c r="AI185" s="336">
        <f>ROUND((AI13-(AI54+AI57+AI58+AI148+AI165+AI174+AI177)),0)</f>
        <v>0</v>
      </c>
      <c r="AJ185" s="336">
        <f>ROUND((AJ13-(AJ54+AJ57+AJ58+AJ148+AJ165+AJ174+AJ177)),0)</f>
        <v>0</v>
      </c>
      <c r="AK185" s="336">
        <f>ROUND((AK13-(AK54+AK57+AK58+AK148+AK165+AK174+AK177)),0)</f>
        <v>0</v>
      </c>
      <c r="AL185" s="337"/>
      <c r="AM185" s="336">
        <f>ROUND((AM13-(AM54+AM57+AM58+AM148+AM165+AM174+AM177)),0)</f>
        <v>0</v>
      </c>
      <c r="AN185" s="336">
        <f>ROUND((AN13-(AN54+AN57+AN58+AN148+AN165+AN174+AN177)),0)</f>
        <v>0</v>
      </c>
      <c r="AO185" s="336">
        <f>ROUND((AO13-(AO54+AO57+AO58+AO148+AO165+AO174+AO177)),0)</f>
        <v>0</v>
      </c>
      <c r="AP185" s="336">
        <f>ROUND((AP13-(AP54+AP57+AP58+AP148+AP165+AP174+AP177)),0)</f>
        <v>0</v>
      </c>
      <c r="AQ185" s="337"/>
      <c r="AR185" s="336">
        <f>ROUND((AR13-(AR54+AR57+AR58+AR148+AR165+AR174+AR177)),0)</f>
        <v>0</v>
      </c>
      <c r="AS185" s="336">
        <f>ROUND((AS13-(AS54+AS57+AS58+AS148+AS165+AS174+AS177)),0)</f>
        <v>0</v>
      </c>
      <c r="AT185" s="336">
        <f>ROUND((AT13-(AT54+AT57+AT58+AT148+AT165+AT174+AT177)),0)</f>
        <v>0</v>
      </c>
      <c r="AU185" s="336">
        <f>ROUND((AU13-(AU54+AU57+AU58+AU148+AU165+AU174+AU177)),0)</f>
        <v>0</v>
      </c>
      <c r="AV185" s="337"/>
    </row>
    <row r="186" spans="1:48" s="194" customFormat="1" ht="15.6" customHeight="1" outlineLevel="1" x14ac:dyDescent="0.25">
      <c r="B186" s="334" t="s">
        <v>269</v>
      </c>
      <c r="C186" s="335"/>
      <c r="D186" s="336">
        <f>D18-(D69+D151+D168+D182)</f>
        <v>0</v>
      </c>
      <c r="E186" s="336">
        <f>E18-(E69+E151+E168+E182)</f>
        <v>0</v>
      </c>
      <c r="F186" s="336">
        <f>F18-(F69+F151+F168+F182)</f>
        <v>0</v>
      </c>
      <c r="G186" s="336">
        <f>G18-(G69+G151+G168+G182)</f>
        <v>0</v>
      </c>
      <c r="H186" s="135"/>
      <c r="I186" s="336">
        <f>I18-(I69+I151+I168+I182)</f>
        <v>0</v>
      </c>
      <c r="J186" s="336">
        <f>J18-(J69+J151+J168+J182)</f>
        <v>0</v>
      </c>
      <c r="K186" s="336">
        <f>K18-(K69+K151+K168+K182)</f>
        <v>0</v>
      </c>
      <c r="L186" s="336">
        <f>L18-(L69+L151+L168+L182)</f>
        <v>0</v>
      </c>
      <c r="M186" s="337"/>
      <c r="N186" s="336">
        <f>N18-(N69+N151+N168+N182)</f>
        <v>0</v>
      </c>
      <c r="O186" s="336">
        <f>O18-(O69+O151+O168+O182)</f>
        <v>0</v>
      </c>
      <c r="P186" s="336">
        <f>P18-(P69+P151+P168+P182)</f>
        <v>0</v>
      </c>
      <c r="Q186" s="336">
        <f>Q18-(Q69+Q151+Q168+Q182)</f>
        <v>0</v>
      </c>
      <c r="R186" s="337"/>
      <c r="S186" s="336">
        <f>S18-(S69+S151+S168+S182)</f>
        <v>0</v>
      </c>
      <c r="T186" s="336">
        <f>T18-(T69+T151+T168+T182)</f>
        <v>0</v>
      </c>
      <c r="U186" s="336">
        <f>U18-(U69+U151+U168+U182)</f>
        <v>0</v>
      </c>
      <c r="V186" s="336">
        <f>V18-(V69+V151+V168+V182)</f>
        <v>0</v>
      </c>
      <c r="W186" s="337"/>
      <c r="X186" s="336">
        <f>X18-(X69+X151+X168+X182)</f>
        <v>0</v>
      </c>
      <c r="Y186" s="336">
        <f>Y18-(Y69+Y151+Y168+Y182)</f>
        <v>0</v>
      </c>
      <c r="Z186" s="336">
        <f>Z18-(Z69+Z151+Z168+Z182)</f>
        <v>0</v>
      </c>
      <c r="AA186" s="336">
        <f>AA18-(AA69+AA151+AA168+AA182)</f>
        <v>0</v>
      </c>
      <c r="AB186" s="337"/>
      <c r="AC186" s="336">
        <f>AC18-(AC69+AC151+AC168+AC182)</f>
        <v>0</v>
      </c>
      <c r="AD186" s="336">
        <f>AD18-(AD69+AD151+AD168+AD182)</f>
        <v>0</v>
      </c>
      <c r="AE186" s="336">
        <f>AE18-(AE69+AE151+AE168+AE182)</f>
        <v>0</v>
      </c>
      <c r="AF186" s="336">
        <f>AF18-(AF69+AF151+AF168+AF182)</f>
        <v>0</v>
      </c>
      <c r="AG186" s="337"/>
      <c r="AH186" s="336">
        <f>AH18-(AH69+AH151+AH168+AH182)</f>
        <v>0</v>
      </c>
      <c r="AI186" s="336">
        <f>AI18-(AI69+AI151+AI168+AI182)</f>
        <v>0</v>
      </c>
      <c r="AJ186" s="336">
        <f>AJ18-(AJ69+AJ151+AJ168+AJ182)</f>
        <v>0</v>
      </c>
      <c r="AK186" s="336">
        <f>AK18-(AK69+AK151+AK168+AK182)</f>
        <v>0</v>
      </c>
      <c r="AL186" s="337"/>
      <c r="AM186" s="336">
        <f>AM18-(AM69+AM151+AM168+AM182)</f>
        <v>0</v>
      </c>
      <c r="AN186" s="336">
        <f>AN18-(AN69+AN151+AN168+AN182)</f>
        <v>0</v>
      </c>
      <c r="AO186" s="336">
        <f>AO18-(AO69+AO151+AO168+AO182)</f>
        <v>0</v>
      </c>
      <c r="AP186" s="336">
        <f>AP18-(AP69+AP151+AP168+AP182)</f>
        <v>0</v>
      </c>
      <c r="AQ186" s="337"/>
      <c r="AR186" s="336">
        <f>AR18-(AR69+AR151+AR168+AR182)</f>
        <v>0</v>
      </c>
      <c r="AS186" s="336">
        <f>AS18-(AS69+AS151+AS168+AS182)</f>
        <v>0</v>
      </c>
      <c r="AT186" s="336">
        <f>AT18-(AT69+AT151+AT168+AT182)</f>
        <v>0</v>
      </c>
      <c r="AU186" s="336">
        <f>AU18-(AU69+AU151+AU168+AU182)</f>
        <v>0</v>
      </c>
      <c r="AV186" s="337"/>
    </row>
    <row r="187" spans="1:48" s="194" customFormat="1" ht="15.6" customHeight="1" outlineLevel="1" x14ac:dyDescent="0.25">
      <c r="B187" s="334" t="s">
        <v>270</v>
      </c>
      <c r="C187" s="335"/>
      <c r="D187" s="336">
        <f>D19-(D68+D150+D167+D181)</f>
        <v>0</v>
      </c>
      <c r="E187" s="336">
        <f>E19-(E68+E150+E167+E181)</f>
        <v>0</v>
      </c>
      <c r="F187" s="336">
        <f>F19-(F68+F150+F167+F181)</f>
        <v>0</v>
      </c>
      <c r="G187" s="336">
        <f>G19-(G68+G150+G167+G181)</f>
        <v>0</v>
      </c>
      <c r="H187" s="135"/>
      <c r="I187" s="336">
        <f>I19-(I68+I150+I167+I181)</f>
        <v>0</v>
      </c>
      <c r="J187" s="336">
        <f>J19-(J68+J150+J167+J181)</f>
        <v>0</v>
      </c>
      <c r="K187" s="336">
        <f>K19-(K68+K150+K167+K181)</f>
        <v>0</v>
      </c>
      <c r="L187" s="336">
        <f>L19-(L68+L150+L167+L181)</f>
        <v>0</v>
      </c>
      <c r="M187" s="337"/>
      <c r="N187" s="336">
        <f>N19-(N68+N150+N167+N181)</f>
        <v>0</v>
      </c>
      <c r="O187" s="336">
        <f>O19-(O68+O150+O167+O181)</f>
        <v>0</v>
      </c>
      <c r="P187" s="336">
        <f>P19-(P68+P150+P167+P181)</f>
        <v>0</v>
      </c>
      <c r="Q187" s="336">
        <f>Q19-(Q68+Q150+Q167+Q181)</f>
        <v>0</v>
      </c>
      <c r="R187" s="337"/>
      <c r="S187" s="336">
        <f>S19-(S68+S150+S167+S181)</f>
        <v>0</v>
      </c>
      <c r="T187" s="336">
        <f>T19-(T68+T150+T167+T181)</f>
        <v>0</v>
      </c>
      <c r="U187" s="336">
        <f>U19-(U68+U150+U167+U181)</f>
        <v>0</v>
      </c>
      <c r="V187" s="336">
        <f>V19-(V68+V150+V167+V181)</f>
        <v>0</v>
      </c>
      <c r="W187" s="337"/>
      <c r="X187" s="336">
        <f>X19-(X68+X150+X167+X181)</f>
        <v>0</v>
      </c>
      <c r="Y187" s="336">
        <f>Y19-(Y68+Y150+Y167+Y181)</f>
        <v>0</v>
      </c>
      <c r="Z187" s="336">
        <f>Z19-(Z68+Z150+Z167+Z181)</f>
        <v>0</v>
      </c>
      <c r="AA187" s="336">
        <f>AA19-(AA68+AA150+AA167+AA181)</f>
        <v>0</v>
      </c>
      <c r="AB187" s="337"/>
      <c r="AC187" s="336">
        <f>AC19-(AC68+AC150+AC167+AC181)</f>
        <v>0</v>
      </c>
      <c r="AD187" s="336">
        <f>AD19-(AD68+AD150+AD167+AD181)</f>
        <v>0</v>
      </c>
      <c r="AE187" s="336">
        <f>AE19-(AE68+AE150+AE167+AE181)</f>
        <v>0</v>
      </c>
      <c r="AF187" s="336">
        <f>AF19-(AF68+AF150+AF167+AF181)</f>
        <v>0</v>
      </c>
      <c r="AG187" s="337"/>
      <c r="AH187" s="336">
        <f>AH19-(AH68+AH150+AH167+AH181)</f>
        <v>0</v>
      </c>
      <c r="AI187" s="336">
        <f>AI19-(AI68+AI150+AI167+AI181)</f>
        <v>0</v>
      </c>
      <c r="AJ187" s="336">
        <f>AJ19-(AJ68+AJ150+AJ167+AJ181)</f>
        <v>0</v>
      </c>
      <c r="AK187" s="336">
        <f>AK19-(AK68+AK150+AK167+AK181)</f>
        <v>0</v>
      </c>
      <c r="AL187" s="337"/>
      <c r="AM187" s="336">
        <f>AM19-(AM68+AM150+AM167+AM181)</f>
        <v>0</v>
      </c>
      <c r="AN187" s="336">
        <f>AN19-(AN68+AN150+AN167+AN181)</f>
        <v>0</v>
      </c>
      <c r="AO187" s="336">
        <f>AO19-(AO68+AO150+AO167+AO181)</f>
        <v>0</v>
      </c>
      <c r="AP187" s="336">
        <f>AP19-(AP68+AP150+AP167+AP181)</f>
        <v>0</v>
      </c>
      <c r="AQ187" s="337"/>
      <c r="AR187" s="336">
        <f>AR19-(AR68+AR150+AR167+AR181)</f>
        <v>0</v>
      </c>
      <c r="AS187" s="336">
        <f>AS19-(AS68+AS150+AS167+AS181)</f>
        <v>0</v>
      </c>
      <c r="AT187" s="336">
        <f>AT19-(AT68+AT150+AT167+AT181)</f>
        <v>0</v>
      </c>
      <c r="AU187" s="336">
        <f>AU19-(AU68+AU150+AU167+AU181)</f>
        <v>0</v>
      </c>
      <c r="AV187" s="337"/>
    </row>
    <row r="188" spans="1:48" s="194" customFormat="1" ht="15.6" customHeight="1" outlineLevel="1" x14ac:dyDescent="0.25">
      <c r="B188" s="334" t="s">
        <v>294</v>
      </c>
      <c r="C188" s="335"/>
      <c r="D188" s="336">
        <f>(D15+D16+D17+D20+D21+D23)-(D70+D152+D169)-(D179+D183)+D211</f>
        <v>0</v>
      </c>
      <c r="E188" s="336">
        <f>(E15+E16+E17+E20+E21+E23)-(E70+E152+E169)-(E179+E183)+E211</f>
        <v>0</v>
      </c>
      <c r="F188" s="336">
        <f>(F15+F16+F17+F20+F21+F23)-(F70+F152+F169)-(F179+F183)+F211</f>
        <v>0</v>
      </c>
      <c r="G188" s="336">
        <f>(G15+G16+G17+G20+G21+G23)-(G70+G152+G169)-(G179+G183)+G211</f>
        <v>0</v>
      </c>
      <c r="H188" s="135"/>
      <c r="I188" s="336">
        <f>(I15+I16+I17+I20+I21+I23)-(I70+I152+I169)-(I179+I183)+I211</f>
        <v>0</v>
      </c>
      <c r="J188" s="336">
        <f>(J15+J16+J17+J20+J21+J23)-(J70+J152+J169)-(J179+J183)+J211</f>
        <v>0</v>
      </c>
      <c r="K188" s="336">
        <f>(K15+K16+K17+K20+K21+K23)-(K70+K152+K169)-(K179+K183)+K211</f>
        <v>0</v>
      </c>
      <c r="L188" s="336">
        <f>(L15+L16+L17+L20+L21+L23)-(L70+L152+L169)-(L179+L183)+L211</f>
        <v>0</v>
      </c>
      <c r="M188" s="337"/>
      <c r="N188" s="336">
        <f>(N15+N16+N17+N20+N21+N23)-(N70+N152+N169)-(N179+N183)+N211</f>
        <v>0</v>
      </c>
      <c r="O188" s="336">
        <f>(O15+O16+O17+O20+O21+O23)-(O70+O152+O169)-(O179+O183)+O211</f>
        <v>0</v>
      </c>
      <c r="P188" s="336">
        <f>(P15+P16+P17+P20+P21+P23)-(P70+P152+P169)-(P179+P183)+P211</f>
        <v>0</v>
      </c>
      <c r="Q188" s="336">
        <f>(Q15+Q16+Q17+Q20+Q21+Q23)-(Q70+Q152+Q169)-(Q179+Q183)+Q211</f>
        <v>0</v>
      </c>
      <c r="R188" s="337"/>
      <c r="S188" s="336">
        <f>(S15+S16+S17+S20+S21+S23)-(S70+S152+S169)-(S179+S183)</f>
        <v>0</v>
      </c>
      <c r="T188" s="336">
        <f>(T15+T16+T17+T20+T21+T23)-(T70+T152+T169)-(T179+T183)</f>
        <v>0</v>
      </c>
      <c r="U188" s="336">
        <f>(U15+U16+U17+U20+U21+U23)-(U70+U152+U169)-(U179+U183)</f>
        <v>0</v>
      </c>
      <c r="V188" s="336">
        <f>(V15+V16+V17+V20+V21+V23)-(V70+V152+V169)-(V179+V183)</f>
        <v>0</v>
      </c>
      <c r="W188" s="337"/>
      <c r="X188" s="336">
        <f>(X15+X16+X17+X20+X21+X23)-(X70+X152+X169)-(X179+X183)</f>
        <v>0</v>
      </c>
      <c r="Y188" s="336">
        <f>(Y15+Y16+Y17+Y20+Y21+Y23)-(Y70+Y152+Y169)-(Y179+Y183)</f>
        <v>0</v>
      </c>
      <c r="Z188" s="336">
        <f>(Z15+Z16+Z17+Z20+Z21+Z23)-(Z70+Z152+Z169)-(Z179+Z183)</f>
        <v>1.8189894035458565E-12</v>
      </c>
      <c r="AA188" s="336">
        <f>(AA15+AA16+AA17+AA20+AA21+AA23)-(AA70+AA152+AA169)-(AA179+AA183)</f>
        <v>-1.8189894035458565E-12</v>
      </c>
      <c r="AB188" s="337"/>
      <c r="AC188" s="336">
        <f>(AC15+AC16+AC17+AC20+AC21+AC23)-(AC70+AC152+AC169)-(AC179+AC183)</f>
        <v>0</v>
      </c>
      <c r="AD188" s="336">
        <f>(AD15+AD16+AD17+AD20+AD21+AD23)-(AD70+AD152+AD169)-(AD179+AD183)</f>
        <v>0</v>
      </c>
      <c r="AE188" s="336">
        <f>(AE15+AE16+AE17+AE20+AE21+AE23)-(AE70+AE152+AE169)-(AE179+AE183)</f>
        <v>0</v>
      </c>
      <c r="AF188" s="336">
        <f>(AF15+AF16+AF17+AF20+AF21+AF23)-(AF70+AF152+AF169)-(AF179+AF183)</f>
        <v>1.8189894035458565E-12</v>
      </c>
      <c r="AG188" s="337"/>
      <c r="AH188" s="336">
        <f>(AH15+AH16+AH17+AH20+AH21+AH23)-(AH70+AH152+AH169)-(AH179+AH183)</f>
        <v>0</v>
      </c>
      <c r="AI188" s="336">
        <f>(AI15+AI16+AI17+AI20+AI21+AI23)-(AI70+AI152+AI169)-(AI179+AI183)</f>
        <v>-1.8189894035458565E-12</v>
      </c>
      <c r="AJ188" s="336">
        <f>(AJ15+AJ16+AJ17+AJ20+AJ21+AJ23)-(AJ70+AJ152+AJ169)-(AJ179+AJ183)</f>
        <v>0</v>
      </c>
      <c r="AK188" s="336">
        <f>(AK15+AK16+AK17+AK20+AK21+AK23)-(AK70+AK152+AK169)-(AK179+AK183)</f>
        <v>0</v>
      </c>
      <c r="AL188" s="337"/>
      <c r="AM188" s="336">
        <f>(AM15+AM16+AM17+AM20+AM21+AM23)-(AM70+AM152+AM169)-(AM179+AM183)</f>
        <v>0</v>
      </c>
      <c r="AN188" s="336">
        <f>(AN15+AN16+AN17+AN20+AN21+AN23)-(AN70+AN152+AN169)-(AN179+AN183)</f>
        <v>3.637978807091713E-12</v>
      </c>
      <c r="AO188" s="336">
        <f>(AO15+AO16+AO17+AO20+AO21+AO23)-(AO70+AO152+AO169)-(AO179+AO183)</f>
        <v>1.8189894035458565E-12</v>
      </c>
      <c r="AP188" s="336">
        <f>(AP15+AP16+AP17+AP20+AP21+AP23)-(AP70+AP152+AP169)-(AP179+AP183)</f>
        <v>0</v>
      </c>
      <c r="AQ188" s="337"/>
      <c r="AR188" s="336">
        <f>(AR15+AR16+AR17+AR20+AR21+AR23)-(AR70+AR152+AR169)-(AR179+AR183)</f>
        <v>0</v>
      </c>
      <c r="AS188" s="336">
        <f>(AS15+AS16+AS17+AS20+AS21+AS23)-(AS70+AS152+AS169)-(AS179+AS183)</f>
        <v>0</v>
      </c>
      <c r="AT188" s="336">
        <f>(AT15+AT16+AT17+AT20+AT21+AT23)-(AT70+AT152+AT169)-(AT179+AT183)</f>
        <v>1.8189894035458565E-12</v>
      </c>
      <c r="AU188" s="336">
        <f>(AU15+AU16+AU17+AU20+AU21+AU23)-(AU70+AU152+AU169)-(AU179+AU183)</f>
        <v>0</v>
      </c>
      <c r="AV188" s="337"/>
    </row>
    <row r="189" spans="1:48" s="194" customFormat="1" ht="15.6" customHeight="1" outlineLevel="1" x14ac:dyDescent="0.2">
      <c r="B189" s="334" t="s">
        <v>263</v>
      </c>
      <c r="C189" s="335"/>
      <c r="D189" s="336">
        <f>D25-D72-D154-D171-D178</f>
        <v>-0.1345584499989414</v>
      </c>
      <c r="E189" s="336">
        <f>E25-E72-E154-E171-E178</f>
        <v>-0.18854740000051606</v>
      </c>
      <c r="F189" s="336">
        <f>F25-F72-F154-F171-F178</f>
        <v>0.23544271999935518</v>
      </c>
      <c r="G189" s="336">
        <f>G25-G72-G154-G171-G178</f>
        <v>0.43531089730709027</v>
      </c>
      <c r="H189" s="337"/>
      <c r="I189" s="336">
        <f>I25-I72-I154-I171-I178</f>
        <v>3.059883599917157E-2</v>
      </c>
      <c r="J189" s="336">
        <f>J25-J72-J154-J171-J178</f>
        <v>0.44908465079379312</v>
      </c>
      <c r="K189" s="336">
        <f>K25-K72-K154-K171-K178</f>
        <v>1.0799079999969763E-2</v>
      </c>
      <c r="L189" s="336">
        <f>L25-L72-L154-L171-L178</f>
        <v>0.36157627262582537</v>
      </c>
      <c r="M189" s="337"/>
      <c r="N189" s="336">
        <f>N25-N72-N154-N171-N178</f>
        <v>0.17811454997445253</v>
      </c>
      <c r="O189" s="336">
        <f>O25-O72-O154-O171-O178</f>
        <v>0.11987689403008517</v>
      </c>
      <c r="P189" s="336">
        <f>P25-P72-P154-P171-P178</f>
        <v>-0.32737784092023503</v>
      </c>
      <c r="Q189" s="336">
        <f>Q25-Q72-Q154-Q171-Q178</f>
        <v>0.99999999999818101</v>
      </c>
      <c r="R189" s="337"/>
      <c r="S189" s="336">
        <f>S25-S72-S154-S171-S178</f>
        <v>0.26731275000042842</v>
      </c>
      <c r="T189" s="336">
        <f>T25-T72-T154-T171-T178</f>
        <v>0.78933562999964124</v>
      </c>
      <c r="U189" s="336">
        <f>U25-U72-U154-U171-U178</f>
        <v>6.7424559999153644E-2</v>
      </c>
      <c r="V189" s="336">
        <f>V25-V72-V154-V171-V178</f>
        <v>0.27802348523050568</v>
      </c>
      <c r="W189" s="337"/>
      <c r="X189" s="336">
        <f>X25-X72-X154-X171-X178</f>
        <v>-0.40651722745499796</v>
      </c>
      <c r="Y189" s="336">
        <f>Y25-Y72-Y154-Y171-Y178</f>
        <v>0.12787800589089215</v>
      </c>
      <c r="Z189" s="336">
        <f>Z25-Z72-Z154-Z171-Z178</f>
        <v>-0.38215043825402972</v>
      </c>
      <c r="AA189" s="336">
        <f>AA25-AA72-AA154-AA171-AA178</f>
        <v>-0.32914846873109127</v>
      </c>
      <c r="AB189" s="337"/>
      <c r="AC189" s="336">
        <f>AC25-AC72-AC154-AC171-AC178</f>
        <v>-0.43270858171297277</v>
      </c>
      <c r="AD189" s="336">
        <f>AD25-AD72-AD154-AD171-AD178</f>
        <v>0.43029035820950412</v>
      </c>
      <c r="AE189" s="336">
        <f>AE25-AE72-AE154-AE171-AE178</f>
        <v>0.42275213787837629</v>
      </c>
      <c r="AF189" s="336">
        <f>AF25-AF72-AF154-AF171-AF178</f>
        <v>0.27681931340799792</v>
      </c>
      <c r="AG189" s="337"/>
      <c r="AH189" s="336">
        <f>AH25-AH72-AH154-AH171-AH178</f>
        <v>-0.4873553600256173</v>
      </c>
      <c r="AI189" s="336">
        <f>AI25-AI72-AI154-AI171-AI178</f>
        <v>-5.8001045317723765E-6</v>
      </c>
      <c r="AJ189" s="336">
        <f>AJ25-AJ72-AJ154-AJ171-AJ178</f>
        <v>0.14754024702256174</v>
      </c>
      <c r="AK189" s="336">
        <f>AK25-AK72-AK154-AK171-AK178</f>
        <v>9.4777177820958514E-2</v>
      </c>
      <c r="AL189" s="337"/>
      <c r="AM189" s="336">
        <f>AM25-AM72-AM154-AM171-AM178</f>
        <v>0.30608036457863363</v>
      </c>
      <c r="AN189" s="336">
        <f>AN25-AN72-AN154-AN171-AN178</f>
        <v>0.35980274682628988</v>
      </c>
      <c r="AO189" s="336">
        <f>AO25-AO72-AO154-AO171-AO178</f>
        <v>-0.34678139775701311</v>
      </c>
      <c r="AP189" s="336">
        <f>AP25-AP72-AP154-AP171-AP178</f>
        <v>0.49597816808346806</v>
      </c>
      <c r="AQ189" s="337"/>
      <c r="AR189" s="336">
        <f>AR25-AR72-AR154-AR171-AR178</f>
        <v>-0.14792059902651999</v>
      </c>
      <c r="AS189" s="336">
        <f>AS25-AS72-AS154-AS171-AS178</f>
        <v>0.42077186022623891</v>
      </c>
      <c r="AT189" s="336">
        <f>AT25-AT72-AT154-AT171-AT178</f>
        <v>-4.3445637822287608E-2</v>
      </c>
      <c r="AU189" s="336">
        <f>AU25-AU72-AU154-AU171-AU178</f>
        <v>-0.46170577555875525</v>
      </c>
      <c r="AV189" s="337"/>
    </row>
    <row r="190" spans="1:48" s="53" customFormat="1" ht="15.6" customHeight="1" x14ac:dyDescent="0.25">
      <c r="B190" s="691" t="s">
        <v>271</v>
      </c>
      <c r="C190" s="692"/>
      <c r="D190" s="89" t="s">
        <v>69</v>
      </c>
      <c r="E190" s="89" t="s">
        <v>72</v>
      </c>
      <c r="F190" s="89" t="s">
        <v>73</v>
      </c>
      <c r="G190" s="89" t="s">
        <v>76</v>
      </c>
      <c r="H190" s="396" t="s">
        <v>77</v>
      </c>
      <c r="I190" s="89" t="s">
        <v>78</v>
      </c>
      <c r="J190" s="89" t="s">
        <v>89</v>
      </c>
      <c r="K190" s="89" t="s">
        <v>105</v>
      </c>
      <c r="L190" s="89" t="s">
        <v>109</v>
      </c>
      <c r="M190" s="396" t="s">
        <v>110</v>
      </c>
      <c r="N190" s="89" t="s">
        <v>111</v>
      </c>
      <c r="O190" s="89" t="s">
        <v>112</v>
      </c>
      <c r="P190" s="89" t="s">
        <v>113</v>
      </c>
      <c r="Q190" s="89" t="s">
        <v>114</v>
      </c>
      <c r="R190" s="396" t="s">
        <v>115</v>
      </c>
      <c r="S190" s="89" t="s">
        <v>492</v>
      </c>
      <c r="T190" s="89" t="s">
        <v>734</v>
      </c>
      <c r="U190" s="89" t="s">
        <v>753</v>
      </c>
      <c r="V190" s="89" t="s">
        <v>771</v>
      </c>
      <c r="W190" s="396" t="s">
        <v>773</v>
      </c>
      <c r="X190" s="91" t="s">
        <v>371</v>
      </c>
      <c r="Y190" s="91" t="s">
        <v>372</v>
      </c>
      <c r="Z190" s="91" t="s">
        <v>373</v>
      </c>
      <c r="AA190" s="91" t="s">
        <v>374</v>
      </c>
      <c r="AB190" s="400" t="s">
        <v>375</v>
      </c>
      <c r="AC190" s="91" t="s">
        <v>376</v>
      </c>
      <c r="AD190" s="91" t="s">
        <v>377</v>
      </c>
      <c r="AE190" s="91" t="s">
        <v>378</v>
      </c>
      <c r="AF190" s="91" t="s">
        <v>379</v>
      </c>
      <c r="AG190" s="400" t="s">
        <v>380</v>
      </c>
      <c r="AH190" s="91" t="s">
        <v>381</v>
      </c>
      <c r="AI190" s="91" t="s">
        <v>382</v>
      </c>
      <c r="AJ190" s="91" t="s">
        <v>383</v>
      </c>
      <c r="AK190" s="91" t="s">
        <v>384</v>
      </c>
      <c r="AL190" s="400" t="s">
        <v>385</v>
      </c>
      <c r="AM190" s="91" t="s">
        <v>386</v>
      </c>
      <c r="AN190" s="91" t="s">
        <v>387</v>
      </c>
      <c r="AO190" s="91" t="s">
        <v>388</v>
      </c>
      <c r="AP190" s="91" t="s">
        <v>389</v>
      </c>
      <c r="AQ190" s="400" t="s">
        <v>390</v>
      </c>
      <c r="AR190" s="91" t="s">
        <v>781</v>
      </c>
      <c r="AS190" s="91" t="s">
        <v>782</v>
      </c>
      <c r="AT190" s="91" t="s">
        <v>783</v>
      </c>
      <c r="AU190" s="91" t="s">
        <v>784</v>
      </c>
      <c r="AV190" s="400" t="s">
        <v>785</v>
      </c>
    </row>
    <row r="191" spans="1:48" s="53" customFormat="1" ht="15.6" customHeight="1" outlineLevel="1" x14ac:dyDescent="0.25">
      <c r="B191" s="199" t="s">
        <v>280</v>
      </c>
      <c r="C191" s="284"/>
      <c r="D191" s="138"/>
      <c r="E191" s="138"/>
      <c r="F191" s="138"/>
      <c r="G191" s="138"/>
      <c r="H191" s="229"/>
      <c r="I191" s="138"/>
      <c r="J191" s="138"/>
      <c r="K191" s="138"/>
      <c r="L191" s="138"/>
      <c r="M191" s="209"/>
      <c r="N191" s="138"/>
      <c r="O191" s="138"/>
      <c r="P191" s="138"/>
      <c r="Q191" s="138"/>
      <c r="R191" s="54"/>
      <c r="S191" s="138"/>
      <c r="T191" s="138"/>
      <c r="U191" s="138"/>
      <c r="V191" s="138"/>
      <c r="W191" s="54"/>
      <c r="X191" s="138"/>
      <c r="Y191" s="138"/>
      <c r="Z191" s="138"/>
      <c r="AA191" s="138"/>
      <c r="AB191" s="54"/>
      <c r="AC191" s="138"/>
      <c r="AD191" s="138"/>
      <c r="AE191" s="138"/>
      <c r="AF191" s="138"/>
      <c r="AG191" s="54"/>
      <c r="AH191" s="138"/>
      <c r="AI191" s="138"/>
      <c r="AJ191" s="138"/>
      <c r="AK191" s="138"/>
      <c r="AL191" s="54"/>
      <c r="AM191" s="138"/>
      <c r="AN191" s="138"/>
      <c r="AO191" s="138"/>
      <c r="AP191" s="138"/>
      <c r="AQ191" s="54"/>
      <c r="AR191" s="138"/>
      <c r="AS191" s="138"/>
      <c r="AT191" s="138"/>
      <c r="AU191" s="138"/>
      <c r="AV191" s="54"/>
    </row>
    <row r="192" spans="1:48" s="53" customFormat="1" ht="15.6" customHeight="1" outlineLevel="1" x14ac:dyDescent="0.25">
      <c r="B192" s="282" t="s">
        <v>281</v>
      </c>
      <c r="C192" s="284"/>
      <c r="D192" s="138"/>
      <c r="E192" s="138"/>
      <c r="F192" s="138"/>
      <c r="G192" s="138"/>
      <c r="H192" s="169">
        <v>29602</v>
      </c>
      <c r="I192" s="138"/>
      <c r="J192" s="138"/>
      <c r="K192" s="138"/>
      <c r="L192" s="138"/>
      <c r="M192" s="169">
        <v>29913</v>
      </c>
      <c r="N192" s="138"/>
      <c r="O192" s="138"/>
      <c r="P192" s="138"/>
      <c r="Q192" s="138"/>
      <c r="R192" s="169">
        <v>24820</v>
      </c>
      <c r="S192" s="138"/>
      <c r="T192" s="138"/>
      <c r="U192" s="138"/>
      <c r="V192" s="138"/>
      <c r="W192" s="169">
        <v>28855</v>
      </c>
      <c r="X192" s="138"/>
      <c r="Y192" s="138"/>
      <c r="Z192" s="138"/>
      <c r="AA192" s="138"/>
      <c r="AB192" s="169">
        <f>+W192+AB205-AB204</f>
        <v>29896</v>
      </c>
      <c r="AC192" s="138"/>
      <c r="AD192" s="138"/>
      <c r="AE192" s="138"/>
      <c r="AF192" s="138"/>
      <c r="AG192" s="169">
        <f>+AB192+AG205-AG204</f>
        <v>30981</v>
      </c>
      <c r="AH192" s="138"/>
      <c r="AI192" s="138"/>
      <c r="AJ192" s="138"/>
      <c r="AK192" s="138"/>
      <c r="AL192" s="169">
        <f>+AG192+AL205-AL204</f>
        <v>32074</v>
      </c>
      <c r="AM192" s="138"/>
      <c r="AN192" s="138"/>
      <c r="AO192" s="138"/>
      <c r="AP192" s="138"/>
      <c r="AQ192" s="169">
        <f>+AL192+AQ205-AQ204</f>
        <v>33164</v>
      </c>
      <c r="AR192" s="138"/>
      <c r="AS192" s="138"/>
      <c r="AT192" s="138"/>
      <c r="AU192" s="138"/>
      <c r="AV192" s="169">
        <f>+AQ192+AV205-AV204</f>
        <v>34152</v>
      </c>
    </row>
    <row r="193" spans="1:48" s="53" customFormat="1" ht="15.6" customHeight="1" outlineLevel="1" x14ac:dyDescent="0.4">
      <c r="B193" s="282" t="s">
        <v>282</v>
      </c>
      <c r="C193" s="284"/>
      <c r="D193" s="138"/>
      <c r="E193" s="138"/>
      <c r="F193" s="138"/>
      <c r="G193" s="138"/>
      <c r="H193" s="198">
        <v>24271</v>
      </c>
      <c r="I193" s="138"/>
      <c r="J193" s="138"/>
      <c r="K193" s="138"/>
      <c r="L193" s="138"/>
      <c r="M193" s="198">
        <v>26312</v>
      </c>
      <c r="N193" s="138"/>
      <c r="O193" s="138"/>
      <c r="P193" s="138"/>
      <c r="Q193" s="138"/>
      <c r="R193" s="198">
        <v>23566</v>
      </c>
      <c r="S193" s="138"/>
      <c r="T193" s="138"/>
      <c r="U193" s="138"/>
      <c r="V193" s="138"/>
      <c r="W193" s="198">
        <v>24898</v>
      </c>
      <c r="X193" s="138"/>
      <c r="Y193" s="138"/>
      <c r="Z193" s="138"/>
      <c r="AA193" s="138"/>
      <c r="AB193" s="198">
        <f>W193*(1+AB215)+AB202-AB204</f>
        <v>25757.37</v>
      </c>
      <c r="AC193" s="138"/>
      <c r="AD193" s="138"/>
      <c r="AE193" s="138"/>
      <c r="AF193" s="138"/>
      <c r="AG193" s="198">
        <f>AB193*(1+AG215)+AG202-AG204</f>
        <v>26845.385900000001</v>
      </c>
      <c r="AH193" s="138"/>
      <c r="AI193" s="138"/>
      <c r="AJ193" s="138"/>
      <c r="AK193" s="138"/>
      <c r="AL193" s="198">
        <f>AG193*(1+AL215)+AL202-AL204</f>
        <v>27917.562913000002</v>
      </c>
      <c r="AM193" s="138"/>
      <c r="AN193" s="138"/>
      <c r="AO193" s="138"/>
      <c r="AP193" s="138"/>
      <c r="AQ193" s="198">
        <f>AL193*(1+AQ215)+AQ202-AQ204</f>
        <v>28961.792316910003</v>
      </c>
      <c r="AR193" s="138"/>
      <c r="AS193" s="138"/>
      <c r="AT193" s="138"/>
      <c r="AU193" s="138"/>
      <c r="AV193" s="198">
        <f>AQ193*(1+AV215)+AV202-AV204</f>
        <v>29977.117779093704</v>
      </c>
    </row>
    <row r="194" spans="1:48" s="195" customFormat="1" ht="15.6" customHeight="1" outlineLevel="1" x14ac:dyDescent="0.25">
      <c r="B194" s="285" t="s">
        <v>283</v>
      </c>
      <c r="C194" s="284"/>
      <c r="D194" s="188"/>
      <c r="E194" s="188"/>
      <c r="F194" s="188"/>
      <c r="G194" s="188"/>
      <c r="H194" s="196">
        <f>+H193-H192</f>
        <v>-5331</v>
      </c>
      <c r="I194" s="188"/>
      <c r="J194" s="188"/>
      <c r="K194" s="188"/>
      <c r="L194" s="188"/>
      <c r="M194" s="196">
        <f>+M193-M192</f>
        <v>-3601</v>
      </c>
      <c r="N194" s="188"/>
      <c r="O194" s="188"/>
      <c r="P194" s="188"/>
      <c r="Q194" s="188"/>
      <c r="R194" s="196">
        <f>+R193-R192</f>
        <v>-1254</v>
      </c>
      <c r="S194" s="188"/>
      <c r="T194" s="188"/>
      <c r="U194" s="188"/>
      <c r="V194" s="188"/>
      <c r="W194" s="196">
        <f>+W193-W192</f>
        <v>-3957</v>
      </c>
      <c r="X194" s="188"/>
      <c r="Y194" s="188"/>
      <c r="Z194" s="188"/>
      <c r="AA194" s="188"/>
      <c r="AB194" s="196">
        <f>+AB193-AB192</f>
        <v>-4138.630000000001</v>
      </c>
      <c r="AC194" s="188"/>
      <c r="AD194" s="188"/>
      <c r="AE194" s="188"/>
      <c r="AF194" s="188"/>
      <c r="AG194" s="196">
        <f>+AG193-AG192</f>
        <v>-4135.6140999999989</v>
      </c>
      <c r="AH194" s="188"/>
      <c r="AI194" s="188"/>
      <c r="AJ194" s="188"/>
      <c r="AK194" s="188"/>
      <c r="AL194" s="196">
        <f>+AL193-AL192</f>
        <v>-4156.4370869999984</v>
      </c>
      <c r="AM194" s="188"/>
      <c r="AN194" s="188"/>
      <c r="AO194" s="188"/>
      <c r="AP194" s="188"/>
      <c r="AQ194" s="196">
        <f>+AQ193-AQ192</f>
        <v>-4202.2076830899969</v>
      </c>
      <c r="AR194" s="188"/>
      <c r="AS194" s="188"/>
      <c r="AT194" s="188"/>
      <c r="AU194" s="188"/>
      <c r="AV194" s="196">
        <f>+AV193-AV192</f>
        <v>-4174.8822209062964</v>
      </c>
    </row>
    <row r="195" spans="1:48" s="195" customFormat="1" ht="15.6" customHeight="1" outlineLevel="1" x14ac:dyDescent="0.25">
      <c r="B195" s="731" t="s">
        <v>286</v>
      </c>
      <c r="C195" s="732"/>
      <c r="D195" s="188"/>
      <c r="E195" s="188"/>
      <c r="F195" s="188"/>
      <c r="G195" s="188"/>
      <c r="H195" s="203">
        <f>+H193/H192</f>
        <v>0.8199108168367002</v>
      </c>
      <c r="I195" s="138"/>
      <c r="J195" s="138"/>
      <c r="K195" s="138"/>
      <c r="L195" s="138"/>
      <c r="M195" s="203">
        <f>+M193/M192</f>
        <v>0.87961755758365923</v>
      </c>
      <c r="N195" s="188"/>
      <c r="O195" s="188"/>
      <c r="P195" s="188"/>
      <c r="Q195" s="188"/>
      <c r="R195" s="203">
        <f>+R193/R192</f>
        <v>0.94947622884770344</v>
      </c>
      <c r="S195" s="188"/>
      <c r="T195" s="188"/>
      <c r="U195" s="188"/>
      <c r="V195" s="188"/>
      <c r="W195" s="203">
        <f>+W193/W192</f>
        <v>0.86286605440998099</v>
      </c>
      <c r="X195" s="188"/>
      <c r="Y195" s="188"/>
      <c r="Z195" s="188"/>
      <c r="AA195" s="188"/>
      <c r="AB195" s="203">
        <f>+AB193/AB192</f>
        <v>0.86156576130586027</v>
      </c>
      <c r="AC195" s="188"/>
      <c r="AD195" s="188"/>
      <c r="AE195" s="188"/>
      <c r="AF195" s="188"/>
      <c r="AG195" s="203">
        <f>+AG193/AG192</f>
        <v>0.86651127787999105</v>
      </c>
      <c r="AH195" s="188"/>
      <c r="AI195" s="188"/>
      <c r="AJ195" s="188"/>
      <c r="AK195" s="188"/>
      <c r="AL195" s="203">
        <f>+AL193/AL192</f>
        <v>0.87041101555777267</v>
      </c>
      <c r="AM195" s="188"/>
      <c r="AN195" s="188"/>
      <c r="AO195" s="188"/>
      <c r="AP195" s="188"/>
      <c r="AQ195" s="203">
        <f>+AQ193/AQ192</f>
        <v>0.87329008312959844</v>
      </c>
      <c r="AR195" s="188"/>
      <c r="AS195" s="188"/>
      <c r="AT195" s="188"/>
      <c r="AU195" s="188"/>
      <c r="AV195" s="203">
        <f>+AV193/AV192</f>
        <v>0.87775584970407894</v>
      </c>
    </row>
    <row r="196" spans="1:48" s="195" customFormat="1" ht="15.6" customHeight="1" outlineLevel="1" x14ac:dyDescent="0.25">
      <c r="B196" s="343" t="s">
        <v>313</v>
      </c>
      <c r="C196" s="404"/>
      <c r="D196" s="344"/>
      <c r="E196" s="344"/>
      <c r="F196" s="344"/>
      <c r="G196" s="344"/>
      <c r="H196" s="345"/>
      <c r="I196" s="346"/>
      <c r="J196" s="346"/>
      <c r="K196" s="346"/>
      <c r="L196" s="346"/>
      <c r="M196" s="345"/>
      <c r="N196" s="344"/>
      <c r="O196" s="344"/>
      <c r="P196" s="344"/>
      <c r="Q196" s="344"/>
      <c r="R196" s="345"/>
      <c r="S196" s="344"/>
      <c r="T196" s="344"/>
      <c r="U196" s="344"/>
      <c r="V196" s="344"/>
      <c r="W196" s="345"/>
      <c r="X196" s="344"/>
      <c r="Y196" s="344"/>
      <c r="Z196" s="344"/>
      <c r="AA196" s="344"/>
      <c r="AB196" s="345"/>
      <c r="AC196" s="344"/>
      <c r="AD196" s="344"/>
      <c r="AE196" s="344"/>
      <c r="AF196" s="344"/>
      <c r="AG196" s="345"/>
      <c r="AH196" s="344"/>
      <c r="AI196" s="344"/>
      <c r="AJ196" s="344"/>
      <c r="AK196" s="344"/>
      <c r="AL196" s="345"/>
      <c r="AM196" s="344"/>
      <c r="AN196" s="344"/>
      <c r="AO196" s="344"/>
      <c r="AP196" s="344"/>
      <c r="AQ196" s="345"/>
      <c r="AR196" s="344"/>
      <c r="AS196" s="344"/>
      <c r="AT196" s="344"/>
      <c r="AU196" s="344"/>
      <c r="AV196" s="345"/>
    </row>
    <row r="197" spans="1:48" s="53" customFormat="1" ht="15.6" customHeight="1" outlineLevel="1" x14ac:dyDescent="0.4">
      <c r="B197" s="727" t="s">
        <v>318</v>
      </c>
      <c r="C197" s="728"/>
      <c r="D197" s="167"/>
      <c r="E197" s="167"/>
      <c r="F197" s="167"/>
      <c r="G197" s="167"/>
      <c r="H197" s="331">
        <f>-118-3</f>
        <v>-121</v>
      </c>
      <c r="I197" s="347"/>
      <c r="J197" s="347"/>
      <c r="K197" s="347"/>
      <c r="L197" s="347"/>
      <c r="M197" s="331">
        <f>-118-3+3</f>
        <v>-118</v>
      </c>
      <c r="N197" s="167"/>
      <c r="O197" s="167"/>
      <c r="P197" s="167"/>
      <c r="Q197" s="167"/>
      <c r="R197" s="331">
        <f>-118-2-6</f>
        <v>-126</v>
      </c>
      <c r="S197" s="167"/>
      <c r="T197" s="167"/>
      <c r="U197" s="157"/>
      <c r="V197" s="167"/>
      <c r="W197" s="331">
        <v>-120</v>
      </c>
      <c r="X197" s="167"/>
      <c r="Y197" s="167"/>
      <c r="Z197" s="167"/>
      <c r="AA197" s="167"/>
      <c r="AB197" s="249">
        <f>+W197</f>
        <v>-120</v>
      </c>
      <c r="AC197" s="167"/>
      <c r="AD197" s="167"/>
      <c r="AE197" s="167"/>
      <c r="AF197" s="167"/>
      <c r="AG197" s="249">
        <f>+AB197</f>
        <v>-120</v>
      </c>
      <c r="AH197" s="167"/>
      <c r="AI197" s="167"/>
      <c r="AJ197" s="167"/>
      <c r="AK197" s="167"/>
      <c r="AL197" s="249">
        <f>+AG197</f>
        <v>-120</v>
      </c>
      <c r="AM197" s="167"/>
      <c r="AN197" s="167"/>
      <c r="AO197" s="167"/>
      <c r="AP197" s="167"/>
      <c r="AQ197" s="249">
        <f>+AL197</f>
        <v>-120</v>
      </c>
      <c r="AR197" s="167"/>
      <c r="AS197" s="167"/>
      <c r="AT197" s="167"/>
      <c r="AU197" s="167"/>
      <c r="AV197" s="249">
        <f>+AQ197</f>
        <v>-120</v>
      </c>
    </row>
    <row r="198" spans="1:48" s="195" customFormat="1" ht="15.6" customHeight="1" outlineLevel="1" x14ac:dyDescent="0.4">
      <c r="B198" s="158" t="s">
        <v>314</v>
      </c>
      <c r="C198" s="290"/>
      <c r="D198" s="168"/>
      <c r="E198" s="168"/>
      <c r="F198" s="168"/>
      <c r="G198" s="168"/>
      <c r="H198" s="349">
        <f>+(-74-2)-H197</f>
        <v>45</v>
      </c>
      <c r="I198" s="347"/>
      <c r="J198" s="347"/>
      <c r="K198" s="347"/>
      <c r="L198" s="168"/>
      <c r="M198" s="349">
        <f>+(-74-3+2)-M197</f>
        <v>43</v>
      </c>
      <c r="N198" s="350"/>
      <c r="O198" s="350"/>
      <c r="P198" s="350"/>
      <c r="Q198" s="168"/>
      <c r="R198" s="349">
        <f>+(-83-1-5)-R197</f>
        <v>37</v>
      </c>
      <c r="S198" s="168"/>
      <c r="T198" s="168"/>
      <c r="U198" s="168"/>
      <c r="V198" s="168"/>
      <c r="W198" s="349">
        <v>28</v>
      </c>
      <c r="X198" s="168"/>
      <c r="Y198" s="168"/>
      <c r="Z198" s="168"/>
      <c r="AA198" s="168"/>
      <c r="AB198" s="249">
        <f>+W198</f>
        <v>28</v>
      </c>
      <c r="AC198" s="168"/>
      <c r="AD198" s="168"/>
      <c r="AE198" s="168"/>
      <c r="AF198" s="168"/>
      <c r="AG198" s="249">
        <f>+AB198</f>
        <v>28</v>
      </c>
      <c r="AH198" s="168"/>
      <c r="AI198" s="168"/>
      <c r="AJ198" s="168"/>
      <c r="AK198" s="168"/>
      <c r="AL198" s="249">
        <f>+AG198</f>
        <v>28</v>
      </c>
      <c r="AM198" s="168"/>
      <c r="AN198" s="168"/>
      <c r="AO198" s="168"/>
      <c r="AP198" s="168"/>
      <c r="AQ198" s="249">
        <f>+AL198</f>
        <v>28</v>
      </c>
      <c r="AR198" s="168"/>
      <c r="AS198" s="168"/>
      <c r="AT198" s="168"/>
      <c r="AU198" s="168"/>
      <c r="AV198" s="249">
        <f>+AQ198</f>
        <v>28</v>
      </c>
    </row>
    <row r="199" spans="1:48" s="195" customFormat="1" ht="15.6" customHeight="1" outlineLevel="1" x14ac:dyDescent="0.25">
      <c r="B199" s="144" t="s">
        <v>307</v>
      </c>
      <c r="C199" s="290"/>
      <c r="D199" s="167">
        <v>-31</v>
      </c>
      <c r="E199" s="167">
        <v>-29</v>
      </c>
      <c r="F199" s="167">
        <v>-29</v>
      </c>
      <c r="G199" s="167">
        <f>+H199-F199-E199-D199</f>
        <v>13</v>
      </c>
      <c r="H199" s="331">
        <f>SUM(H197:H198)</f>
        <v>-76</v>
      </c>
      <c r="I199" s="167">
        <f>-30+1</f>
        <v>-29</v>
      </c>
      <c r="J199" s="167">
        <f>-30+1</f>
        <v>-29</v>
      </c>
      <c r="K199" s="167">
        <f>-30-2</f>
        <v>-32</v>
      </c>
      <c r="L199" s="167">
        <f>+M199-K199-J199-I199</f>
        <v>15</v>
      </c>
      <c r="M199" s="331">
        <f>SUM(M197:M198)</f>
        <v>-75</v>
      </c>
      <c r="N199" s="167">
        <v>-30</v>
      </c>
      <c r="O199" s="167">
        <f>-29-1</f>
        <v>-30</v>
      </c>
      <c r="P199" s="167">
        <f>-29+1</f>
        <v>-28</v>
      </c>
      <c r="Q199" s="167">
        <f>+R199-P199-O199-N199</f>
        <v>-1</v>
      </c>
      <c r="R199" s="348">
        <f>SUM(R197:R198)</f>
        <v>-89</v>
      </c>
      <c r="S199" s="167">
        <f>+S293-R293</f>
        <v>-23</v>
      </c>
      <c r="T199" s="167">
        <v>-23</v>
      </c>
      <c r="U199" s="167">
        <v>-23</v>
      </c>
      <c r="V199" s="167">
        <v>-23</v>
      </c>
      <c r="W199" s="331">
        <f>SUM(S199:V199)</f>
        <v>-92</v>
      </c>
      <c r="X199" s="139">
        <f>+W199/4</f>
        <v>-23</v>
      </c>
      <c r="Y199" s="139">
        <f>+W199/4</f>
        <v>-23</v>
      </c>
      <c r="Z199" s="139">
        <f>+W199/4</f>
        <v>-23</v>
      </c>
      <c r="AA199" s="139">
        <f>+W199/4</f>
        <v>-23</v>
      </c>
      <c r="AB199" s="331">
        <f>SUM(X199:AA199)</f>
        <v>-92</v>
      </c>
      <c r="AC199" s="139">
        <f>+AB199/4</f>
        <v>-23</v>
      </c>
      <c r="AD199" s="139">
        <f>+AB199/4</f>
        <v>-23</v>
      </c>
      <c r="AE199" s="139">
        <f>+AB199/4</f>
        <v>-23</v>
      </c>
      <c r="AF199" s="139">
        <f>+AB199/4</f>
        <v>-23</v>
      </c>
      <c r="AG199" s="331">
        <f>SUM(AC199:AF199)</f>
        <v>-92</v>
      </c>
      <c r="AH199" s="139">
        <f>+AG199/4</f>
        <v>-23</v>
      </c>
      <c r="AI199" s="139">
        <f>+AG199/4</f>
        <v>-23</v>
      </c>
      <c r="AJ199" s="139">
        <f>+AG199/4</f>
        <v>-23</v>
      </c>
      <c r="AK199" s="139">
        <f>+AG199/4</f>
        <v>-23</v>
      </c>
      <c r="AL199" s="331">
        <f>SUM(AH199:AK199)</f>
        <v>-92</v>
      </c>
      <c r="AM199" s="139">
        <f>+AL199/4</f>
        <v>-23</v>
      </c>
      <c r="AN199" s="139">
        <f>+AL199/4</f>
        <v>-23</v>
      </c>
      <c r="AO199" s="139">
        <f>+AL199/4</f>
        <v>-23</v>
      </c>
      <c r="AP199" s="139">
        <f>+AL199/4</f>
        <v>-23</v>
      </c>
      <c r="AQ199" s="331">
        <f>SUM(AM199:AP199)</f>
        <v>-92</v>
      </c>
      <c r="AR199" s="139">
        <f>+AQ199/4</f>
        <v>-23</v>
      </c>
      <c r="AS199" s="139">
        <f>+AQ199/4</f>
        <v>-23</v>
      </c>
      <c r="AT199" s="139">
        <f>+AQ199/4</f>
        <v>-23</v>
      </c>
      <c r="AU199" s="139">
        <f>+AQ199/4</f>
        <v>-23</v>
      </c>
      <c r="AV199" s="331">
        <f>SUM(AR199:AU199)</f>
        <v>-92</v>
      </c>
    </row>
    <row r="200" spans="1:48" s="195" customFormat="1" ht="15.6" customHeight="1" outlineLevel="1" x14ac:dyDescent="0.4">
      <c r="B200" s="158" t="s">
        <v>316</v>
      </c>
      <c r="C200" s="290"/>
      <c r="D200" s="168"/>
      <c r="E200" s="168"/>
      <c r="F200" s="168"/>
      <c r="G200" s="168"/>
      <c r="H200" s="331">
        <f>+(H194+H197+H198)+H279</f>
        <v>820</v>
      </c>
      <c r="I200" s="347"/>
      <c r="J200" s="347"/>
      <c r="K200" s="347"/>
      <c r="L200" s="347"/>
      <c r="M200" s="331">
        <f>+(M194+M197+M198)+M279</f>
        <v>811</v>
      </c>
      <c r="N200" s="168"/>
      <c r="O200" s="168"/>
      <c r="P200" s="168"/>
      <c r="Q200" s="168"/>
      <c r="R200" s="331">
        <f>+(R194+R197+R198)+R279</f>
        <v>844</v>
      </c>
      <c r="S200" s="168"/>
      <c r="T200" s="168"/>
      <c r="U200" s="168"/>
      <c r="V200" s="168"/>
      <c r="W200" s="331">
        <f>+(W194+W197+W198)+W279</f>
        <v>1046</v>
      </c>
      <c r="X200" s="168"/>
      <c r="Y200" s="168"/>
      <c r="Z200" s="168"/>
      <c r="AA200" s="168"/>
      <c r="AB200" s="249">
        <f>+W200</f>
        <v>1046</v>
      </c>
      <c r="AC200" s="168"/>
      <c r="AD200" s="168"/>
      <c r="AE200" s="168"/>
      <c r="AF200" s="168"/>
      <c r="AG200" s="249">
        <f>+AB200</f>
        <v>1046</v>
      </c>
      <c r="AH200" s="168"/>
      <c r="AI200" s="168"/>
      <c r="AJ200" s="168"/>
      <c r="AK200" s="168"/>
      <c r="AL200" s="249">
        <f>+AG200</f>
        <v>1046</v>
      </c>
      <c r="AM200" s="168"/>
      <c r="AN200" s="168"/>
      <c r="AO200" s="168"/>
      <c r="AP200" s="168"/>
      <c r="AQ200" s="249">
        <f>+AL200</f>
        <v>1046</v>
      </c>
      <c r="AR200" s="168"/>
      <c r="AS200" s="168"/>
      <c r="AT200" s="168"/>
      <c r="AU200" s="168"/>
      <c r="AV200" s="249">
        <f>+AQ200</f>
        <v>1046</v>
      </c>
    </row>
    <row r="201" spans="1:48" s="195" customFormat="1" ht="15.6" customHeight="1" outlineLevel="1" x14ac:dyDescent="0.4">
      <c r="B201" s="351" t="s">
        <v>315</v>
      </c>
      <c r="C201" s="290"/>
      <c r="D201" s="168"/>
      <c r="E201" s="168"/>
      <c r="F201" s="168"/>
      <c r="G201" s="168"/>
      <c r="H201" s="352">
        <f>+(H194+H197+H198-H200)+H279</f>
        <v>0</v>
      </c>
      <c r="I201" s="347"/>
      <c r="J201" s="347"/>
      <c r="K201" s="347"/>
      <c r="L201" s="347"/>
      <c r="M201" s="352">
        <f>+(M194+M197+M198-M200)+M279</f>
        <v>0</v>
      </c>
      <c r="N201" s="168"/>
      <c r="O201" s="168"/>
      <c r="P201" s="168"/>
      <c r="Q201" s="168"/>
      <c r="R201" s="353">
        <f>+(R194+R197+R198-R200)+R279</f>
        <v>0</v>
      </c>
      <c r="S201" s="168"/>
      <c r="T201" s="168"/>
      <c r="U201" s="168"/>
      <c r="V201" s="168"/>
      <c r="W201" s="353">
        <f>+(W194+W197+W198-W200)+W279</f>
        <v>0</v>
      </c>
      <c r="X201" s="168"/>
      <c r="Y201" s="168"/>
      <c r="Z201" s="168"/>
      <c r="AA201" s="168"/>
      <c r="AB201" s="353">
        <f>+(AB194+AB197+AB198-AB200)+AB279</f>
        <v>0</v>
      </c>
      <c r="AC201" s="168"/>
      <c r="AD201" s="168"/>
      <c r="AE201" s="168"/>
      <c r="AF201" s="168"/>
      <c r="AG201" s="353">
        <f>+(AG194+AG197+AG198-AG200)+AG279</f>
        <v>0</v>
      </c>
      <c r="AH201" s="168"/>
      <c r="AI201" s="168"/>
      <c r="AJ201" s="168"/>
      <c r="AK201" s="168"/>
      <c r="AL201" s="353">
        <f>+(AL194+AL197+AL198-AL200)+AL279</f>
        <v>0</v>
      </c>
      <c r="AM201" s="168"/>
      <c r="AN201" s="168"/>
      <c r="AO201" s="168"/>
      <c r="AP201" s="168"/>
      <c r="AQ201" s="353">
        <f>+(AQ194+AQ197+AQ198-AQ200)+AQ279</f>
        <v>0</v>
      </c>
      <c r="AR201" s="168"/>
      <c r="AS201" s="168"/>
      <c r="AT201" s="168"/>
      <c r="AU201" s="168"/>
      <c r="AV201" s="353">
        <f>+(AV194+AV197+AV198-AV200)+AV279</f>
        <v>0</v>
      </c>
    </row>
    <row r="202" spans="1:48" s="53" customFormat="1" ht="15.6" customHeight="1" outlineLevel="1" x14ac:dyDescent="0.25">
      <c r="B202" s="250" t="s">
        <v>284</v>
      </c>
      <c r="C202" s="405"/>
      <c r="D202" s="201">
        <v>165</v>
      </c>
      <c r="E202" s="201">
        <f>330-D202</f>
        <v>165</v>
      </c>
      <c r="F202" s="201">
        <f>330-E202-D202</f>
        <v>0</v>
      </c>
      <c r="G202" s="201">
        <f>+H202-F202-E202-D202</f>
        <v>396</v>
      </c>
      <c r="H202" s="202">
        <v>726</v>
      </c>
      <c r="I202" s="201">
        <v>250</v>
      </c>
      <c r="J202" s="201">
        <v>250</v>
      </c>
      <c r="K202" s="201">
        <f>1750-J202-I202</f>
        <v>1250</v>
      </c>
      <c r="L202" s="201">
        <f>+M202-K202-J202-I202</f>
        <v>365</v>
      </c>
      <c r="M202" s="202">
        <v>2115</v>
      </c>
      <c r="N202" s="201">
        <v>250</v>
      </c>
      <c r="O202" s="201">
        <f>750-N202</f>
        <v>500</v>
      </c>
      <c r="P202" s="201">
        <f>2500-O202-N202</f>
        <v>1750</v>
      </c>
      <c r="Q202" s="201">
        <f>+R202-P202-O202-N202</f>
        <v>173</v>
      </c>
      <c r="R202" s="202">
        <f>2547+84+42</f>
        <v>2673</v>
      </c>
      <c r="S202" s="201">
        <v>250</v>
      </c>
      <c r="T202" s="201">
        <v>250</v>
      </c>
      <c r="U202" s="201">
        <v>500</v>
      </c>
      <c r="V202" s="201">
        <v>125</v>
      </c>
      <c r="W202" s="202">
        <f>SUM(S202:V202)</f>
        <v>1125</v>
      </c>
      <c r="X202" s="252">
        <v>100</v>
      </c>
      <c r="Y202" s="252">
        <v>100</v>
      </c>
      <c r="Z202" s="252">
        <v>100</v>
      </c>
      <c r="AA202" s="252">
        <v>100</v>
      </c>
      <c r="AB202" s="202">
        <f>SUM(X202:AA202)</f>
        <v>400</v>
      </c>
      <c r="AC202" s="252">
        <v>100</v>
      </c>
      <c r="AD202" s="252">
        <v>100</v>
      </c>
      <c r="AE202" s="252">
        <v>100</v>
      </c>
      <c r="AF202" s="252">
        <v>100</v>
      </c>
      <c r="AG202" s="202">
        <f>SUM(AC202:AF202)</f>
        <v>400</v>
      </c>
      <c r="AH202" s="252">
        <v>100</v>
      </c>
      <c r="AI202" s="252">
        <v>100</v>
      </c>
      <c r="AJ202" s="252">
        <v>100</v>
      </c>
      <c r="AK202" s="252">
        <v>100</v>
      </c>
      <c r="AL202" s="202">
        <f>SUM(AH202:AK202)</f>
        <v>400</v>
      </c>
      <c r="AM202" s="252">
        <v>100</v>
      </c>
      <c r="AN202" s="252">
        <v>100</v>
      </c>
      <c r="AO202" s="252">
        <v>100</v>
      </c>
      <c r="AP202" s="252">
        <v>100</v>
      </c>
      <c r="AQ202" s="202">
        <f>SUM(AM202:AP202)</f>
        <v>400</v>
      </c>
      <c r="AR202" s="252">
        <v>100</v>
      </c>
      <c r="AS202" s="252">
        <v>100</v>
      </c>
      <c r="AT202" s="252">
        <v>100</v>
      </c>
      <c r="AU202" s="252">
        <v>100</v>
      </c>
      <c r="AV202" s="202">
        <f>SUM(AR202:AU202)</f>
        <v>400</v>
      </c>
    </row>
    <row r="203" spans="1:48" s="53" customFormat="1" ht="15.6" customHeight="1" outlineLevel="1" x14ac:dyDescent="0.25">
      <c r="B203" s="122" t="s">
        <v>333</v>
      </c>
      <c r="C203" s="406"/>
      <c r="D203" s="138"/>
      <c r="E203" s="138"/>
      <c r="F203" s="138"/>
      <c r="G203" s="138"/>
      <c r="H203" s="169"/>
      <c r="I203" s="138"/>
      <c r="J203" s="138"/>
      <c r="K203" s="138"/>
      <c r="L203" s="138"/>
      <c r="M203" s="169"/>
      <c r="N203" s="138"/>
      <c r="O203" s="138"/>
      <c r="P203" s="138"/>
      <c r="Q203" s="138">
        <f>-6178-5</f>
        <v>-6183</v>
      </c>
      <c r="R203" s="169">
        <f>+Q203</f>
        <v>-6183</v>
      </c>
      <c r="S203" s="138"/>
      <c r="T203" s="138"/>
      <c r="U203" s="138"/>
      <c r="V203" s="138"/>
      <c r="W203" s="169"/>
      <c r="X203" s="139"/>
      <c r="Y203" s="139"/>
      <c r="Z203" s="139"/>
      <c r="AA203" s="139"/>
      <c r="AB203" s="169"/>
      <c r="AC203" s="139"/>
      <c r="AD203" s="139"/>
      <c r="AE203" s="139"/>
      <c r="AF203" s="139"/>
      <c r="AG203" s="169"/>
      <c r="AH203" s="139"/>
      <c r="AI203" s="139"/>
      <c r="AJ203" s="139"/>
      <c r="AK203" s="139"/>
      <c r="AL203" s="169"/>
      <c r="AM203" s="139"/>
      <c r="AN203" s="139"/>
      <c r="AO203" s="139"/>
      <c r="AP203" s="139"/>
      <c r="AQ203" s="169"/>
      <c r="AR203" s="139"/>
      <c r="AS203" s="139"/>
      <c r="AT203" s="139"/>
      <c r="AU203" s="139"/>
      <c r="AV203" s="169"/>
    </row>
    <row r="204" spans="1:48" s="53" customFormat="1" ht="15.6" customHeight="1" outlineLevel="1" x14ac:dyDescent="0.25">
      <c r="B204" s="122" t="s">
        <v>285</v>
      </c>
      <c r="C204" s="406"/>
      <c r="D204" s="138"/>
      <c r="E204" s="138"/>
      <c r="F204" s="138"/>
      <c r="G204" s="138"/>
      <c r="H204" s="169">
        <v>912</v>
      </c>
      <c r="I204" s="138"/>
      <c r="J204" s="138"/>
      <c r="K204" s="138"/>
      <c r="L204" s="138"/>
      <c r="M204" s="169">
        <v>2310</v>
      </c>
      <c r="N204" s="138"/>
      <c r="O204" s="138"/>
      <c r="P204" s="138"/>
      <c r="Q204" s="138"/>
      <c r="R204" s="169">
        <v>1103</v>
      </c>
      <c r="S204" s="138"/>
      <c r="T204" s="138"/>
      <c r="U204" s="138"/>
      <c r="V204" s="138"/>
      <c r="W204" s="169">
        <f>755+38+123</f>
        <v>916</v>
      </c>
      <c r="X204" s="138"/>
      <c r="Y204" s="138"/>
      <c r="Z204" s="138"/>
      <c r="AA204" s="138"/>
      <c r="AB204" s="821">
        <f>1027+45+87</f>
        <v>1159</v>
      </c>
      <c r="AC204" s="138"/>
      <c r="AD204" s="138"/>
      <c r="AE204" s="138"/>
      <c r="AF204" s="138"/>
      <c r="AG204" s="821">
        <f>971+46+98</f>
        <v>1115</v>
      </c>
      <c r="AH204" s="138"/>
      <c r="AI204" s="138"/>
      <c r="AJ204" s="138"/>
      <c r="AK204" s="138"/>
      <c r="AL204" s="821">
        <f>1051+47+109</f>
        <v>1207</v>
      </c>
      <c r="AM204" s="138"/>
      <c r="AN204" s="138"/>
      <c r="AO204" s="138"/>
      <c r="AP204" s="138"/>
      <c r="AQ204" s="821">
        <f>1138+55+117</f>
        <v>1310</v>
      </c>
      <c r="AR204" s="138"/>
      <c r="AS204" s="138"/>
      <c r="AT204" s="138"/>
      <c r="AU204" s="138"/>
      <c r="AV204" s="821">
        <f>1230+61+121</f>
        <v>1412</v>
      </c>
    </row>
    <row r="205" spans="1:48" s="53" customFormat="1" ht="15.6" customHeight="1" outlineLevel="1" x14ac:dyDescent="0.25">
      <c r="B205" s="354" t="s">
        <v>317</v>
      </c>
      <c r="C205" s="407"/>
      <c r="D205" s="214">
        <f>166+10+11+295</f>
        <v>482</v>
      </c>
      <c r="E205" s="214">
        <f>165+295+10+10</f>
        <v>480</v>
      </c>
      <c r="F205" s="214">
        <f>165+295+10+10</f>
        <v>480</v>
      </c>
      <c r="G205" s="214">
        <f>+H205-F205-E205-D205</f>
        <v>1614</v>
      </c>
      <c r="H205" s="175">
        <f>622+1155+284+40+25-7+907-24+40+42-64+36</f>
        <v>3056</v>
      </c>
      <c r="I205" s="214">
        <f>160+20+9+282+11+10</f>
        <v>492</v>
      </c>
      <c r="J205" s="214">
        <f>160+20+9+282+11+10</f>
        <v>492</v>
      </c>
      <c r="K205" s="214">
        <f>160+20+9+282+11+10</f>
        <v>492</v>
      </c>
      <c r="L205" s="214">
        <f>+M205-K205-J205-I205</f>
        <v>1166</v>
      </c>
      <c r="M205" s="175">
        <f>638+1128+571+83+43+161+26-30+36+39-14-72+33</f>
        <v>2642</v>
      </c>
      <c r="N205" s="214">
        <f>170+23+9+279+12+10</f>
        <v>503</v>
      </c>
      <c r="O205" s="214">
        <f>170+23+9+278+13+9</f>
        <v>502</v>
      </c>
      <c r="P205" s="214">
        <f>169+23+9+279+12+10</f>
        <v>502</v>
      </c>
      <c r="Q205" s="214">
        <f>+R205-P205-O205-N205</f>
        <v>591</v>
      </c>
      <c r="R205" s="175">
        <f>679+97+36+1115+49+39+21-34-9+63+42</f>
        <v>2098</v>
      </c>
      <c r="S205" s="214">
        <f>238+13+10+172+24+9</f>
        <v>466</v>
      </c>
      <c r="T205" s="214">
        <f>172+25+8+238+12+10-30</f>
        <v>435</v>
      </c>
      <c r="U205" s="214">
        <f>173+23+9+517+72+26</f>
        <v>820</v>
      </c>
      <c r="V205" s="214">
        <f>W205-U205-T205-S205</f>
        <v>3546</v>
      </c>
      <c r="W205" s="175">
        <f>689+951+3016+94+49+127+35+40+266</f>
        <v>5267</v>
      </c>
      <c r="X205" s="325">
        <v>550</v>
      </c>
      <c r="Y205" s="325">
        <v>550</v>
      </c>
      <c r="Z205" s="325">
        <v>550</v>
      </c>
      <c r="AA205" s="325">
        <v>550</v>
      </c>
      <c r="AB205" s="175">
        <f>SUM(X205:AA205)</f>
        <v>2200</v>
      </c>
      <c r="AC205" s="325">
        <v>550</v>
      </c>
      <c r="AD205" s="325">
        <v>550</v>
      </c>
      <c r="AE205" s="325">
        <v>550</v>
      </c>
      <c r="AF205" s="325">
        <v>550</v>
      </c>
      <c r="AG205" s="175">
        <f>SUM(AC205:AF205)</f>
        <v>2200</v>
      </c>
      <c r="AH205" s="325">
        <v>575</v>
      </c>
      <c r="AI205" s="325">
        <v>575</v>
      </c>
      <c r="AJ205" s="325">
        <v>575</v>
      </c>
      <c r="AK205" s="325">
        <v>575</v>
      </c>
      <c r="AL205" s="175">
        <f>SUM(AH205:AK205)</f>
        <v>2300</v>
      </c>
      <c r="AM205" s="325">
        <v>600</v>
      </c>
      <c r="AN205" s="325">
        <v>600</v>
      </c>
      <c r="AO205" s="325">
        <v>600</v>
      </c>
      <c r="AP205" s="325">
        <v>600</v>
      </c>
      <c r="AQ205" s="175">
        <f>SUM(AM205:AP205)</f>
        <v>2400</v>
      </c>
      <c r="AR205" s="325">
        <v>600</v>
      </c>
      <c r="AS205" s="325">
        <v>600</v>
      </c>
      <c r="AT205" s="325">
        <v>600</v>
      </c>
      <c r="AU205" s="325">
        <v>600</v>
      </c>
      <c r="AV205" s="175">
        <f>SUM(AR205:AU205)</f>
        <v>2400</v>
      </c>
    </row>
    <row r="206" spans="1:48" s="53" customFormat="1" ht="15.6" customHeight="1" outlineLevel="1" x14ac:dyDescent="0.25">
      <c r="A206" s="228"/>
      <c r="B206" s="355" t="s">
        <v>272</v>
      </c>
      <c r="C206" s="290"/>
      <c r="D206" s="167"/>
      <c r="E206" s="167"/>
      <c r="F206" s="167"/>
      <c r="G206" s="167"/>
      <c r="H206" s="331"/>
      <c r="I206" s="167"/>
      <c r="J206" s="167"/>
      <c r="K206" s="167"/>
      <c r="L206" s="167"/>
      <c r="M206" s="331"/>
      <c r="N206" s="167"/>
      <c r="O206" s="167"/>
      <c r="P206" s="167"/>
      <c r="Q206" s="167"/>
      <c r="R206" s="135"/>
      <c r="S206" s="157"/>
      <c r="T206" s="167"/>
      <c r="U206" s="167"/>
      <c r="V206" s="167"/>
      <c r="W206" s="135"/>
      <c r="X206" s="167"/>
      <c r="Y206" s="167"/>
      <c r="Z206" s="167"/>
      <c r="AA206" s="167"/>
      <c r="AB206" s="135"/>
      <c r="AC206" s="167"/>
      <c r="AD206" s="167"/>
      <c r="AE206" s="167"/>
      <c r="AF206" s="167"/>
      <c r="AG206" s="135"/>
      <c r="AH206" s="167"/>
      <c r="AI206" s="167"/>
      <c r="AJ206" s="167"/>
      <c r="AK206" s="167"/>
      <c r="AL206" s="135"/>
      <c r="AM206" s="167"/>
      <c r="AN206" s="167"/>
      <c r="AO206" s="167"/>
      <c r="AP206" s="167"/>
      <c r="AQ206" s="135"/>
      <c r="AR206" s="167"/>
      <c r="AS206" s="167"/>
      <c r="AT206" s="167"/>
      <c r="AU206" s="167"/>
      <c r="AV206" s="135"/>
    </row>
    <row r="207" spans="1:48" s="53" customFormat="1" ht="15.6" customHeight="1" outlineLevel="1" x14ac:dyDescent="0.25">
      <c r="A207" s="228"/>
      <c r="B207" s="126" t="s">
        <v>273</v>
      </c>
      <c r="C207" s="290"/>
      <c r="D207" s="167"/>
      <c r="E207" s="167"/>
      <c r="F207" s="167"/>
      <c r="G207" s="167">
        <v>1285</v>
      </c>
      <c r="H207" s="331">
        <f>+SUM(D207:G207)</f>
        <v>1285</v>
      </c>
      <c r="I207" s="167"/>
      <c r="J207" s="167"/>
      <c r="K207" s="167"/>
      <c r="L207" s="167">
        <v>-740</v>
      </c>
      <c r="M207" s="331">
        <f>+SUM(I207:L207)</f>
        <v>-740</v>
      </c>
      <c r="N207" s="167"/>
      <c r="O207" s="167"/>
      <c r="P207" s="167"/>
      <c r="Q207" s="167">
        <v>11</v>
      </c>
      <c r="R207" s="331">
        <f>+SUM(N207:Q207)</f>
        <v>11</v>
      </c>
      <c r="S207" s="167"/>
      <c r="T207" s="167"/>
      <c r="U207" s="167"/>
      <c r="V207" s="167">
        <v>476</v>
      </c>
      <c r="W207" s="331">
        <f>SUM(S207:V207)</f>
        <v>476</v>
      </c>
      <c r="X207" s="167"/>
      <c r="Y207" s="167"/>
      <c r="Z207" s="167"/>
      <c r="AA207" s="139">
        <f>-AB218*10000*AB214</f>
        <v>55.00000000000005</v>
      </c>
      <c r="AB207" s="331">
        <f>SUM(X207:AA207)</f>
        <v>55.00000000000005</v>
      </c>
      <c r="AC207" s="167"/>
      <c r="AD207" s="167"/>
      <c r="AE207" s="167"/>
      <c r="AF207" s="139">
        <f>-AG218*10000*AG214</f>
        <v>-55.00000000000005</v>
      </c>
      <c r="AG207" s="331">
        <f>SUM(AC207:AF207)</f>
        <v>-55.00000000000005</v>
      </c>
      <c r="AH207" s="167"/>
      <c r="AI207" s="167"/>
      <c r="AJ207" s="167"/>
      <c r="AK207" s="139">
        <f>-AL218*10000*AL214</f>
        <v>-55.00000000000005</v>
      </c>
      <c r="AL207" s="331">
        <f>SUM(AH207:AK207)</f>
        <v>-55.00000000000005</v>
      </c>
      <c r="AM207" s="167"/>
      <c r="AN207" s="167"/>
      <c r="AO207" s="167"/>
      <c r="AP207" s="139">
        <f>-AQ218*10000*AQ214</f>
        <v>-55.00000000000005</v>
      </c>
      <c r="AQ207" s="331">
        <f>SUM(AM207:AP207)</f>
        <v>-55.00000000000005</v>
      </c>
      <c r="AR207" s="167"/>
      <c r="AS207" s="167"/>
      <c r="AT207" s="167"/>
      <c r="AU207" s="139">
        <f>-AV218*10000*AV214</f>
        <v>-55.00000000000005</v>
      </c>
      <c r="AV207" s="331">
        <f>SUM(AR207:AU207)</f>
        <v>-55.00000000000005</v>
      </c>
    </row>
    <row r="208" spans="1:48" s="53" customFormat="1" ht="15.6" customHeight="1" outlineLevel="1" x14ac:dyDescent="0.25">
      <c r="A208" s="228"/>
      <c r="B208" s="126" t="s">
        <v>332</v>
      </c>
      <c r="C208" s="290"/>
      <c r="D208" s="167"/>
      <c r="E208" s="167"/>
      <c r="F208" s="167"/>
      <c r="G208" s="167"/>
      <c r="H208" s="331"/>
      <c r="I208" s="167"/>
      <c r="J208" s="167"/>
      <c r="K208" s="167"/>
      <c r="L208" s="167">
        <v>0</v>
      </c>
      <c r="M208" s="331">
        <v>0</v>
      </c>
      <c r="N208" s="167"/>
      <c r="O208" s="167"/>
      <c r="P208" s="167"/>
      <c r="Q208" s="167">
        <v>210</v>
      </c>
      <c r="R208" s="331">
        <f>+Q208</f>
        <v>210</v>
      </c>
      <c r="S208" s="167"/>
      <c r="T208" s="167"/>
      <c r="U208" s="167"/>
      <c r="V208" s="167">
        <v>0</v>
      </c>
      <c r="W208" s="331"/>
      <c r="X208" s="167"/>
      <c r="Y208" s="167"/>
      <c r="Z208" s="167"/>
      <c r="AA208" s="139"/>
      <c r="AB208" s="331"/>
      <c r="AC208" s="167"/>
      <c r="AD208" s="167"/>
      <c r="AE208" s="167"/>
      <c r="AF208" s="139"/>
      <c r="AG208" s="331"/>
      <c r="AH208" s="167"/>
      <c r="AI208" s="167"/>
      <c r="AJ208" s="167"/>
      <c r="AK208" s="139"/>
      <c r="AL208" s="331"/>
      <c r="AM208" s="167"/>
      <c r="AN208" s="167"/>
      <c r="AO208" s="167"/>
      <c r="AP208" s="139"/>
      <c r="AQ208" s="331"/>
      <c r="AR208" s="167"/>
      <c r="AS208" s="167"/>
      <c r="AT208" s="167"/>
      <c r="AU208" s="139"/>
      <c r="AV208" s="331"/>
    </row>
    <row r="209" spans="1:48" s="53" customFormat="1" ht="15.6" customHeight="1" outlineLevel="1" x14ac:dyDescent="0.25">
      <c r="A209" s="228"/>
      <c r="B209" s="356" t="s">
        <v>274</v>
      </c>
      <c r="C209" s="290"/>
      <c r="D209" s="167">
        <v>0</v>
      </c>
      <c r="E209" s="167">
        <v>0</v>
      </c>
      <c r="F209" s="167">
        <v>0</v>
      </c>
      <c r="G209" s="167">
        <v>1129</v>
      </c>
      <c r="H209" s="331">
        <f>+SUM(D209:G209)</f>
        <v>1129</v>
      </c>
      <c r="I209" s="167">
        <v>0</v>
      </c>
      <c r="J209" s="167">
        <v>0</v>
      </c>
      <c r="K209" s="167">
        <v>0</v>
      </c>
      <c r="L209" s="167">
        <v>266</v>
      </c>
      <c r="M209" s="331">
        <f>+SUM(I209:L209)</f>
        <v>266</v>
      </c>
      <c r="N209" s="167">
        <v>0</v>
      </c>
      <c r="O209" s="167">
        <v>0</v>
      </c>
      <c r="P209" s="167">
        <v>0</v>
      </c>
      <c r="Q209" s="167">
        <v>-613</v>
      </c>
      <c r="R209" s="331">
        <f>+SUM(N209:Q209)</f>
        <v>-613</v>
      </c>
      <c r="S209" s="167">
        <v>0</v>
      </c>
      <c r="T209" s="167">
        <v>0</v>
      </c>
      <c r="U209" s="167">
        <v>0</v>
      </c>
      <c r="V209" s="167">
        <v>1780</v>
      </c>
      <c r="W209" s="331">
        <f>+SUM(S209:V209)</f>
        <v>1780</v>
      </c>
      <c r="X209" s="167">
        <v>0</v>
      </c>
      <c r="Y209" s="167">
        <v>0</v>
      </c>
      <c r="Z209" s="167">
        <v>0</v>
      </c>
      <c r="AA209" s="139">
        <f>-AB219*10000*AB217</f>
        <v>-155</v>
      </c>
      <c r="AB209" s="216">
        <f>+SUM(X209:AA209)</f>
        <v>-155</v>
      </c>
      <c r="AC209" s="167">
        <v>0</v>
      </c>
      <c r="AD209" s="167">
        <v>0</v>
      </c>
      <c r="AE209" s="167">
        <v>0</v>
      </c>
      <c r="AF209" s="139">
        <f>-AG219*10000*AG217</f>
        <v>0</v>
      </c>
      <c r="AG209" s="216">
        <f>+SUM(AC209:AF209)</f>
        <v>0</v>
      </c>
      <c r="AH209" s="167">
        <v>0</v>
      </c>
      <c r="AI209" s="167">
        <v>0</v>
      </c>
      <c r="AJ209" s="167">
        <v>0</v>
      </c>
      <c r="AK209" s="139">
        <f>-AL219*10000*AL217</f>
        <v>0</v>
      </c>
      <c r="AL209" s="216">
        <f>+SUM(AH209:AK209)</f>
        <v>0</v>
      </c>
      <c r="AM209" s="167">
        <v>0</v>
      </c>
      <c r="AN209" s="167">
        <v>0</v>
      </c>
      <c r="AO209" s="167">
        <v>0</v>
      </c>
      <c r="AP209" s="139">
        <f>-AQ219*10000*AQ217</f>
        <v>0</v>
      </c>
      <c r="AQ209" s="216">
        <f>+SUM(AM209:AP209)</f>
        <v>0</v>
      </c>
      <c r="AR209" s="167">
        <v>0</v>
      </c>
      <c r="AS209" s="167">
        <v>0</v>
      </c>
      <c r="AT209" s="167">
        <v>0</v>
      </c>
      <c r="AU209" s="139">
        <f>-AV219*10000*AV217</f>
        <v>0</v>
      </c>
      <c r="AV209" s="216">
        <f>+SUM(AR209:AU209)</f>
        <v>0</v>
      </c>
    </row>
    <row r="210" spans="1:48" s="53" customFormat="1" ht="15.6" customHeight="1" outlineLevel="1" x14ac:dyDescent="0.4">
      <c r="A210" s="228"/>
      <c r="B210" s="356" t="s">
        <v>275</v>
      </c>
      <c r="C210" s="290"/>
      <c r="D210" s="347">
        <v>0</v>
      </c>
      <c r="E210" s="347">
        <v>0</v>
      </c>
      <c r="F210" s="347">
        <v>0</v>
      </c>
      <c r="G210" s="347">
        <v>-916</v>
      </c>
      <c r="H210" s="349">
        <f>+SUM(D210:G210)</f>
        <v>-916</v>
      </c>
      <c r="I210" s="347">
        <v>0</v>
      </c>
      <c r="J210" s="347">
        <v>0</v>
      </c>
      <c r="K210" s="347">
        <v>0</v>
      </c>
      <c r="L210" s="347">
        <v>450</v>
      </c>
      <c r="M210" s="349">
        <f>+SUM(I210:L210)</f>
        <v>450</v>
      </c>
      <c r="N210" s="347">
        <v>0</v>
      </c>
      <c r="O210" s="347">
        <v>0</v>
      </c>
      <c r="P210" s="347">
        <v>0</v>
      </c>
      <c r="Q210" s="347">
        <v>382</v>
      </c>
      <c r="R210" s="349">
        <f>+SUM(N210:Q210)</f>
        <v>382</v>
      </c>
      <c r="S210" s="347">
        <v>0</v>
      </c>
      <c r="T210" s="347">
        <v>0</v>
      </c>
      <c r="U210" s="347">
        <v>0</v>
      </c>
      <c r="V210" s="347">
        <f>739+887</f>
        <v>1626</v>
      </c>
      <c r="W210" s="349">
        <f>+SUM(S210:V210)</f>
        <v>1626</v>
      </c>
      <c r="X210" s="347">
        <v>0</v>
      </c>
      <c r="Y210" s="347">
        <v>0</v>
      </c>
      <c r="Z210" s="347">
        <v>0</v>
      </c>
      <c r="AA210" s="217">
        <v>0</v>
      </c>
      <c r="AB210" s="218">
        <f>+SUM(X210:AA210)</f>
        <v>0</v>
      </c>
      <c r="AC210" s="347">
        <v>0</v>
      </c>
      <c r="AD210" s="347">
        <v>0</v>
      </c>
      <c r="AE210" s="347">
        <v>0</v>
      </c>
      <c r="AF210" s="217">
        <v>0</v>
      </c>
      <c r="AG210" s="218">
        <f>+SUM(AC210:AF210)</f>
        <v>0</v>
      </c>
      <c r="AH210" s="347">
        <v>0</v>
      </c>
      <c r="AI210" s="347">
        <v>0</v>
      </c>
      <c r="AJ210" s="347">
        <v>0</v>
      </c>
      <c r="AK210" s="217">
        <v>0</v>
      </c>
      <c r="AL210" s="218">
        <f>+SUM(AH210:AK210)</f>
        <v>0</v>
      </c>
      <c r="AM210" s="347">
        <v>0</v>
      </c>
      <c r="AN210" s="347">
        <v>0</v>
      </c>
      <c r="AO210" s="347">
        <v>0</v>
      </c>
      <c r="AP210" s="217">
        <v>0</v>
      </c>
      <c r="AQ210" s="218">
        <f>+SUM(AM210:AP210)</f>
        <v>0</v>
      </c>
      <c r="AR210" s="347">
        <v>0</v>
      </c>
      <c r="AS210" s="347">
        <v>0</v>
      </c>
      <c r="AT210" s="347">
        <v>0</v>
      </c>
      <c r="AU210" s="217">
        <v>0</v>
      </c>
      <c r="AV210" s="218">
        <f>+SUM(AR210:AU210)</f>
        <v>0</v>
      </c>
    </row>
    <row r="211" spans="1:48" s="195" customFormat="1" ht="15.6" customHeight="1" outlineLevel="1" x14ac:dyDescent="0.25">
      <c r="A211" s="674"/>
      <c r="B211" s="163" t="s">
        <v>276</v>
      </c>
      <c r="C211" s="290"/>
      <c r="D211" s="357">
        <f t="shared" ref="D211:AQ211" si="135">SUM(D207:D210)</f>
        <v>0</v>
      </c>
      <c r="E211" s="357">
        <f t="shared" si="135"/>
        <v>0</v>
      </c>
      <c r="F211" s="357">
        <f t="shared" si="135"/>
        <v>0</v>
      </c>
      <c r="G211" s="357">
        <f t="shared" si="135"/>
        <v>1498</v>
      </c>
      <c r="H211" s="358">
        <f t="shared" si="135"/>
        <v>1498</v>
      </c>
      <c r="I211" s="357">
        <f t="shared" si="135"/>
        <v>0</v>
      </c>
      <c r="J211" s="357">
        <f t="shared" si="135"/>
        <v>0</v>
      </c>
      <c r="K211" s="357">
        <f t="shared" si="135"/>
        <v>0</v>
      </c>
      <c r="L211" s="357">
        <f t="shared" si="135"/>
        <v>-24</v>
      </c>
      <c r="M211" s="358">
        <f t="shared" si="135"/>
        <v>-24</v>
      </c>
      <c r="N211" s="357">
        <f t="shared" si="135"/>
        <v>0</v>
      </c>
      <c r="O211" s="357">
        <f t="shared" si="135"/>
        <v>0</v>
      </c>
      <c r="P211" s="357">
        <f t="shared" si="135"/>
        <v>0</v>
      </c>
      <c r="Q211" s="357">
        <f t="shared" si="135"/>
        <v>-10</v>
      </c>
      <c r="R211" s="358">
        <f t="shared" si="135"/>
        <v>-10</v>
      </c>
      <c r="S211" s="357">
        <f t="shared" si="135"/>
        <v>0</v>
      </c>
      <c r="T211" s="357">
        <f t="shared" si="135"/>
        <v>0</v>
      </c>
      <c r="U211" s="357">
        <f t="shared" si="135"/>
        <v>0</v>
      </c>
      <c r="V211" s="357">
        <f>SUM(V207:V210)</f>
        <v>3882</v>
      </c>
      <c r="W211" s="358">
        <f>SUM(W207:W210)</f>
        <v>3882</v>
      </c>
      <c r="X211" s="357">
        <f t="shared" si="135"/>
        <v>0</v>
      </c>
      <c r="Y211" s="357">
        <f t="shared" si="135"/>
        <v>0</v>
      </c>
      <c r="Z211" s="357">
        <f t="shared" si="135"/>
        <v>0</v>
      </c>
      <c r="AA211" s="357">
        <f t="shared" si="135"/>
        <v>-99.999999999999943</v>
      </c>
      <c r="AB211" s="358">
        <f t="shared" si="135"/>
        <v>-99.999999999999943</v>
      </c>
      <c r="AC211" s="357">
        <f t="shared" si="135"/>
        <v>0</v>
      </c>
      <c r="AD211" s="357">
        <f t="shared" si="135"/>
        <v>0</v>
      </c>
      <c r="AE211" s="357">
        <f t="shared" si="135"/>
        <v>0</v>
      </c>
      <c r="AF211" s="357">
        <f t="shared" si="135"/>
        <v>-55.00000000000005</v>
      </c>
      <c r="AG211" s="358">
        <f t="shared" si="135"/>
        <v>-55.00000000000005</v>
      </c>
      <c r="AH211" s="357">
        <f t="shared" si="135"/>
        <v>0</v>
      </c>
      <c r="AI211" s="357">
        <f t="shared" si="135"/>
        <v>0</v>
      </c>
      <c r="AJ211" s="357">
        <f t="shared" si="135"/>
        <v>0</v>
      </c>
      <c r="AK211" s="357">
        <f t="shared" si="135"/>
        <v>-55.00000000000005</v>
      </c>
      <c r="AL211" s="358">
        <f t="shared" si="135"/>
        <v>-55.00000000000005</v>
      </c>
      <c r="AM211" s="357">
        <f t="shared" si="135"/>
        <v>0</v>
      </c>
      <c r="AN211" s="357">
        <f t="shared" si="135"/>
        <v>0</v>
      </c>
      <c r="AO211" s="357">
        <f t="shared" si="135"/>
        <v>0</v>
      </c>
      <c r="AP211" s="357">
        <f t="shared" si="135"/>
        <v>-55.00000000000005</v>
      </c>
      <c r="AQ211" s="358">
        <f t="shared" si="135"/>
        <v>-55.00000000000005</v>
      </c>
      <c r="AR211" s="357">
        <f t="shared" ref="AR211:AV211" si="136">SUM(AR207:AR210)</f>
        <v>0</v>
      </c>
      <c r="AS211" s="357">
        <f t="shared" si="136"/>
        <v>0</v>
      </c>
      <c r="AT211" s="357">
        <f t="shared" si="136"/>
        <v>0</v>
      </c>
      <c r="AU211" s="357">
        <f t="shared" si="136"/>
        <v>-55.00000000000005</v>
      </c>
      <c r="AV211" s="358">
        <f t="shared" si="136"/>
        <v>-55.00000000000005</v>
      </c>
    </row>
    <row r="212" spans="1:48" s="195" customFormat="1" ht="15.6" customHeight="1" outlineLevel="1" x14ac:dyDescent="0.25">
      <c r="A212" s="674"/>
      <c r="B212" s="339" t="s">
        <v>277</v>
      </c>
      <c r="C212" s="408"/>
      <c r="D212" s="340"/>
      <c r="E212" s="340"/>
      <c r="F212" s="340"/>
      <c r="G212" s="340"/>
      <c r="H212" s="341"/>
      <c r="I212" s="340"/>
      <c r="J212" s="340"/>
      <c r="K212" s="340"/>
      <c r="L212" s="340"/>
      <c r="M212" s="341"/>
      <c r="N212" s="340"/>
      <c r="O212" s="340"/>
      <c r="P212" s="340"/>
      <c r="Q212" s="338"/>
      <c r="R212" s="342"/>
      <c r="S212" s="338"/>
      <c r="T212" s="338"/>
      <c r="U212" s="338"/>
      <c r="V212" s="338"/>
      <c r="W212" s="342"/>
      <c r="X212" s="338"/>
      <c r="Y212" s="338"/>
      <c r="Z212" s="338"/>
      <c r="AA212" s="338"/>
      <c r="AB212" s="342"/>
      <c r="AC212" s="338"/>
      <c r="AD212" s="338"/>
      <c r="AE212" s="338"/>
      <c r="AF212" s="338"/>
      <c r="AG212" s="342"/>
      <c r="AH212" s="338"/>
      <c r="AI212" s="338"/>
      <c r="AJ212" s="338"/>
      <c r="AK212" s="338"/>
      <c r="AL212" s="342"/>
      <c r="AM212" s="338"/>
      <c r="AN212" s="338"/>
      <c r="AO212" s="338"/>
      <c r="AP212" s="338"/>
      <c r="AQ212" s="342"/>
      <c r="AR212" s="338"/>
      <c r="AS212" s="338"/>
      <c r="AT212" s="338"/>
      <c r="AU212" s="338"/>
      <c r="AV212" s="342"/>
    </row>
    <row r="213" spans="1:48" s="195" customFormat="1" ht="15.6" customHeight="1" outlineLevel="1" x14ac:dyDescent="0.25">
      <c r="A213" s="674"/>
      <c r="B213" s="282" t="s">
        <v>278</v>
      </c>
      <c r="C213" s="284"/>
      <c r="D213" s="204"/>
      <c r="E213" s="204"/>
      <c r="F213" s="204"/>
      <c r="G213" s="206"/>
      <c r="H213" s="205">
        <v>6.5000000000000002E-2</v>
      </c>
      <c r="I213" s="206"/>
      <c r="J213" s="206"/>
      <c r="K213" s="206"/>
      <c r="L213" s="206"/>
      <c r="M213" s="205">
        <v>6.5000000000000002E-2</v>
      </c>
      <c r="N213" s="108"/>
      <c r="O213" s="108"/>
      <c r="P213" s="108"/>
      <c r="Q213" s="188"/>
      <c r="R213" s="258">
        <v>6.5000000000000002E-2</v>
      </c>
      <c r="S213" s="188"/>
      <c r="T213" s="188"/>
      <c r="U213" s="188"/>
      <c r="V213" s="188"/>
      <c r="W213" s="258">
        <v>6.7500000000000004E-2</v>
      </c>
      <c r="X213" s="188"/>
      <c r="Y213" s="188"/>
      <c r="Z213" s="188"/>
      <c r="AA213" s="188"/>
      <c r="AB213" s="219">
        <f>W213</f>
        <v>6.7500000000000004E-2</v>
      </c>
      <c r="AC213" s="188"/>
      <c r="AD213" s="188"/>
      <c r="AE213" s="188"/>
      <c r="AF213" s="188"/>
      <c r="AG213" s="219">
        <f>AB213</f>
        <v>6.7500000000000004E-2</v>
      </c>
      <c r="AH213" s="188"/>
      <c r="AI213" s="188"/>
      <c r="AJ213" s="188"/>
      <c r="AK213" s="188"/>
      <c r="AL213" s="219">
        <f>AG213</f>
        <v>6.7500000000000004E-2</v>
      </c>
      <c r="AM213" s="188"/>
      <c r="AN213" s="188"/>
      <c r="AO213" s="188"/>
      <c r="AP213" s="188"/>
      <c r="AQ213" s="219">
        <f>AL213</f>
        <v>6.7500000000000004E-2</v>
      </c>
      <c r="AR213" s="188"/>
      <c r="AS213" s="188"/>
      <c r="AT213" s="188"/>
      <c r="AU213" s="188"/>
      <c r="AV213" s="219">
        <f>AQ213</f>
        <v>6.7500000000000004E-2</v>
      </c>
    </row>
    <row r="214" spans="1:48" s="195" customFormat="1" ht="15.6" customHeight="1" outlineLevel="1" x14ac:dyDescent="0.25">
      <c r="A214" s="228"/>
      <c r="B214" s="122" t="s">
        <v>287</v>
      </c>
      <c r="C214" s="284"/>
      <c r="D214" s="223"/>
      <c r="E214" s="223"/>
      <c r="F214" s="223"/>
      <c r="G214" s="224"/>
      <c r="H214" s="212">
        <v>2.2999999999999998</v>
      </c>
      <c r="I214" s="224"/>
      <c r="J214" s="224"/>
      <c r="K214" s="224"/>
      <c r="L214" s="224"/>
      <c r="M214" s="212">
        <v>2.5</v>
      </c>
      <c r="N214" s="222"/>
      <c r="O214" s="222"/>
      <c r="P214" s="222"/>
      <c r="Q214" s="225"/>
      <c r="R214" s="259">
        <v>2.2000000000000002</v>
      </c>
      <c r="S214" s="188"/>
      <c r="T214" s="188"/>
      <c r="U214" s="188"/>
      <c r="V214" s="188"/>
      <c r="W214" s="259">
        <v>2.2000000000000002</v>
      </c>
      <c r="X214" s="188"/>
      <c r="Y214" s="188"/>
      <c r="Z214" s="188"/>
      <c r="AA214" s="188"/>
      <c r="AB214" s="226">
        <f>W214</f>
        <v>2.2000000000000002</v>
      </c>
      <c r="AC214" s="188"/>
      <c r="AD214" s="188"/>
      <c r="AE214" s="188"/>
      <c r="AF214" s="188"/>
      <c r="AG214" s="226">
        <f>AB214</f>
        <v>2.2000000000000002</v>
      </c>
      <c r="AH214" s="188"/>
      <c r="AI214" s="188"/>
      <c r="AJ214" s="188"/>
      <c r="AK214" s="188"/>
      <c r="AL214" s="226">
        <f>AG214</f>
        <v>2.2000000000000002</v>
      </c>
      <c r="AM214" s="188"/>
      <c r="AN214" s="188"/>
      <c r="AO214" s="188"/>
      <c r="AP214" s="188"/>
      <c r="AQ214" s="226">
        <f>AL214</f>
        <v>2.2000000000000002</v>
      </c>
      <c r="AR214" s="188"/>
      <c r="AS214" s="188"/>
      <c r="AT214" s="188"/>
      <c r="AU214" s="188"/>
      <c r="AV214" s="226">
        <f>AQ214</f>
        <v>2.2000000000000002</v>
      </c>
    </row>
    <row r="215" spans="1:48" s="195" customFormat="1" ht="15.6" customHeight="1" outlineLevel="1" x14ac:dyDescent="0.25">
      <c r="A215" s="674"/>
      <c r="B215" s="282" t="s">
        <v>279</v>
      </c>
      <c r="C215" s="284"/>
      <c r="D215" s="108"/>
      <c r="E215" s="108"/>
      <c r="F215" s="108"/>
      <c r="G215" s="108"/>
      <c r="H215" s="205">
        <v>1.2E-2</v>
      </c>
      <c r="I215" s="204"/>
      <c r="J215" s="99"/>
      <c r="K215" s="99"/>
      <c r="L215" s="99"/>
      <c r="M215" s="205">
        <v>9.6000000000000002E-2</v>
      </c>
      <c r="N215" s="204"/>
      <c r="O215" s="108"/>
      <c r="P215" s="108"/>
      <c r="Q215" s="188"/>
      <c r="R215" s="258">
        <v>6.3E-2</v>
      </c>
      <c r="S215" s="188"/>
      <c r="T215" s="188"/>
      <c r="U215" s="188"/>
      <c r="V215" s="188"/>
      <c r="W215" s="258">
        <v>4.0500000000000001E-2</v>
      </c>
      <c r="X215" s="188"/>
      <c r="Y215" s="188"/>
      <c r="Z215" s="188"/>
      <c r="AA215" s="188"/>
      <c r="AB215" s="219">
        <v>6.5000000000000002E-2</v>
      </c>
      <c r="AC215" s="188"/>
      <c r="AD215" s="188"/>
      <c r="AE215" s="188"/>
      <c r="AF215" s="188"/>
      <c r="AG215" s="219">
        <v>7.0000000000000007E-2</v>
      </c>
      <c r="AH215" s="188"/>
      <c r="AI215" s="188"/>
      <c r="AJ215" s="188"/>
      <c r="AK215" s="188"/>
      <c r="AL215" s="219">
        <v>7.0000000000000007E-2</v>
      </c>
      <c r="AM215" s="188"/>
      <c r="AN215" s="188"/>
      <c r="AO215" s="188"/>
      <c r="AP215" s="188"/>
      <c r="AQ215" s="219">
        <v>7.0000000000000007E-2</v>
      </c>
      <c r="AR215" s="188"/>
      <c r="AS215" s="188"/>
      <c r="AT215" s="188"/>
      <c r="AU215" s="188"/>
      <c r="AV215" s="219">
        <v>7.0000000000000007E-2</v>
      </c>
    </row>
    <row r="216" spans="1:48" s="53" customFormat="1" ht="15.6" customHeight="1" outlineLevel="1" x14ac:dyDescent="0.25">
      <c r="A216" s="228"/>
      <c r="B216" s="701" t="s">
        <v>288</v>
      </c>
      <c r="C216" s="702"/>
      <c r="D216" s="211"/>
      <c r="E216" s="211"/>
      <c r="F216" s="211"/>
      <c r="G216" s="211"/>
      <c r="H216" s="210">
        <v>4.0399999999999998E-2</v>
      </c>
      <c r="I216" s="211"/>
      <c r="J216" s="211"/>
      <c r="K216" s="211"/>
      <c r="L216" s="211"/>
      <c r="M216" s="210">
        <v>3.9800000000000002E-2</v>
      </c>
      <c r="N216" s="138"/>
      <c r="O216" s="138"/>
      <c r="P216" s="138"/>
      <c r="Q216" s="138"/>
      <c r="R216" s="210">
        <v>4.1099999999999998E-2</v>
      </c>
      <c r="S216" s="138"/>
      <c r="T216" s="138"/>
      <c r="U216" s="138"/>
      <c r="V216" s="211"/>
      <c r="W216" s="210">
        <v>3.6900000000000002E-2</v>
      </c>
      <c r="X216" s="138"/>
      <c r="Y216" s="138"/>
      <c r="Z216" s="138"/>
      <c r="AA216" s="138"/>
      <c r="AB216" s="220">
        <v>0.04</v>
      </c>
      <c r="AC216" s="138"/>
      <c r="AD216" s="138"/>
      <c r="AE216" s="138"/>
      <c r="AF216" s="138"/>
      <c r="AG216" s="220">
        <f>AB216+AG219</f>
        <v>0.04</v>
      </c>
      <c r="AH216" s="138"/>
      <c r="AI216" s="138"/>
      <c r="AJ216" s="138"/>
      <c r="AK216" s="138"/>
      <c r="AL216" s="220">
        <f>AG216+AL219</f>
        <v>0.04</v>
      </c>
      <c r="AM216" s="138"/>
      <c r="AN216" s="138"/>
      <c r="AO216" s="138"/>
      <c r="AP216" s="138"/>
      <c r="AQ216" s="220">
        <f>AL216+AQ219</f>
        <v>0.04</v>
      </c>
      <c r="AR216" s="138"/>
      <c r="AS216" s="138"/>
      <c r="AT216" s="138"/>
      <c r="AU216" s="138"/>
      <c r="AV216" s="220">
        <f>AQ216+AV219</f>
        <v>0.04</v>
      </c>
    </row>
    <row r="217" spans="1:48" s="53" customFormat="1" ht="15.6" customHeight="1" outlineLevel="1" x14ac:dyDescent="0.25">
      <c r="A217" s="228"/>
      <c r="B217" s="122" t="s">
        <v>293</v>
      </c>
      <c r="C217" s="284"/>
      <c r="D217" s="211"/>
      <c r="E217" s="211"/>
      <c r="F217" s="211"/>
      <c r="G217" s="211"/>
      <c r="H217" s="213">
        <v>38</v>
      </c>
      <c r="I217" s="211"/>
      <c r="J217" s="211"/>
      <c r="K217" s="211"/>
      <c r="L217" s="211"/>
      <c r="M217" s="213">
        <v>34</v>
      </c>
      <c r="N217" s="138"/>
      <c r="O217" s="138"/>
      <c r="P217" s="138"/>
      <c r="Q217" s="138"/>
      <c r="R217" s="230">
        <v>31</v>
      </c>
      <c r="S217" s="138"/>
      <c r="T217" s="138"/>
      <c r="U217" s="138"/>
      <c r="V217" s="138"/>
      <c r="W217" s="230">
        <v>31</v>
      </c>
      <c r="X217" s="138"/>
      <c r="Y217" s="138"/>
      <c r="Z217" s="138"/>
      <c r="AA217" s="138"/>
      <c r="AB217" s="221">
        <f>W217</f>
        <v>31</v>
      </c>
      <c r="AC217" s="138"/>
      <c r="AD217" s="138"/>
      <c r="AE217" s="138"/>
      <c r="AF217" s="138"/>
      <c r="AG217" s="221">
        <f>AB217</f>
        <v>31</v>
      </c>
      <c r="AH217" s="138"/>
      <c r="AI217" s="138"/>
      <c r="AJ217" s="138"/>
      <c r="AK217" s="138"/>
      <c r="AL217" s="221">
        <f>AG217</f>
        <v>31</v>
      </c>
      <c r="AM217" s="138"/>
      <c r="AN217" s="138"/>
      <c r="AO217" s="138"/>
      <c r="AP217" s="138"/>
      <c r="AQ217" s="221">
        <f>AL217</f>
        <v>31</v>
      </c>
      <c r="AR217" s="138"/>
      <c r="AS217" s="138"/>
      <c r="AT217" s="138"/>
      <c r="AU217" s="138"/>
      <c r="AV217" s="221">
        <f>AQ217</f>
        <v>31</v>
      </c>
    </row>
    <row r="218" spans="1:48" s="53" customFormat="1" ht="15.6" customHeight="1" outlineLevel="1" x14ac:dyDescent="0.25">
      <c r="B218" s="282" t="s">
        <v>291</v>
      </c>
      <c r="C218" s="284"/>
      <c r="D218" s="211"/>
      <c r="E218" s="211"/>
      <c r="F218" s="211"/>
      <c r="G218" s="211"/>
      <c r="H218" s="213"/>
      <c r="I218" s="190"/>
      <c r="J218" s="211"/>
      <c r="K218" s="211"/>
      <c r="L218" s="190"/>
      <c r="M218" s="213"/>
      <c r="N218" s="138"/>
      <c r="O218" s="138"/>
      <c r="P218" s="138"/>
      <c r="Q218" s="138"/>
      <c r="R218" s="230"/>
      <c r="S218" s="138"/>
      <c r="T218" s="138"/>
      <c r="U218" s="138"/>
      <c r="V218" s="138"/>
      <c r="W218" s="210">
        <f>+W215-W213</f>
        <v>-2.7000000000000003E-2</v>
      </c>
      <c r="X218" s="138"/>
      <c r="Y218" s="138"/>
      <c r="Z218" s="138"/>
      <c r="AA218" s="138"/>
      <c r="AB218" s="210">
        <f>+AB215-AB213</f>
        <v>-2.5000000000000022E-3</v>
      </c>
      <c r="AC218" s="138"/>
      <c r="AD218" s="138"/>
      <c r="AE218" s="138"/>
      <c r="AF218" s="138"/>
      <c r="AG218" s="210">
        <f>+AG215-AG213</f>
        <v>2.5000000000000022E-3</v>
      </c>
      <c r="AH218" s="138"/>
      <c r="AI218" s="138"/>
      <c r="AJ218" s="138"/>
      <c r="AK218" s="138"/>
      <c r="AL218" s="210">
        <f>+AL215-AL213</f>
        <v>2.5000000000000022E-3</v>
      </c>
      <c r="AM218" s="138"/>
      <c r="AN218" s="138"/>
      <c r="AO218" s="138"/>
      <c r="AP218" s="138"/>
      <c r="AQ218" s="210">
        <f>+AQ215-AQ213</f>
        <v>2.5000000000000022E-3</v>
      </c>
      <c r="AR218" s="138"/>
      <c r="AS218" s="138"/>
      <c r="AT218" s="138"/>
      <c r="AU218" s="138"/>
      <c r="AV218" s="210">
        <f>+AV215-AV213</f>
        <v>2.5000000000000022E-3</v>
      </c>
    </row>
    <row r="219" spans="1:48" s="53" customFormat="1" ht="15.6" customHeight="1" outlineLevel="1" x14ac:dyDescent="0.25">
      <c r="B219" s="282" t="s">
        <v>292</v>
      </c>
      <c r="C219" s="284"/>
      <c r="D219" s="211"/>
      <c r="E219" s="211"/>
      <c r="F219" s="211"/>
      <c r="G219" s="211"/>
      <c r="H219" s="213"/>
      <c r="I219" s="138"/>
      <c r="J219" s="138"/>
      <c r="K219" s="190"/>
      <c r="L219" s="138"/>
      <c r="M219" s="213"/>
      <c r="N219" s="138"/>
      <c r="O219" s="138"/>
      <c r="P219" s="138"/>
      <c r="Q219" s="138"/>
      <c r="R219" s="230"/>
      <c r="S219" s="138"/>
      <c r="T219" s="138"/>
      <c r="U219" s="138"/>
      <c r="V219" s="482"/>
      <c r="W219" s="210">
        <f>+W216-R216</f>
        <v>-4.1999999999999954E-3</v>
      </c>
      <c r="X219" s="419"/>
      <c r="Y219" s="138"/>
      <c r="Z219" s="138"/>
      <c r="AA219" s="138"/>
      <c r="AB219" s="220">
        <v>5.0000000000000001E-4</v>
      </c>
      <c r="AC219" s="138"/>
      <c r="AD219" s="138"/>
      <c r="AE219" s="138"/>
      <c r="AF219" s="138"/>
      <c r="AG219" s="220">
        <v>0</v>
      </c>
      <c r="AH219" s="138"/>
      <c r="AI219" s="138"/>
      <c r="AJ219" s="138"/>
      <c r="AK219" s="138"/>
      <c r="AL219" s="220">
        <f>+AG219</f>
        <v>0</v>
      </c>
      <c r="AM219" s="138"/>
      <c r="AN219" s="138"/>
      <c r="AO219" s="138"/>
      <c r="AP219" s="138"/>
      <c r="AQ219" s="220">
        <f>+AL219</f>
        <v>0</v>
      </c>
      <c r="AR219" s="138"/>
      <c r="AS219" s="138"/>
      <c r="AT219" s="138"/>
      <c r="AU219" s="138"/>
      <c r="AV219" s="220">
        <f>+AQ219</f>
        <v>0</v>
      </c>
    </row>
    <row r="220" spans="1:48" s="53" customFormat="1" ht="15.6" customHeight="1" outlineLevel="1" x14ac:dyDescent="0.25">
      <c r="A220" s="228"/>
      <c r="B220" s="711" t="s">
        <v>290</v>
      </c>
      <c r="C220" s="712"/>
      <c r="D220" s="214"/>
      <c r="E220" s="214"/>
      <c r="F220" s="214"/>
      <c r="G220" s="214"/>
      <c r="H220" s="175"/>
      <c r="I220" s="214"/>
      <c r="J220" s="214"/>
      <c r="K220" s="214"/>
      <c r="L220" s="214"/>
      <c r="M220" s="175"/>
      <c r="N220" s="214"/>
      <c r="O220" s="214"/>
      <c r="P220" s="214"/>
      <c r="Q220" s="214"/>
      <c r="R220" s="215"/>
      <c r="S220" s="214"/>
      <c r="T220" s="214"/>
      <c r="U220" s="214"/>
      <c r="V220" s="214"/>
      <c r="W220" s="215"/>
      <c r="X220" s="418"/>
      <c r="Y220" s="214"/>
      <c r="Z220" s="214"/>
      <c r="AA220" s="214"/>
      <c r="AB220" s="227" t="s">
        <v>289</v>
      </c>
      <c r="AC220" s="214"/>
      <c r="AD220" s="214"/>
      <c r="AE220" s="214"/>
      <c r="AF220" s="214"/>
      <c r="AG220" s="227" t="s">
        <v>289</v>
      </c>
      <c r="AH220" s="214"/>
      <c r="AI220" s="214"/>
      <c r="AJ220" s="214"/>
      <c r="AK220" s="214"/>
      <c r="AL220" s="227" t="s">
        <v>289</v>
      </c>
      <c r="AM220" s="214"/>
      <c r="AN220" s="214"/>
      <c r="AO220" s="214"/>
      <c r="AP220" s="214"/>
      <c r="AQ220" s="227" t="s">
        <v>289</v>
      </c>
      <c r="AR220" s="214"/>
      <c r="AS220" s="214"/>
      <c r="AT220" s="214"/>
      <c r="AU220" s="214"/>
      <c r="AV220" s="227" t="s">
        <v>289</v>
      </c>
    </row>
    <row r="221" spans="1:48" ht="15" customHeight="1" x14ac:dyDescent="0.25">
      <c r="A221" s="53"/>
      <c r="B221" s="691" t="s">
        <v>74</v>
      </c>
      <c r="C221" s="692"/>
      <c r="D221" s="89" t="s">
        <v>69</v>
      </c>
      <c r="E221" s="89" t="s">
        <v>72</v>
      </c>
      <c r="F221" s="89" t="s">
        <v>73</v>
      </c>
      <c r="G221" s="89" t="s">
        <v>76</v>
      </c>
      <c r="H221" s="396" t="s">
        <v>77</v>
      </c>
      <c r="I221" s="89" t="s">
        <v>78</v>
      </c>
      <c r="J221" s="89" t="s">
        <v>89</v>
      </c>
      <c r="K221" s="89" t="s">
        <v>105</v>
      </c>
      <c r="L221" s="89" t="s">
        <v>109</v>
      </c>
      <c r="M221" s="396" t="s">
        <v>110</v>
      </c>
      <c r="N221" s="89" t="s">
        <v>111</v>
      </c>
      <c r="O221" s="89" t="s">
        <v>112</v>
      </c>
      <c r="P221" s="89" t="s">
        <v>113</v>
      </c>
      <c r="Q221" s="89" t="s">
        <v>114</v>
      </c>
      <c r="R221" s="396" t="s">
        <v>115</v>
      </c>
      <c r="S221" s="89" t="s">
        <v>492</v>
      </c>
      <c r="T221" s="89" t="s">
        <v>734</v>
      </c>
      <c r="U221" s="89" t="s">
        <v>753</v>
      </c>
      <c r="V221" s="89" t="s">
        <v>771</v>
      </c>
      <c r="W221" s="396" t="s">
        <v>773</v>
      </c>
      <c r="X221" s="91" t="s">
        <v>371</v>
      </c>
      <c r="Y221" s="91" t="s">
        <v>372</v>
      </c>
      <c r="Z221" s="91" t="s">
        <v>373</v>
      </c>
      <c r="AA221" s="91" t="s">
        <v>374</v>
      </c>
      <c r="AB221" s="400" t="s">
        <v>375</v>
      </c>
      <c r="AC221" s="91" t="s">
        <v>376</v>
      </c>
      <c r="AD221" s="91" t="s">
        <v>377</v>
      </c>
      <c r="AE221" s="91" t="s">
        <v>378</v>
      </c>
      <c r="AF221" s="91" t="s">
        <v>379</v>
      </c>
      <c r="AG221" s="400" t="s">
        <v>380</v>
      </c>
      <c r="AH221" s="91" t="s">
        <v>381</v>
      </c>
      <c r="AI221" s="91" t="s">
        <v>382</v>
      </c>
      <c r="AJ221" s="91" t="s">
        <v>383</v>
      </c>
      <c r="AK221" s="91" t="s">
        <v>384</v>
      </c>
      <c r="AL221" s="400" t="s">
        <v>385</v>
      </c>
      <c r="AM221" s="91" t="s">
        <v>386</v>
      </c>
      <c r="AN221" s="91" t="s">
        <v>387</v>
      </c>
      <c r="AO221" s="91" t="s">
        <v>388</v>
      </c>
      <c r="AP221" s="91" t="s">
        <v>389</v>
      </c>
      <c r="AQ221" s="400" t="s">
        <v>390</v>
      </c>
      <c r="AR221" s="91" t="s">
        <v>781</v>
      </c>
      <c r="AS221" s="91" t="s">
        <v>782</v>
      </c>
      <c r="AT221" s="91" t="s">
        <v>783</v>
      </c>
      <c r="AU221" s="91" t="s">
        <v>784</v>
      </c>
      <c r="AV221" s="400" t="s">
        <v>785</v>
      </c>
    </row>
    <row r="222" spans="1:48" s="110" customFormat="1" outlineLevel="1" x14ac:dyDescent="0.25">
      <c r="A222" s="228"/>
      <c r="B222" s="701" t="s">
        <v>515</v>
      </c>
      <c r="C222" s="702"/>
      <c r="D222" s="231">
        <f>D13/11684-1</f>
        <v>5.0924340979116689E-2</v>
      </c>
      <c r="E222" s="231">
        <f>E13/11939-1</f>
        <v>4.3052181924784216E-2</v>
      </c>
      <c r="F222" s="231">
        <f>F13/11716-1</f>
        <v>8.0061454421304301E-2</v>
      </c>
      <c r="G222" s="231">
        <f>G13/12114-1</f>
        <v>7.1404985966650125E-2</v>
      </c>
      <c r="H222" s="207">
        <f>H13/47453-1</f>
        <v>6.1365983183360395E-2</v>
      </c>
      <c r="I222" s="231">
        <f t="shared" ref="I222:AQ222" si="137">I13/D13-1</f>
        <v>0.19415261829139174</v>
      </c>
      <c r="J222" s="231">
        <f t="shared" si="137"/>
        <v>0.1989881956155144</v>
      </c>
      <c r="K222" s="231">
        <f t="shared" si="137"/>
        <v>0.18515884305357999</v>
      </c>
      <c r="L222" s="231">
        <f t="shared" si="137"/>
        <v>0.2118036828723322</v>
      </c>
      <c r="M222" s="207">
        <f t="shared" si="137"/>
        <v>0.19763724808895056</v>
      </c>
      <c r="N222" s="231">
        <f t="shared" si="137"/>
        <v>4.3238082247834653E-2</v>
      </c>
      <c r="O222" s="231">
        <f t="shared" si="137"/>
        <v>9.2559105217333126E-2</v>
      </c>
      <c r="P222" s="231">
        <f t="shared" si="137"/>
        <v>0.10195372407814896</v>
      </c>
      <c r="Q222" s="231">
        <f t="shared" si="137"/>
        <v>0.10084726513224807</v>
      </c>
      <c r="R222" s="208">
        <f t="shared" si="137"/>
        <v>8.5066492912680758E-2</v>
      </c>
      <c r="S222" s="231">
        <f t="shared" si="137"/>
        <v>0.11472837811335546</v>
      </c>
      <c r="T222" s="231">
        <f t="shared" si="137"/>
        <v>9.2625513394225534E-2</v>
      </c>
      <c r="U222" s="231">
        <f t="shared" si="137"/>
        <v>2.9287183831538277E-2</v>
      </c>
      <c r="V222" s="231">
        <f t="shared" si="137"/>
        <v>2.846659543149066E-2</v>
      </c>
      <c r="W222" s="233">
        <f t="shared" si="137"/>
        <v>6.4826066612504007E-2</v>
      </c>
      <c r="X222" s="231">
        <f t="shared" si="137"/>
        <v>2.8149190710766714E-3</v>
      </c>
      <c r="Y222" s="231">
        <f t="shared" si="137"/>
        <v>1.5484739676840498E-2</v>
      </c>
      <c r="Z222" s="231">
        <f t="shared" si="137"/>
        <v>4.6443268665490978E-2</v>
      </c>
      <c r="AA222" s="231">
        <f t="shared" si="137"/>
        <v>2.7685741562307076E-2</v>
      </c>
      <c r="AB222" s="207">
        <f t="shared" si="137"/>
        <v>2.3058269840586565E-2</v>
      </c>
      <c r="AC222" s="231">
        <f t="shared" si="137"/>
        <v>5.3042449365402922E-2</v>
      </c>
      <c r="AD222" s="231">
        <f t="shared" si="137"/>
        <v>4.2647042114347666E-2</v>
      </c>
      <c r="AE222" s="231">
        <f t="shared" si="137"/>
        <v>3.6082608915966263E-2</v>
      </c>
      <c r="AF222" s="231">
        <f t="shared" si="137"/>
        <v>6.9879355756131245E-2</v>
      </c>
      <c r="AG222" s="207">
        <f t="shared" si="137"/>
        <v>5.0490883526780994E-2</v>
      </c>
      <c r="AH222" s="231">
        <f t="shared" si="137"/>
        <v>4.3766030207054829E-2</v>
      </c>
      <c r="AI222" s="231">
        <f t="shared" si="137"/>
        <v>4.5504013443757652E-2</v>
      </c>
      <c r="AJ222" s="231">
        <f t="shared" si="137"/>
        <v>4.6591364749126285E-2</v>
      </c>
      <c r="AK222" s="231">
        <f t="shared" si="137"/>
        <v>4.5656835948501451E-2</v>
      </c>
      <c r="AL222" s="207">
        <f t="shared" si="137"/>
        <v>4.5393858540832444E-2</v>
      </c>
      <c r="AM222" s="231">
        <f t="shared" si="137"/>
        <v>4.1082736630274619E-2</v>
      </c>
      <c r="AN222" s="231">
        <f t="shared" si="137"/>
        <v>4.0737200788946826E-2</v>
      </c>
      <c r="AO222" s="231">
        <f t="shared" si="137"/>
        <v>3.9953549241540376E-2</v>
      </c>
      <c r="AP222" s="231">
        <f t="shared" si="137"/>
        <v>3.8144597578553485E-2</v>
      </c>
      <c r="AQ222" s="207">
        <f t="shared" si="137"/>
        <v>3.9949092731975444E-2</v>
      </c>
      <c r="AR222" s="231">
        <f t="shared" ref="AR222" si="138">AR13/AM13-1</f>
        <v>3.5592469855705966E-2</v>
      </c>
      <c r="AS222" s="231">
        <f t="shared" ref="AS222" si="139">AS13/AN13-1</f>
        <v>3.4504577998975661E-2</v>
      </c>
      <c r="AT222" s="231">
        <f t="shared" ref="AT222" si="140">AT13/AO13-1</f>
        <v>3.3362112602395078E-2</v>
      </c>
      <c r="AU222" s="231">
        <f t="shared" ref="AU222" si="141">AU13/AP13-1</f>
        <v>3.1551558639545396E-2</v>
      </c>
      <c r="AV222" s="207">
        <f t="shared" ref="AV222" si="142">AV13/AQ13-1</f>
        <v>3.3713601805219096E-2</v>
      </c>
    </row>
    <row r="223" spans="1:48" s="110" customFormat="1" outlineLevel="1" x14ac:dyDescent="0.25">
      <c r="A223" s="228"/>
      <c r="B223" s="687" t="s">
        <v>28</v>
      </c>
      <c r="C223" s="688"/>
      <c r="D223" s="192">
        <f t="shared" ref="D223:AQ223" si="143">D25/D13</f>
        <v>9.3167196025734991E-2</v>
      </c>
      <c r="E223" s="192">
        <f t="shared" si="143"/>
        <v>9.1303300409539864E-2</v>
      </c>
      <c r="F223" s="192">
        <f t="shared" si="143"/>
        <v>6.8278805120910391E-2</v>
      </c>
      <c r="G223" s="192">
        <f t="shared" si="143"/>
        <v>-5.2392326065182218E-3</v>
      </c>
      <c r="H223" s="233">
        <f t="shared" si="143"/>
        <v>6.1094013699990075E-2</v>
      </c>
      <c r="I223" s="192">
        <f t="shared" si="143"/>
        <v>7.8565095819409403E-2</v>
      </c>
      <c r="J223" s="192">
        <f t="shared" si="143"/>
        <v>7.0658361797602307E-2</v>
      </c>
      <c r="K223" s="192">
        <f t="shared" si="143"/>
        <v>6.0812162432486494E-2</v>
      </c>
      <c r="L223" s="192">
        <f t="shared" si="143"/>
        <v>9.2001525940996948E-2</v>
      </c>
      <c r="M223" s="233">
        <f t="shared" si="143"/>
        <v>7.5697541404864135E-2</v>
      </c>
      <c r="N223" s="192">
        <f t="shared" si="143"/>
        <v>6.3476498659867944E-2</v>
      </c>
      <c r="O223" s="192">
        <f t="shared" si="143"/>
        <v>6.8350395390179605E-2</v>
      </c>
      <c r="P223" s="192">
        <f t="shared" si="143"/>
        <v>5.1918189519544959E-2</v>
      </c>
      <c r="Q223" s="192">
        <f t="shared" si="143"/>
        <v>7.6707643366776518E-2</v>
      </c>
      <c r="R223" s="233">
        <f t="shared" si="143"/>
        <v>6.5272995807042725E-2</v>
      </c>
      <c r="S223" s="192">
        <f t="shared" si="143"/>
        <v>6.2807881773399021E-2</v>
      </c>
      <c r="T223" s="192">
        <f t="shared" si="143"/>
        <v>6.5529622980251348E-2</v>
      </c>
      <c r="U223" s="192">
        <f t="shared" si="143"/>
        <v>5.3556731334509111E-2</v>
      </c>
      <c r="V223" s="192">
        <f t="shared" si="143"/>
        <v>7.3903521087212889E-2</v>
      </c>
      <c r="W223" s="233">
        <f t="shared" si="143"/>
        <v>6.4081041137560441E-2</v>
      </c>
      <c r="X223" s="192">
        <f t="shared" si="143"/>
        <v>5.0781536740025481E-2</v>
      </c>
      <c r="Y223" s="192">
        <f t="shared" si="143"/>
        <v>5.839406814233631E-2</v>
      </c>
      <c r="Z223" s="192">
        <f t="shared" si="143"/>
        <v>5.0761510490163426E-2</v>
      </c>
      <c r="AA223" s="192">
        <f t="shared" si="143"/>
        <v>9.5582674113099453E-2</v>
      </c>
      <c r="AB223" s="208">
        <f t="shared" si="143"/>
        <v>6.4207780289275609E-2</v>
      </c>
      <c r="AC223" s="192">
        <f t="shared" si="143"/>
        <v>6.0412993329718973E-2</v>
      </c>
      <c r="AD223" s="192">
        <f t="shared" si="143"/>
        <v>6.7163602546038106E-2</v>
      </c>
      <c r="AE223" s="192">
        <f t="shared" si="143"/>
        <v>5.9101759037437335E-2</v>
      </c>
      <c r="AF223" s="192">
        <f t="shared" si="143"/>
        <v>0.10647639918715006</v>
      </c>
      <c r="AG223" s="208">
        <f t="shared" si="143"/>
        <v>7.3831960136981775E-2</v>
      </c>
      <c r="AH223" s="192">
        <f t="shared" si="143"/>
        <v>6.340874327955856E-2</v>
      </c>
      <c r="AI223" s="192">
        <f t="shared" si="143"/>
        <v>7.1717555310790104E-2</v>
      </c>
      <c r="AJ223" s="192">
        <f t="shared" si="143"/>
        <v>6.3871279369418166E-2</v>
      </c>
      <c r="AK223" s="192">
        <f t="shared" si="143"/>
        <v>0.11283404576055338</v>
      </c>
      <c r="AL223" s="208">
        <f t="shared" si="143"/>
        <v>7.8539461994809615E-2</v>
      </c>
      <c r="AM223" s="192">
        <f t="shared" si="143"/>
        <v>6.3262182836431313E-2</v>
      </c>
      <c r="AN223" s="192">
        <f t="shared" si="143"/>
        <v>7.1383393525536784E-2</v>
      </c>
      <c r="AO223" s="192">
        <f t="shared" si="143"/>
        <v>6.3477281181932382E-2</v>
      </c>
      <c r="AP223" s="192">
        <f t="shared" si="143"/>
        <v>0.11249017559802089</v>
      </c>
      <c r="AQ223" s="208">
        <f t="shared" si="143"/>
        <v>7.8212260463684236E-2</v>
      </c>
      <c r="AR223" s="192">
        <f t="shared" ref="AR223:AV223" si="144">AR25/AR13</f>
        <v>6.242904668980475E-2</v>
      </c>
      <c r="AS223" s="192">
        <f t="shared" si="144"/>
        <v>7.0295482513983362E-2</v>
      </c>
      <c r="AT223" s="192">
        <f t="shared" si="144"/>
        <v>6.2295859665794942E-2</v>
      </c>
      <c r="AU223" s="192">
        <f t="shared" si="144"/>
        <v>0.11130378377942482</v>
      </c>
      <c r="AV223" s="208">
        <f t="shared" si="144"/>
        <v>7.7111664280677172E-2</v>
      </c>
    </row>
    <row r="224" spans="1:48" s="110" customFormat="1" outlineLevel="1" x14ac:dyDescent="0.25">
      <c r="A224" s="228"/>
      <c r="B224" s="687" t="s">
        <v>514</v>
      </c>
      <c r="C224" s="688"/>
      <c r="D224" s="192">
        <f t="shared" ref="D224:AQ224" si="145">+D27/D13</f>
        <v>9.3167196025734991E-2</v>
      </c>
      <c r="E224" s="192">
        <f t="shared" si="145"/>
        <v>9.1303300409539864E-2</v>
      </c>
      <c r="F224" s="192">
        <f t="shared" si="145"/>
        <v>6.8278805120910391E-2</v>
      </c>
      <c r="G224" s="192">
        <f t="shared" si="145"/>
        <v>-5.2392326065182218E-3</v>
      </c>
      <c r="H224" s="233">
        <f t="shared" si="145"/>
        <v>6.1094013699990075E-2</v>
      </c>
      <c r="I224" s="192">
        <f t="shared" si="145"/>
        <v>8.3168519402577912E-2</v>
      </c>
      <c r="J224" s="192">
        <f t="shared" si="145"/>
        <v>7.4509409952447925E-2</v>
      </c>
      <c r="K224" s="192">
        <f t="shared" si="145"/>
        <v>6.601320264052811E-2</v>
      </c>
      <c r="L224" s="192">
        <f t="shared" si="145"/>
        <v>0.10376398779247202</v>
      </c>
      <c r="M224" s="233">
        <f t="shared" si="145"/>
        <v>8.2130008786617817E-2</v>
      </c>
      <c r="N224" s="192">
        <f t="shared" si="145"/>
        <v>7.125580179120089E-2</v>
      </c>
      <c r="O224" s="192">
        <f t="shared" si="145"/>
        <v>7.5829093361123034E-2</v>
      </c>
      <c r="P224" s="192">
        <f t="shared" si="145"/>
        <v>5.8332324821493406E-2</v>
      </c>
      <c r="Q224" s="192">
        <f t="shared" si="145"/>
        <v>0.10599009206019853</v>
      </c>
      <c r="R224" s="233">
        <f t="shared" si="145"/>
        <v>7.8336377882052999E-2</v>
      </c>
      <c r="S224" s="192">
        <f t="shared" si="145"/>
        <v>6.9903823598404885E-2</v>
      </c>
      <c r="T224" s="192">
        <f t="shared" si="145"/>
        <v>7.4506283662477552E-2</v>
      </c>
      <c r="U224" s="192">
        <f t="shared" si="145"/>
        <v>5.7848324514991181E-2</v>
      </c>
      <c r="V224" s="192">
        <f t="shared" si="145"/>
        <v>9.636659740551469E-2</v>
      </c>
      <c r="W224" s="233">
        <f t="shared" si="145"/>
        <v>7.489991821273298E-2</v>
      </c>
      <c r="X224" s="192">
        <f t="shared" si="145"/>
        <v>6.3208437324820801E-2</v>
      </c>
      <c r="Y224" s="192">
        <f t="shared" si="145"/>
        <v>6.7371968694822496E-2</v>
      </c>
      <c r="Z224" s="192">
        <f t="shared" si="145"/>
        <v>5.6182858804770169E-2</v>
      </c>
      <c r="AA224" s="192">
        <f t="shared" si="145"/>
        <v>0.10036409487812678</v>
      </c>
      <c r="AB224" s="208">
        <f t="shared" si="145"/>
        <v>7.2047892491239135E-2</v>
      </c>
      <c r="AC224" s="192">
        <f t="shared" si="145"/>
        <v>6.4578034268879425E-2</v>
      </c>
      <c r="AD224" s="192">
        <f t="shared" si="145"/>
        <v>6.9813042699462105E-2</v>
      </c>
      <c r="AE224" s="192">
        <f t="shared" si="145"/>
        <v>6.0945349831369372E-2</v>
      </c>
      <c r="AF224" s="192">
        <f t="shared" si="145"/>
        <v>0.10647639918715006</v>
      </c>
      <c r="AG224" s="208">
        <f t="shared" si="145"/>
        <v>7.5954790577697912E-2</v>
      </c>
      <c r="AH224" s="192">
        <f t="shared" si="145"/>
        <v>6.340874327955856E-2</v>
      </c>
      <c r="AI224" s="192">
        <f t="shared" si="145"/>
        <v>7.1717555310790104E-2</v>
      </c>
      <c r="AJ224" s="192">
        <f t="shared" si="145"/>
        <v>6.3871279369418166E-2</v>
      </c>
      <c r="AK224" s="192">
        <f t="shared" si="145"/>
        <v>0.11283404576055338</v>
      </c>
      <c r="AL224" s="208">
        <f t="shared" si="145"/>
        <v>7.8539461994809615E-2</v>
      </c>
      <c r="AM224" s="192">
        <f t="shared" si="145"/>
        <v>6.3262182836431313E-2</v>
      </c>
      <c r="AN224" s="192">
        <f t="shared" si="145"/>
        <v>7.1383393525536784E-2</v>
      </c>
      <c r="AO224" s="192">
        <f t="shared" si="145"/>
        <v>6.3477281181932382E-2</v>
      </c>
      <c r="AP224" s="192">
        <f t="shared" si="145"/>
        <v>0.11249017559802089</v>
      </c>
      <c r="AQ224" s="208">
        <f t="shared" si="145"/>
        <v>7.8212260463684236E-2</v>
      </c>
      <c r="AR224" s="192">
        <f t="shared" ref="AR224:AV224" si="146">+AR27/AR13</f>
        <v>6.242904668980475E-2</v>
      </c>
      <c r="AS224" s="192">
        <f t="shared" si="146"/>
        <v>7.0295482513983362E-2</v>
      </c>
      <c r="AT224" s="192">
        <f t="shared" si="146"/>
        <v>6.2295859665794942E-2</v>
      </c>
      <c r="AU224" s="192">
        <f t="shared" si="146"/>
        <v>0.11130378377942482</v>
      </c>
      <c r="AV224" s="208">
        <f t="shared" si="146"/>
        <v>7.7111664280677172E-2</v>
      </c>
    </row>
    <row r="225" spans="1:48" s="110" customFormat="1" outlineLevel="1" x14ac:dyDescent="0.25">
      <c r="A225" s="228"/>
      <c r="B225" s="511" t="s">
        <v>516</v>
      </c>
      <c r="C225" s="512"/>
      <c r="D225" s="192"/>
      <c r="E225" s="192"/>
      <c r="F225" s="192"/>
      <c r="G225" s="192"/>
      <c r="H225" s="233"/>
      <c r="I225" s="192"/>
      <c r="J225" s="192"/>
      <c r="K225" s="192"/>
      <c r="L225" s="192"/>
      <c r="M225" s="233">
        <f>+M45/H45-1</f>
        <v>0.85705339645100276</v>
      </c>
      <c r="N225" s="192"/>
      <c r="O225" s="192"/>
      <c r="P225" s="192"/>
      <c r="Q225" s="192"/>
      <c r="R225" s="233">
        <f>+R45/M45-1</f>
        <v>0.26678573434812791</v>
      </c>
      <c r="S225" s="192"/>
      <c r="T225" s="192"/>
      <c r="U225" s="192"/>
      <c r="V225" s="192"/>
      <c r="W225" s="233">
        <f>+W45/R45-1</f>
        <v>1.3158082302272778E-2</v>
      </c>
      <c r="X225" s="192"/>
      <c r="Y225" s="192"/>
      <c r="Z225" s="192"/>
      <c r="AA225" s="192"/>
      <c r="AB225" s="836">
        <f>+AB45/W45-1</f>
        <v>-5.2585541686022919E-2</v>
      </c>
      <c r="AC225" s="192"/>
      <c r="AD225" s="192"/>
      <c r="AE225" s="192"/>
      <c r="AF225" s="192"/>
      <c r="AG225" s="233">
        <f>+AG45/AB45-1</f>
        <v>0.1126310098660781</v>
      </c>
      <c r="AH225" s="192"/>
      <c r="AI225" s="192"/>
      <c r="AJ225" s="192"/>
      <c r="AK225" s="192"/>
      <c r="AL225" s="233">
        <f>+AL45/AG45-1</f>
        <v>9.2834243175623277E-2</v>
      </c>
      <c r="AM225" s="192"/>
      <c r="AN225" s="192"/>
      <c r="AO225" s="192"/>
      <c r="AP225" s="192"/>
      <c r="AQ225" s="233">
        <f>+AQ45/AL45-1</f>
        <v>3.4195697612619425E-2</v>
      </c>
      <c r="AR225" s="192"/>
      <c r="AS225" s="192"/>
      <c r="AT225" s="192"/>
      <c r="AU225" s="192"/>
      <c r="AV225" s="233">
        <f>+AV45/AQ45-1</f>
        <v>1.866833919090527E-2</v>
      </c>
    </row>
    <row r="226" spans="1:48" outlineLevel="1" x14ac:dyDescent="0.25">
      <c r="A226" s="53"/>
      <c r="B226" s="234" t="s">
        <v>297</v>
      </c>
      <c r="C226" s="95"/>
      <c r="D226" s="232">
        <f t="shared" ref="D226:AQ226" si="147">+D15/D13</f>
        <v>0.36851535141298153</v>
      </c>
      <c r="E226" s="232">
        <f t="shared" si="147"/>
        <v>0.36697984421424557</v>
      </c>
      <c r="F226" s="232">
        <f t="shared" si="147"/>
        <v>0.37237237237237236</v>
      </c>
      <c r="G226" s="232">
        <f t="shared" si="147"/>
        <v>0.3678249479929116</v>
      </c>
      <c r="H226" s="208">
        <f t="shared" si="147"/>
        <v>0.36892683411098975</v>
      </c>
      <c r="I226" s="232">
        <f t="shared" si="147"/>
        <v>0.36220418741048899</v>
      </c>
      <c r="J226" s="232">
        <f t="shared" si="147"/>
        <v>0.35851583952849775</v>
      </c>
      <c r="K226" s="232">
        <f t="shared" si="147"/>
        <v>0.35973861438954458</v>
      </c>
      <c r="L226" s="232">
        <f t="shared" si="147"/>
        <v>0.34861393692777215</v>
      </c>
      <c r="M226" s="208">
        <f t="shared" si="147"/>
        <v>0.35713456788076725</v>
      </c>
      <c r="N226" s="232">
        <f t="shared" si="147"/>
        <v>0.36072432503105184</v>
      </c>
      <c r="O226" s="232">
        <f t="shared" si="147"/>
        <v>0.35198921105866487</v>
      </c>
      <c r="P226" s="232">
        <f t="shared" si="147"/>
        <v>0.3619145588769212</v>
      </c>
      <c r="Q226" s="232">
        <f t="shared" si="147"/>
        <v>0.34457413985198371</v>
      </c>
      <c r="R226" s="208">
        <f t="shared" si="147"/>
        <v>0.35457533077750103</v>
      </c>
      <c r="S226" s="232">
        <f t="shared" si="147"/>
        <v>0.36711236218625382</v>
      </c>
      <c r="T226" s="232">
        <f t="shared" si="147"/>
        <v>0.35121184919210052</v>
      </c>
      <c r="U226" s="232">
        <f t="shared" si="147"/>
        <v>0.35679012345679012</v>
      </c>
      <c r="V226" s="232">
        <f t="shared" si="147"/>
        <v>0.34744763295333297</v>
      </c>
      <c r="W226" s="208">
        <f t="shared" si="147"/>
        <v>0.35550198728710203</v>
      </c>
      <c r="X226" s="232">
        <f t="shared" si="147"/>
        <v>0.37144294768907543</v>
      </c>
      <c r="Y226" s="232">
        <f t="shared" si="147"/>
        <v>0.35447362845831176</v>
      </c>
      <c r="Z226" s="232">
        <f t="shared" si="147"/>
        <v>0.35676885519361623</v>
      </c>
      <c r="AA226" s="232">
        <f t="shared" si="147"/>
        <v>0.34534875777677315</v>
      </c>
      <c r="AB226" s="208">
        <f t="shared" si="147"/>
        <v>0.35677440351107925</v>
      </c>
      <c r="AC226" s="232">
        <f t="shared" si="147"/>
        <v>0.36719455344395879</v>
      </c>
      <c r="AD226" s="232">
        <f t="shared" si="147"/>
        <v>0.35020327646077604</v>
      </c>
      <c r="AE226" s="232">
        <f t="shared" si="147"/>
        <v>0.35229591264505489</v>
      </c>
      <c r="AF226" s="232">
        <f t="shared" si="147"/>
        <v>0.34095308878684244</v>
      </c>
      <c r="AG226" s="208">
        <f t="shared" si="147"/>
        <v>0.35238549040625722</v>
      </c>
      <c r="AH226" s="232">
        <f t="shared" si="147"/>
        <v>0.36360740225413463</v>
      </c>
      <c r="AI226" s="232">
        <f t="shared" si="147"/>
        <v>0.34614624330018301</v>
      </c>
      <c r="AJ226" s="232">
        <f t="shared" si="147"/>
        <v>0.34814319233192142</v>
      </c>
      <c r="AK226" s="232">
        <f t="shared" si="147"/>
        <v>0.33613416536344576</v>
      </c>
      <c r="AL226" s="208">
        <f t="shared" si="147"/>
        <v>0.34821207367066354</v>
      </c>
      <c r="AM226" s="232">
        <f t="shared" si="147"/>
        <v>0.362023921697955</v>
      </c>
      <c r="AN226" s="232">
        <f t="shared" si="147"/>
        <v>0.34468980681195854</v>
      </c>
      <c r="AO226" s="232">
        <f t="shared" si="147"/>
        <v>0.34666576511901459</v>
      </c>
      <c r="AP226" s="232">
        <f t="shared" si="147"/>
        <v>0.33461476896308523</v>
      </c>
      <c r="AQ226" s="208">
        <f t="shared" si="147"/>
        <v>0.34671261413289867</v>
      </c>
      <c r="AR226" s="232">
        <f t="shared" ref="AR226:AV226" si="148">+AR15/AR13</f>
        <v>0.3604752164443964</v>
      </c>
      <c r="AS226" s="232">
        <f t="shared" si="148"/>
        <v>0.34327047163840962</v>
      </c>
      <c r="AT226" s="232">
        <f t="shared" si="148"/>
        <v>0.3452191678566558</v>
      </c>
      <c r="AU226" s="232">
        <f t="shared" si="148"/>
        <v>0.3331686301170132</v>
      </c>
      <c r="AV226" s="208">
        <f t="shared" si="148"/>
        <v>0.34526134063851605</v>
      </c>
    </row>
    <row r="227" spans="1:48" outlineLevel="1" x14ac:dyDescent="0.25">
      <c r="A227" s="53"/>
      <c r="B227" s="282" t="s">
        <v>296</v>
      </c>
      <c r="C227" s="281"/>
      <c r="D227" s="232">
        <f t="shared" ref="D227:AQ227" si="149">+D16/D13</f>
        <v>0.19089502402475772</v>
      </c>
      <c r="E227" s="232">
        <f t="shared" si="149"/>
        <v>0.20380631173211275</v>
      </c>
      <c r="F227" s="232">
        <f t="shared" si="149"/>
        <v>0.20728623360202308</v>
      </c>
      <c r="G227" s="232">
        <f t="shared" si="149"/>
        <v>0.18961399183296093</v>
      </c>
      <c r="H227" s="208">
        <f t="shared" si="149"/>
        <v>0.19787550878586319</v>
      </c>
      <c r="I227" s="232">
        <f t="shared" si="149"/>
        <v>0.22096433199208892</v>
      </c>
      <c r="J227" s="232">
        <f t="shared" si="149"/>
        <v>0.22979036903087535</v>
      </c>
      <c r="K227" s="232">
        <f t="shared" si="149"/>
        <v>0.23324664932986597</v>
      </c>
      <c r="L227" s="232">
        <f t="shared" si="149"/>
        <v>0.2200534079348932</v>
      </c>
      <c r="M227" s="208">
        <f t="shared" si="149"/>
        <v>0.22596528457036755</v>
      </c>
      <c r="N227" s="232">
        <f t="shared" si="149"/>
        <v>0.22520755703732759</v>
      </c>
      <c r="O227" s="232">
        <f t="shared" si="149"/>
        <v>0.23539508367559614</v>
      </c>
      <c r="P227" s="232">
        <f t="shared" si="149"/>
        <v>0.23810964540723709</v>
      </c>
      <c r="Q227" s="232">
        <f t="shared" si="149"/>
        <v>0.2241522354618754</v>
      </c>
      <c r="R227" s="208">
        <f t="shared" si="149"/>
        <v>0.23072530142073699</v>
      </c>
      <c r="S227" s="232">
        <f t="shared" si="149"/>
        <v>0.23264133239502699</v>
      </c>
      <c r="T227" s="232">
        <f t="shared" si="149"/>
        <v>0.24382854578096949</v>
      </c>
      <c r="U227" s="232">
        <f t="shared" si="149"/>
        <v>0.25002939447383893</v>
      </c>
      <c r="V227" s="232">
        <f t="shared" si="149"/>
        <v>0.22957263997304431</v>
      </c>
      <c r="W227" s="208">
        <f t="shared" si="149"/>
        <v>0.23896230611395691</v>
      </c>
      <c r="X227" s="232">
        <f t="shared" si="149"/>
        <v>0.23538565071606427</v>
      </c>
      <c r="Y227" s="232">
        <f t="shared" si="149"/>
        <v>0.24609303343128161</v>
      </c>
      <c r="Z227" s="232">
        <f t="shared" si="149"/>
        <v>0.25001449021889111</v>
      </c>
      <c r="AA227" s="232">
        <f t="shared" si="149"/>
        <v>0.22818582863931611</v>
      </c>
      <c r="AB227" s="208">
        <f t="shared" si="149"/>
        <v>0.2399079540301072</v>
      </c>
      <c r="AC227" s="232">
        <f t="shared" si="149"/>
        <v>0.23269341749395925</v>
      </c>
      <c r="AD227" s="232">
        <f t="shared" si="149"/>
        <v>0.24312834496781671</v>
      </c>
      <c r="AE227" s="232">
        <f t="shared" si="149"/>
        <v>0.24687996646554927</v>
      </c>
      <c r="AF227" s="232">
        <f t="shared" si="149"/>
        <v>0.22528143315995022</v>
      </c>
      <c r="AG227" s="208">
        <f t="shared" si="149"/>
        <v>0.23687821721365207</v>
      </c>
      <c r="AH227" s="232">
        <f t="shared" si="149"/>
        <v>0.23042021800992846</v>
      </c>
      <c r="AI227" s="232">
        <f t="shared" si="149"/>
        <v>0.24031175293651683</v>
      </c>
      <c r="AJ227" s="232">
        <f t="shared" si="149"/>
        <v>0.24396984626588597</v>
      </c>
      <c r="AK227" s="232">
        <f t="shared" si="149"/>
        <v>0.22209737643539132</v>
      </c>
      <c r="AL227" s="208">
        <f t="shared" si="149"/>
        <v>0.23407671759060159</v>
      </c>
      <c r="AM227" s="232">
        <f t="shared" si="149"/>
        <v>0.22941675676929518</v>
      </c>
      <c r="AN227" s="232">
        <f t="shared" si="149"/>
        <v>0.23930062306785491</v>
      </c>
      <c r="AO227" s="232">
        <f t="shared" si="149"/>
        <v>0.24293450305670936</v>
      </c>
      <c r="AP227" s="232">
        <f t="shared" si="149"/>
        <v>0.22109345005997938</v>
      </c>
      <c r="AQ227" s="208">
        <f t="shared" si="149"/>
        <v>0.23306902112619515</v>
      </c>
      <c r="AR227" s="232">
        <f t="shared" ref="AR227:AV227" si="150">+AR16/AR13</f>
        <v>0.22843533284902889</v>
      </c>
      <c r="AS227" s="232">
        <f t="shared" si="150"/>
        <v>0.23831525075727289</v>
      </c>
      <c r="AT227" s="232">
        <f t="shared" si="150"/>
        <v>0.24192076468847534</v>
      </c>
      <c r="AU227" s="232">
        <f t="shared" si="150"/>
        <v>0.2201379279001697</v>
      </c>
      <c r="AV227" s="208">
        <f t="shared" si="150"/>
        <v>0.23209070214325811</v>
      </c>
    </row>
    <row r="228" spans="1:48" outlineLevel="1" x14ac:dyDescent="0.25">
      <c r="A228" s="53"/>
      <c r="B228" s="234" t="s">
        <v>295</v>
      </c>
      <c r="C228" s="95"/>
      <c r="D228" s="232">
        <f t="shared" ref="D228:AQ228" si="151">+D19/D13</f>
        <v>5.7985177946086812E-2</v>
      </c>
      <c r="E228" s="232">
        <f t="shared" si="151"/>
        <v>4.9385690195133704E-2</v>
      </c>
      <c r="F228" s="232">
        <f t="shared" si="151"/>
        <v>4.2437174016121383E-2</v>
      </c>
      <c r="G228" s="232">
        <f t="shared" si="151"/>
        <v>4.1220433007165422E-2</v>
      </c>
      <c r="H228" s="208">
        <f t="shared" si="151"/>
        <v>4.7632284324431652E-2</v>
      </c>
      <c r="I228" s="232">
        <f t="shared" si="151"/>
        <v>4.4329264134215375E-2</v>
      </c>
      <c r="J228" s="232">
        <f t="shared" si="151"/>
        <v>4.4069385841537738E-2</v>
      </c>
      <c r="K228" s="232">
        <f t="shared" si="151"/>
        <v>4.9009801960392077E-2</v>
      </c>
      <c r="L228" s="232">
        <f t="shared" si="151"/>
        <v>4.6414038657171926E-2</v>
      </c>
      <c r="M228" s="208">
        <f t="shared" si="151"/>
        <v>4.5972247550523052E-2</v>
      </c>
      <c r="N228" s="232">
        <f t="shared" si="151"/>
        <v>4.5956723540563509E-2</v>
      </c>
      <c r="O228" s="232">
        <f t="shared" si="151"/>
        <v>5.0144056887145225E-2</v>
      </c>
      <c r="P228" s="232">
        <f t="shared" si="151"/>
        <v>5.5306789301706405E-2</v>
      </c>
      <c r="Q228" s="232">
        <f t="shared" si="151"/>
        <v>5.4233174207343728E-2</v>
      </c>
      <c r="R228" s="208">
        <f t="shared" si="151"/>
        <v>5.1550703065596094E-2</v>
      </c>
      <c r="S228" s="232">
        <f t="shared" si="151"/>
        <v>5.7823129251700682E-2</v>
      </c>
      <c r="T228" s="232">
        <f t="shared" si="151"/>
        <v>5.9021543985637345E-2</v>
      </c>
      <c r="U228" s="232">
        <f t="shared" si="151"/>
        <v>5.3321575543797767E-2</v>
      </c>
      <c r="V228" s="232">
        <f t="shared" si="151"/>
        <v>5.3012860111192231E-2</v>
      </c>
      <c r="W228" s="208">
        <f t="shared" si="151"/>
        <v>5.580187393281965E-2</v>
      </c>
      <c r="X228" s="232">
        <f t="shared" si="151"/>
        <v>5.5618676880793069E-2</v>
      </c>
      <c r="Y228" s="232">
        <f t="shared" si="151"/>
        <v>5.483214241877362E-2</v>
      </c>
      <c r="Z228" s="232">
        <f t="shared" si="151"/>
        <v>5.4678483947428129E-2</v>
      </c>
      <c r="AA228" s="232">
        <f t="shared" si="151"/>
        <v>5.1219832404897012E-2</v>
      </c>
      <c r="AB228" s="208">
        <f t="shared" si="151"/>
        <v>5.4055274890816275E-2</v>
      </c>
      <c r="AC228" s="232">
        <f t="shared" si="151"/>
        <v>5.3342541157426766E-2</v>
      </c>
      <c r="AD228" s="232">
        <f t="shared" si="151"/>
        <v>5.3430516976528994E-2</v>
      </c>
      <c r="AE228" s="232">
        <f t="shared" si="151"/>
        <v>5.3782867849043868E-2</v>
      </c>
      <c r="AF228" s="232">
        <f t="shared" si="151"/>
        <v>4.9204891801489244E-2</v>
      </c>
      <c r="AG228" s="208">
        <f t="shared" si="151"/>
        <v>5.2391549419291208E-2</v>
      </c>
      <c r="AH228" s="232">
        <f t="shared" si="151"/>
        <v>5.5778547550408279E-2</v>
      </c>
      <c r="AI228" s="232">
        <f t="shared" si="151"/>
        <v>5.5955159226471943E-2</v>
      </c>
      <c r="AJ228" s="232">
        <f t="shared" si="151"/>
        <v>5.632829179911325E-2</v>
      </c>
      <c r="AK228" s="232">
        <f t="shared" si="151"/>
        <v>5.1635853784847537E-2</v>
      </c>
      <c r="AL228" s="208">
        <f t="shared" si="151"/>
        <v>5.4875398724442401E-2</v>
      </c>
      <c r="AM228" s="232">
        <f t="shared" si="151"/>
        <v>5.6757883505761005E-2</v>
      </c>
      <c r="AN228" s="232">
        <f t="shared" si="151"/>
        <v>5.7079751401384021E-2</v>
      </c>
      <c r="AO228" s="232">
        <f t="shared" si="151"/>
        <v>5.746300503239752E-2</v>
      </c>
      <c r="AP228" s="232">
        <f t="shared" si="151"/>
        <v>5.2814529731553483E-2</v>
      </c>
      <c r="AQ228" s="208">
        <f t="shared" si="151"/>
        <v>5.5983610796419697E-2</v>
      </c>
      <c r="AR228" s="232">
        <f t="shared" ref="AR228:AV228" si="152">+AR19/AR13</f>
        <v>5.8130675119219336E-2</v>
      </c>
      <c r="AS228" s="232">
        <f t="shared" si="152"/>
        <v>5.8623761996941089E-2</v>
      </c>
      <c r="AT228" s="232">
        <f t="shared" si="152"/>
        <v>5.9033397557016122E-2</v>
      </c>
      <c r="AU228" s="232">
        <f t="shared" si="152"/>
        <v>5.4391571894936319E-2</v>
      </c>
      <c r="AV228" s="208">
        <f t="shared" si="152"/>
        <v>5.7503662886680774E-2</v>
      </c>
    </row>
    <row r="229" spans="1:48" s="110" customFormat="1" outlineLevel="1" x14ac:dyDescent="0.25">
      <c r="A229" s="228"/>
      <c r="B229" s="750" t="s">
        <v>2</v>
      </c>
      <c r="C229" s="751"/>
      <c r="D229" s="359">
        <f t="shared" ref="D229:T229" si="153">+D37/D35</f>
        <v>0.36162361623616235</v>
      </c>
      <c r="E229" s="359">
        <f t="shared" si="153"/>
        <v>0.34502369668246446</v>
      </c>
      <c r="F229" s="359">
        <f t="shared" si="153"/>
        <v>0.35166240409207161</v>
      </c>
      <c r="G229" s="359">
        <f t="shared" si="153"/>
        <v>0.61325966850828728</v>
      </c>
      <c r="H229" s="360">
        <f t="shared" si="153"/>
        <v>0.33576642335766421</v>
      </c>
      <c r="I229" s="359">
        <f t="shared" si="153"/>
        <v>0.37390542907180385</v>
      </c>
      <c r="J229" s="359">
        <f t="shared" si="153"/>
        <v>0.35064935064935066</v>
      </c>
      <c r="K229" s="359">
        <f t="shared" si="153"/>
        <v>0.37486095661846497</v>
      </c>
      <c r="L229" s="359">
        <f t="shared" si="153"/>
        <v>0.30136986301369861</v>
      </c>
      <c r="M229" s="360">
        <f t="shared" si="153"/>
        <v>0.34549028172089974</v>
      </c>
      <c r="N229" s="359">
        <f t="shared" si="153"/>
        <v>0.39307535641547864</v>
      </c>
      <c r="O229" s="359">
        <f t="shared" si="153"/>
        <v>0.31957857769973663</v>
      </c>
      <c r="P229" s="359">
        <f t="shared" si="153"/>
        <v>-1.3729977116704806</v>
      </c>
      <c r="Q229" s="359">
        <f t="shared" si="153"/>
        <v>0.17008733828723618</v>
      </c>
      <c r="R229" s="360">
        <f t="shared" si="153"/>
        <v>-5.0308677204853956E-2</v>
      </c>
      <c r="S229" s="359">
        <f t="shared" si="153"/>
        <v>0.24159854677565848</v>
      </c>
      <c r="T229" s="359">
        <f t="shared" si="153"/>
        <v>0.20560747663551401</v>
      </c>
      <c r="U229" s="359">
        <f t="shared" ref="U229:V229" si="154">+U37/U35</f>
        <v>0.20622986036519872</v>
      </c>
      <c r="V229" s="359">
        <f t="shared" si="154"/>
        <v>0.22905246671887236</v>
      </c>
      <c r="W229" s="360">
        <f>+W37/W35</f>
        <v>0.17557251908396945</v>
      </c>
      <c r="X229" s="306">
        <v>0.23</v>
      </c>
      <c r="Y229" s="306">
        <v>0.23</v>
      </c>
      <c r="Z229" s="306">
        <v>0.23</v>
      </c>
      <c r="AA229" s="306">
        <v>0.23</v>
      </c>
      <c r="AB229" s="684">
        <f>+AB37/AB35</f>
        <v>0.23000000000000009</v>
      </c>
      <c r="AC229" s="306">
        <f>AA229</f>
        <v>0.23</v>
      </c>
      <c r="AD229" s="306">
        <f>AC229</f>
        <v>0.23</v>
      </c>
      <c r="AE229" s="306">
        <f>AD229</f>
        <v>0.23</v>
      </c>
      <c r="AF229" s="306">
        <f>AE229</f>
        <v>0.23</v>
      </c>
      <c r="AG229" s="360">
        <f>+AG37/AG35</f>
        <v>0.23000000000000068</v>
      </c>
      <c r="AH229" s="306">
        <v>0.22</v>
      </c>
      <c r="AI229" s="306">
        <v>0.22</v>
      </c>
      <c r="AJ229" s="306">
        <v>0.22</v>
      </c>
      <c r="AK229" s="306">
        <v>0.22</v>
      </c>
      <c r="AL229" s="360">
        <f>+AL37/AL35</f>
        <v>0.22000000000000042</v>
      </c>
      <c r="AM229" s="306">
        <f>AK229</f>
        <v>0.22</v>
      </c>
      <c r="AN229" s="306">
        <f>AM229</f>
        <v>0.22</v>
      </c>
      <c r="AO229" s="306">
        <f>AN229</f>
        <v>0.22</v>
      </c>
      <c r="AP229" s="306">
        <f>AO229</f>
        <v>0.22</v>
      </c>
      <c r="AQ229" s="360">
        <f>+AQ37/AQ35</f>
        <v>0.21999999999999958</v>
      </c>
      <c r="AR229" s="306">
        <f>AP229</f>
        <v>0.22</v>
      </c>
      <c r="AS229" s="306">
        <f>AR229</f>
        <v>0.22</v>
      </c>
      <c r="AT229" s="306">
        <f>AS229</f>
        <v>0.22</v>
      </c>
      <c r="AU229" s="306">
        <f>AT229</f>
        <v>0.22</v>
      </c>
      <c r="AV229" s="360">
        <f>+AV37/AV35</f>
        <v>0.22000000000000028</v>
      </c>
    </row>
    <row r="230" spans="1:48" outlineLevel="1" x14ac:dyDescent="0.25">
      <c r="A230" s="53"/>
      <c r="B230" s="695" t="s">
        <v>397</v>
      </c>
      <c r="C230" s="696"/>
      <c r="D230" s="361"/>
      <c r="E230" s="362"/>
      <c r="F230" s="362"/>
      <c r="G230" s="362"/>
      <c r="H230" s="363"/>
      <c r="I230" s="362"/>
      <c r="J230" s="362"/>
      <c r="K230" s="362"/>
      <c r="L230" s="362"/>
      <c r="M230" s="363">
        <f>+M30/((M258+H258)/2)</f>
        <v>8.7964814074370252E-3</v>
      </c>
      <c r="N230" s="362"/>
      <c r="O230" s="362"/>
      <c r="P230" s="362"/>
      <c r="Q230" s="362"/>
      <c r="R230" s="363">
        <f>+R30/((R258+M258)/2)</f>
        <v>1.3270435549487699E-2</v>
      </c>
      <c r="S230" s="656">
        <f>+S30/((S258+Q258)/2)</f>
        <v>1.2424010377504683E-2</v>
      </c>
      <c r="T230" s="361">
        <f>+T30/((T258+S258)/2)</f>
        <v>8.0137987427922365E-3</v>
      </c>
      <c r="U230" s="361">
        <f>+U30/((U258+T258)/2)</f>
        <v>4.8045628241283759E-3</v>
      </c>
      <c r="V230" s="361">
        <f>+V30/((V258+U258)/2)</f>
        <v>-2.311581288937005E-3</v>
      </c>
      <c r="W230" s="363">
        <f>+W30/((W258+R258)/2)</f>
        <v>2.1130853164220614E-2</v>
      </c>
      <c r="X230" s="243">
        <f>+V230</f>
        <v>-2.311581288937005E-3</v>
      </c>
      <c r="Y230" s="243">
        <f>+X230</f>
        <v>-2.311581288937005E-3</v>
      </c>
      <c r="Z230" s="243">
        <f>+Y230</f>
        <v>-2.311581288937005E-3</v>
      </c>
      <c r="AA230" s="243">
        <f>+Z230</f>
        <v>-2.311581288937005E-3</v>
      </c>
      <c r="AB230" s="363">
        <f>+AB30/((AB258+W258)/2)</f>
        <v>-2.1121363348623841E-3</v>
      </c>
      <c r="AC230" s="243">
        <f>+AA230</f>
        <v>-2.311581288937005E-3</v>
      </c>
      <c r="AD230" s="243">
        <f>+AC230</f>
        <v>-2.311581288937005E-3</v>
      </c>
      <c r="AE230" s="243">
        <f>+AD230</f>
        <v>-2.311581288937005E-3</v>
      </c>
      <c r="AF230" s="243">
        <f>+AE230</f>
        <v>-2.311581288937005E-3</v>
      </c>
      <c r="AG230" s="363">
        <f>+AG30/((AG258+AB258)/2)</f>
        <v>-2.2388902926750551E-3</v>
      </c>
      <c r="AH230" s="243">
        <f>+AF230</f>
        <v>-2.311581288937005E-3</v>
      </c>
      <c r="AI230" s="243">
        <f>+AH230</f>
        <v>-2.311581288937005E-3</v>
      </c>
      <c r="AJ230" s="243">
        <f>+AI230</f>
        <v>-2.311581288937005E-3</v>
      </c>
      <c r="AK230" s="243">
        <f>+AJ230</f>
        <v>-2.311581288937005E-3</v>
      </c>
      <c r="AL230" s="363">
        <f>+AL30/((AL258+AG258)/2)</f>
        <v>-2.3654422693519883E-3</v>
      </c>
      <c r="AM230" s="243">
        <f>+AK230</f>
        <v>-2.311581288937005E-3</v>
      </c>
      <c r="AN230" s="243">
        <f>+AM230</f>
        <v>-2.311581288937005E-3</v>
      </c>
      <c r="AO230" s="243">
        <f>+AN230</f>
        <v>-2.311581288937005E-3</v>
      </c>
      <c r="AP230" s="243">
        <f>+AO230</f>
        <v>-2.311581288937005E-3</v>
      </c>
      <c r="AQ230" s="363">
        <f>+AQ30/((AQ258+AL258)/2)</f>
        <v>-2.4678643933040002E-3</v>
      </c>
      <c r="AR230" s="243">
        <f>+AP230</f>
        <v>-2.311581288937005E-3</v>
      </c>
      <c r="AS230" s="243">
        <f>+AR230</f>
        <v>-2.311581288937005E-3</v>
      </c>
      <c r="AT230" s="243">
        <f>+AS230</f>
        <v>-2.311581288937005E-3</v>
      </c>
      <c r="AU230" s="243">
        <f>+AT230</f>
        <v>-2.311581288937005E-3</v>
      </c>
      <c r="AV230" s="363">
        <f>+AV30/((AV258+AQ258)/2)</f>
        <v>-2.5474858633985496E-3</v>
      </c>
    </row>
    <row r="231" spans="1:48" outlineLevel="1" x14ac:dyDescent="0.25">
      <c r="A231" s="53"/>
      <c r="B231" s="177" t="s">
        <v>396</v>
      </c>
      <c r="C231" s="127"/>
      <c r="D231" s="361"/>
      <c r="E231" s="362"/>
      <c r="F231" s="362"/>
      <c r="G231" s="362"/>
      <c r="H231" s="364"/>
      <c r="I231" s="362"/>
      <c r="J231" s="362"/>
      <c r="K231" s="362"/>
      <c r="L231" s="362"/>
      <c r="M231" s="363">
        <f>+M29/((M272+M277+H272+H277)/2)</f>
        <v>-3.5688146934792456E-2</v>
      </c>
      <c r="N231" s="362"/>
      <c r="O231" s="362"/>
      <c r="P231" s="362"/>
      <c r="Q231" s="362"/>
      <c r="R231" s="363">
        <f>+R29/((R272+R277+M272+M277)/2)</f>
        <v>-3.5410585099631936E-2</v>
      </c>
      <c r="S231" s="656">
        <f>+S29/((S272+S277+S271+Q271+Q272+Q277)/2)</f>
        <v>-8.7685287363178151E-3</v>
      </c>
      <c r="T231" s="659">
        <f>+T29/((T272+T277+T271+S271+S272+S277)/2)</f>
        <v>-8.5877026434935007E-3</v>
      </c>
      <c r="U231" s="659">
        <f>+U29/((U272+U277+U271+T271+T272+T277)/2)</f>
        <v>-8.2336796706528135E-3</v>
      </c>
      <c r="V231" s="659">
        <f>+V29/((V272+V277+V271+U271+U272+U277)/2)</f>
        <v>-8.1673472789399112E-3</v>
      </c>
      <c r="W231" s="363">
        <f>+W29/((W272+W277+R272+R277)/2)</f>
        <v>-3.4420183808464552E-2</v>
      </c>
      <c r="X231" s="243">
        <f>+V231</f>
        <v>-8.1673472789399112E-3</v>
      </c>
      <c r="Y231" s="243">
        <f>+X231</f>
        <v>-8.1673472789399112E-3</v>
      </c>
      <c r="Z231" s="243">
        <f t="shared" ref="Z231:AA231" si="155">+Y231</f>
        <v>-8.1673472789399112E-3</v>
      </c>
      <c r="AA231" s="243">
        <f t="shared" si="155"/>
        <v>-8.1673472789399112E-3</v>
      </c>
      <c r="AB231" s="363">
        <f>+AB29/((AB272+AB277+W272+W277)/2)</f>
        <v>-3.1945125252912529E-2</v>
      </c>
      <c r="AC231" s="243">
        <f>+AA231</f>
        <v>-8.1673472789399112E-3</v>
      </c>
      <c r="AD231" s="243">
        <f>+AC231</f>
        <v>-8.1673472789399112E-3</v>
      </c>
      <c r="AE231" s="243">
        <f t="shared" ref="AE231" si="156">+AD231</f>
        <v>-8.1673472789399112E-3</v>
      </c>
      <c r="AF231" s="243">
        <f t="shared" ref="AF231" si="157">+AE231</f>
        <v>-8.1673472789399112E-3</v>
      </c>
      <c r="AG231" s="363">
        <f>+AG29/((AG272+AG277+AB272+AB277)/2)</f>
        <v>-3.2037531489254402E-2</v>
      </c>
      <c r="AH231" s="243">
        <f>+AF231</f>
        <v>-8.1673472789399112E-3</v>
      </c>
      <c r="AI231" s="243">
        <f>+AH231</f>
        <v>-8.1673472789399112E-3</v>
      </c>
      <c r="AJ231" s="243">
        <f t="shared" ref="AJ231" si="158">+AI231</f>
        <v>-8.1673472789399112E-3</v>
      </c>
      <c r="AK231" s="243">
        <f t="shared" ref="AK231" si="159">+AJ231</f>
        <v>-8.1673472789399112E-3</v>
      </c>
      <c r="AL231" s="363">
        <f>+AL29/((AL272+AL277+AG272+AG277)/2)</f>
        <v>-3.2163649533054235E-2</v>
      </c>
      <c r="AM231" s="243">
        <f>+AK231</f>
        <v>-8.1673472789399112E-3</v>
      </c>
      <c r="AN231" s="243">
        <f>+AM231</f>
        <v>-8.1673472789399112E-3</v>
      </c>
      <c r="AO231" s="243">
        <f t="shared" ref="AO231" si="160">+AN231</f>
        <v>-8.1673472789399112E-3</v>
      </c>
      <c r="AP231" s="243">
        <f t="shared" ref="AP231" si="161">+AO231</f>
        <v>-8.1673472789399112E-3</v>
      </c>
      <c r="AQ231" s="363">
        <f>+AQ29/((AQ272+AQ277+AL272+AL277)/2)</f>
        <v>-3.2265479482081368E-2</v>
      </c>
      <c r="AR231" s="243">
        <f>+AP231</f>
        <v>-8.1673472789399112E-3</v>
      </c>
      <c r="AS231" s="243">
        <f>+AR231</f>
        <v>-8.1673472789399112E-3</v>
      </c>
      <c r="AT231" s="243">
        <f t="shared" ref="AT231" si="162">+AS231</f>
        <v>-8.1673472789399112E-3</v>
      </c>
      <c r="AU231" s="243">
        <f t="shared" ref="AU231" si="163">+AT231</f>
        <v>-8.1673472789399112E-3</v>
      </c>
      <c r="AV231" s="363">
        <f>+AV29/((AV272+AV277+AQ272+AQ277)/2)</f>
        <v>-3.236032313506073E-2</v>
      </c>
    </row>
    <row r="232" spans="1:48" ht="15.75" x14ac:dyDescent="0.25">
      <c r="A232" s="53"/>
      <c r="B232" s="691" t="s">
        <v>86</v>
      </c>
      <c r="C232" s="692"/>
      <c r="D232" s="89" t="s">
        <v>69</v>
      </c>
      <c r="E232" s="89" t="s">
        <v>72</v>
      </c>
      <c r="F232" s="89" t="s">
        <v>73</v>
      </c>
      <c r="G232" s="89" t="s">
        <v>76</v>
      </c>
      <c r="H232" s="396" t="s">
        <v>77</v>
      </c>
      <c r="I232" s="89" t="s">
        <v>78</v>
      </c>
      <c r="J232" s="89" t="s">
        <v>89</v>
      </c>
      <c r="K232" s="89" t="s">
        <v>105</v>
      </c>
      <c r="L232" s="89" t="s">
        <v>109</v>
      </c>
      <c r="M232" s="396" t="s">
        <v>110</v>
      </c>
      <c r="N232" s="89" t="s">
        <v>111</v>
      </c>
      <c r="O232" s="89" t="s">
        <v>112</v>
      </c>
      <c r="P232" s="89" t="s">
        <v>113</v>
      </c>
      <c r="Q232" s="89" t="s">
        <v>114</v>
      </c>
      <c r="R232" s="396" t="s">
        <v>115</v>
      </c>
      <c r="S232" s="89" t="s">
        <v>492</v>
      </c>
      <c r="T232" s="89" t="s">
        <v>734</v>
      </c>
      <c r="U232" s="89" t="s">
        <v>753</v>
      </c>
      <c r="V232" s="89" t="s">
        <v>771</v>
      </c>
      <c r="W232" s="396" t="s">
        <v>773</v>
      </c>
      <c r="X232" s="91" t="s">
        <v>371</v>
      </c>
      <c r="Y232" s="91" t="s">
        <v>372</v>
      </c>
      <c r="Z232" s="91" t="s">
        <v>373</v>
      </c>
      <c r="AA232" s="91" t="s">
        <v>374</v>
      </c>
      <c r="AB232" s="400" t="s">
        <v>375</v>
      </c>
      <c r="AC232" s="91" t="s">
        <v>376</v>
      </c>
      <c r="AD232" s="91" t="s">
        <v>377</v>
      </c>
      <c r="AE232" s="91" t="s">
        <v>378</v>
      </c>
      <c r="AF232" s="91" t="s">
        <v>379</v>
      </c>
      <c r="AG232" s="400" t="s">
        <v>380</v>
      </c>
      <c r="AH232" s="91" t="s">
        <v>381</v>
      </c>
      <c r="AI232" s="91" t="s">
        <v>382</v>
      </c>
      <c r="AJ232" s="91" t="s">
        <v>383</v>
      </c>
      <c r="AK232" s="91" t="s">
        <v>384</v>
      </c>
      <c r="AL232" s="400" t="s">
        <v>385</v>
      </c>
      <c r="AM232" s="91" t="s">
        <v>386</v>
      </c>
      <c r="AN232" s="91" t="s">
        <v>387</v>
      </c>
      <c r="AO232" s="91" t="s">
        <v>388</v>
      </c>
      <c r="AP232" s="91" t="s">
        <v>389</v>
      </c>
      <c r="AQ232" s="400" t="s">
        <v>390</v>
      </c>
      <c r="AR232" s="91" t="s">
        <v>781</v>
      </c>
      <c r="AS232" s="91" t="s">
        <v>782</v>
      </c>
      <c r="AT232" s="91" t="s">
        <v>783</v>
      </c>
      <c r="AU232" s="91" t="s">
        <v>784</v>
      </c>
      <c r="AV232" s="400" t="s">
        <v>785</v>
      </c>
    </row>
    <row r="233" spans="1:48" outlineLevel="1" x14ac:dyDescent="0.25">
      <c r="A233" s="53"/>
      <c r="B233" s="687" t="s">
        <v>66</v>
      </c>
      <c r="C233" s="688"/>
      <c r="D233" s="192">
        <f>(D41+D237)/283-1</f>
        <v>3.697920946665878E-4</v>
      </c>
      <c r="E233" s="192">
        <f>(E41+E237)/D41-1</f>
        <v>1.3352786723233923E-2</v>
      </c>
      <c r="F233" s="192">
        <f>(F41+F237)/E41-1</f>
        <v>-1.6534967987091864E-3</v>
      </c>
      <c r="G233" s="192">
        <f>(G41+G237)/F41-1</f>
        <v>2.9134173621392367E-3</v>
      </c>
      <c r="H233" s="207"/>
      <c r="I233" s="192">
        <f>(I41+I237)/G41-1</f>
        <v>-8.230703284084262E-3</v>
      </c>
      <c r="J233" s="192">
        <f>(J41+J237)/I41-1</f>
        <v>4.7106921884758624E-3</v>
      </c>
      <c r="K233" s="192">
        <f>(K41+K237)/J41-1</f>
        <v>4.8161398478585582E-4</v>
      </c>
      <c r="L233" s="192">
        <f>(L41+L237)/K41-1</f>
        <v>8.4050081076847416E-3</v>
      </c>
      <c r="M233" s="207"/>
      <c r="N233" s="192">
        <f>(N41+N237)/L41-1</f>
        <v>3.7397157816005944E-3</v>
      </c>
      <c r="O233" s="192">
        <f>(O41+O237)/N41-1</f>
        <v>2.9850746268658135E-3</v>
      </c>
      <c r="P233" s="192">
        <f>(P41+P237)/O41-1</f>
        <v>4.4776119402984982E-3</v>
      </c>
      <c r="Q233" s="192">
        <f>(Q41+Q237)/P41-1</f>
        <v>1.1194029850745135E-3</v>
      </c>
      <c r="R233" s="61"/>
      <c r="S233" s="192">
        <f>(S41+S237)/Q41-1</f>
        <v>4.5570570570570013E-3</v>
      </c>
      <c r="T233" s="192">
        <f>(T41+T237)/S41-1</f>
        <v>8.6411541369368905E-4</v>
      </c>
      <c r="U233" s="192">
        <f>(U41+U237)/T41-1</f>
        <v>-3.2202743902437492E-3</v>
      </c>
      <c r="V233" s="192">
        <f>(V41+V237)/U41-1</f>
        <v>6.2835249042145769E-3</v>
      </c>
      <c r="W233" s="61"/>
      <c r="X233" s="243">
        <f>AVERAGE(V233,U233,T233,S233)</f>
        <v>2.1211057461803795E-3</v>
      </c>
      <c r="Y233" s="243">
        <f>AVERAGE(X233,V233,U233,T233)</f>
        <v>1.5121179184612241E-3</v>
      </c>
      <c r="Z233" s="243">
        <f>AVERAGE(Y233,X233,V233,U233)</f>
        <v>1.6741185446531078E-3</v>
      </c>
      <c r="AA233" s="243">
        <f>AVERAGE(Z233,Y233,X233,V233)</f>
        <v>2.8977167783773221E-3</v>
      </c>
      <c r="AB233" s="61"/>
      <c r="AC233" s="243">
        <f>AVERAGE(AA233,Z233,Y233,X233)</f>
        <v>2.0512647469180085E-3</v>
      </c>
      <c r="AD233" s="243">
        <f>AVERAGE(AC233,AA233,Z233,Y233)</f>
        <v>2.0338044971024158E-3</v>
      </c>
      <c r="AE233" s="243">
        <f>AVERAGE(AD233,AC233,AA233,Z233)</f>
        <v>2.1642261417627135E-3</v>
      </c>
      <c r="AF233" s="243">
        <f>AVERAGE(AE233,AD233,AC233,AA233)</f>
        <v>2.2867530410401152E-3</v>
      </c>
      <c r="AG233" s="61"/>
      <c r="AH233" s="243">
        <f>AVERAGE(AF233,AE233,AD233,AC233)</f>
        <v>2.1340121067058133E-3</v>
      </c>
      <c r="AI233" s="243">
        <f>AVERAGE(AH233,AF233,AE233,AD233)</f>
        <v>2.1546989466527645E-3</v>
      </c>
      <c r="AJ233" s="243">
        <f>AVERAGE(AI233,AH233,AF233,AE233)</f>
        <v>2.1849225590403519E-3</v>
      </c>
      <c r="AK233" s="243">
        <f>AVERAGE(AJ233,AI233,AH233,AF233)</f>
        <v>2.1900966633597611E-3</v>
      </c>
      <c r="AL233" s="61"/>
      <c r="AM233" s="243">
        <f>AVERAGE(AK233,AJ233,AI233,AH233)</f>
        <v>2.1659325689396729E-3</v>
      </c>
      <c r="AN233" s="243">
        <f>AVERAGE(AM233,AK233,AJ233,AI233)</f>
        <v>2.1739126844981375E-3</v>
      </c>
      <c r="AO233" s="243">
        <f>AVERAGE(AN233,AM233,AK233,AJ233)</f>
        <v>2.178716118959481E-3</v>
      </c>
      <c r="AP233" s="243">
        <f>AVERAGE(AO233,AN233,AM233,AK233)</f>
        <v>2.1771645089392632E-3</v>
      </c>
      <c r="AQ233" s="61"/>
      <c r="AR233" s="243">
        <f>AVERAGE(AP233,AO233,AN233,AM233)</f>
        <v>2.1739314703341384E-3</v>
      </c>
      <c r="AS233" s="243">
        <f>AVERAGE(AR233,AP233,AO233,AN233)</f>
        <v>2.175931195682755E-3</v>
      </c>
      <c r="AT233" s="243">
        <f>AVERAGE(AS233,AR233,AP233,AO233)</f>
        <v>2.1764358234789092E-3</v>
      </c>
      <c r="AU233" s="243">
        <f>AVERAGE(AT233,AS233,AR233,AP233)</f>
        <v>2.1758657496087665E-3</v>
      </c>
      <c r="AV233" s="61"/>
    </row>
    <row r="234" spans="1:48" outlineLevel="1" x14ac:dyDescent="0.25">
      <c r="A234" s="53"/>
      <c r="B234" s="687" t="s">
        <v>67</v>
      </c>
      <c r="C234" s="688"/>
      <c r="D234" s="192">
        <f>(D42+D237)/283-1</f>
        <v>1.4504067713041247E-2</v>
      </c>
      <c r="E234" s="192">
        <f>(E42+E237)/D42-1</f>
        <v>1.0499647953522429E-2</v>
      </c>
      <c r="F234" s="192">
        <f>(F42+F237)/E42-1</f>
        <v>-2.4734982332155209E-3</v>
      </c>
      <c r="G234" s="192">
        <f>(G42+G237)/F42-1</f>
        <v>-8.0274562818112294E-3</v>
      </c>
      <c r="H234" s="207"/>
      <c r="I234" s="192">
        <f>(I42+I237)/G42-1</f>
        <v>6.6391851917522171E-3</v>
      </c>
      <c r="J234" s="192">
        <f>(J42+J237)/I42-1</f>
        <v>4.6407487261377334E-3</v>
      </c>
      <c r="K234" s="192">
        <f>(K42+K237)/J42-1</f>
        <v>4.1781826664926136E-3</v>
      </c>
      <c r="L234" s="192">
        <f>(L42+L237)/K42-1</f>
        <v>5.6669083271001508E-3</v>
      </c>
      <c r="M234" s="207"/>
      <c r="N234" s="192">
        <f>(N42+N237)/L42-1</f>
        <v>2.5763709974235827E-3</v>
      </c>
      <c r="O234" s="192">
        <f>(O42+O237)/N42-1</f>
        <v>6.225305502846501E-3</v>
      </c>
      <c r="P234" s="192">
        <f>(P42+P237)/O42-1</f>
        <v>4.7883806021065123E-3</v>
      </c>
      <c r="Q234" s="192">
        <f>(Q42+Q237)/P42-1</f>
        <v>1.098901098900873E-3</v>
      </c>
      <c r="R234" s="61"/>
      <c r="S234" s="192">
        <f>(S42+S237)/Q42-1</f>
        <v>1.5254237288135908E-3</v>
      </c>
      <c r="T234" s="192">
        <f>(T42+T237)/S42-1</f>
        <v>1.0769162194956827E-4</v>
      </c>
      <c r="U234" s="192">
        <f>(U42+U237)/T42-1</f>
        <v>-8.9151651651649955E-3</v>
      </c>
      <c r="V234" s="192">
        <f>(V42+V237)/U42-1</f>
        <v>-9.2230614491215501E-3</v>
      </c>
      <c r="W234" s="61"/>
      <c r="X234" s="243">
        <v>2E-3</v>
      </c>
      <c r="Y234" s="243">
        <f>AVERAGE(X234,V234,U234,T234)</f>
        <v>-4.0076337480842439E-3</v>
      </c>
      <c r="Z234" s="243">
        <f>AVERAGE(Y234,X234,V234,U234)</f>
        <v>-5.0364650905926969E-3</v>
      </c>
      <c r="AA234" s="243">
        <f>AVERAGE(Z234,Y234,X234,V234)</f>
        <v>-4.0667900719496223E-3</v>
      </c>
      <c r="AB234" s="61"/>
      <c r="AC234" s="243">
        <f>AVERAGE(AA234,Z234,Y234,X234)</f>
        <v>-2.7777222276566408E-3</v>
      </c>
      <c r="AD234" s="243">
        <f>AVERAGE(AC234,AA234,Z234,Y234)</f>
        <v>-3.9721527845708012E-3</v>
      </c>
      <c r="AE234" s="243">
        <f>AVERAGE(AD234,AC234,AA234,Z234)</f>
        <v>-3.9632825436924403E-3</v>
      </c>
      <c r="AF234" s="243">
        <f>AVERAGE(AE234,AD234,AC234,AA234)</f>
        <v>-3.6949869069673757E-3</v>
      </c>
      <c r="AG234" s="61"/>
      <c r="AH234" s="243">
        <f>AVERAGE(AF234,AE234,AD234,AC234)</f>
        <v>-3.6020361157218144E-3</v>
      </c>
      <c r="AI234" s="243">
        <f>AVERAGE(AH234,AF234,AE234,AD234)</f>
        <v>-3.8081145877381078E-3</v>
      </c>
      <c r="AJ234" s="243">
        <f>AVERAGE(AI234,AH234,AF234,AE234)</f>
        <v>-3.7671050385299346E-3</v>
      </c>
      <c r="AK234" s="243">
        <f>AVERAGE(AJ234,AI234,AH234,AF234)</f>
        <v>-3.7180606622393077E-3</v>
      </c>
      <c r="AL234" s="61"/>
      <c r="AM234" s="243">
        <f>AVERAGE(AK234,AJ234,AI234,AH234)</f>
        <v>-3.7238291010572907E-3</v>
      </c>
      <c r="AN234" s="243">
        <f>AVERAGE(AM234,AK234,AJ234,AI234)</f>
        <v>-3.75427734739116E-3</v>
      </c>
      <c r="AO234" s="243">
        <f>AVERAGE(AN234,AM234,AK234,AJ234)</f>
        <v>-3.7408180373044229E-3</v>
      </c>
      <c r="AP234" s="243">
        <f>AVERAGE(AO234,AN234,AM234,AK234)</f>
        <v>-3.7342462869980452E-3</v>
      </c>
      <c r="AQ234" s="61"/>
      <c r="AR234" s="243">
        <f>AVERAGE(AP234,AO234,AN234,AM234)</f>
        <v>-3.7382926931877297E-3</v>
      </c>
      <c r="AS234" s="243">
        <f>AVERAGE(AR234,AP234,AO234,AN234)</f>
        <v>-3.7419085912203396E-3</v>
      </c>
      <c r="AT234" s="243">
        <f>AVERAGE(AS234,AR234,AP234,AO234)</f>
        <v>-3.7388164021776344E-3</v>
      </c>
      <c r="AU234" s="243">
        <f>AVERAGE(AT234,AS234,AR234,AP234)</f>
        <v>-3.7383159933959374E-3</v>
      </c>
      <c r="AV234" s="61"/>
    </row>
    <row r="235" spans="1:48" outlineLevel="1" x14ac:dyDescent="0.25">
      <c r="A235" s="53"/>
      <c r="B235" s="687" t="s">
        <v>29</v>
      </c>
      <c r="C235" s="688"/>
      <c r="D235" s="255">
        <v>172</v>
      </c>
      <c r="E235" s="255">
        <v>151.76</v>
      </c>
      <c r="F235" s="255">
        <v>140.41999999999999</v>
      </c>
      <c r="G235" s="255">
        <f>+G236/G237</f>
        <v>156.12706154342965</v>
      </c>
      <c r="H235" s="268">
        <v>149.35</v>
      </c>
      <c r="I235" s="255">
        <v>160.18</v>
      </c>
      <c r="J235" s="255">
        <v>172.25</v>
      </c>
      <c r="K235" s="255">
        <v>187.34</v>
      </c>
      <c r="L235" s="255">
        <f>+L236/L237</f>
        <v>189.52244297504288</v>
      </c>
      <c r="M235" s="268">
        <v>172.13</v>
      </c>
      <c r="N235" s="255">
        <v>207.92</v>
      </c>
      <c r="O235" s="255">
        <v>220.67</v>
      </c>
      <c r="P235" s="255">
        <v>248.73</v>
      </c>
      <c r="Q235" s="255">
        <f>+Q236/Q237</f>
        <v>243.60789473684207</v>
      </c>
      <c r="R235" s="268">
        <v>237.45</v>
      </c>
      <c r="S235" s="255">
        <v>238.95</v>
      </c>
      <c r="T235" s="255">
        <v>228.35</v>
      </c>
      <c r="U235" s="255">
        <v>168.43</v>
      </c>
      <c r="V235" s="255">
        <v>180.86</v>
      </c>
      <c r="W235" s="256"/>
      <c r="X235" s="257">
        <v>175</v>
      </c>
      <c r="Y235" s="257">
        <f>+X235</f>
        <v>175</v>
      </c>
      <c r="Z235" s="257">
        <f>+Y235</f>
        <v>175</v>
      </c>
      <c r="AA235" s="257">
        <f>+Z235</f>
        <v>175</v>
      </c>
      <c r="AB235" s="256"/>
      <c r="AC235" s="257">
        <f>+AA235</f>
        <v>175</v>
      </c>
      <c r="AD235" s="257">
        <f>+AC235</f>
        <v>175</v>
      </c>
      <c r="AE235" s="257">
        <f>+AD235</f>
        <v>175</v>
      </c>
      <c r="AF235" s="257">
        <f>+AE235</f>
        <v>175</v>
      </c>
      <c r="AG235" s="256"/>
      <c r="AH235" s="257">
        <f>+AF235</f>
        <v>175</v>
      </c>
      <c r="AI235" s="257">
        <f>+AH235</f>
        <v>175</v>
      </c>
      <c r="AJ235" s="257">
        <f>+AI235</f>
        <v>175</v>
      </c>
      <c r="AK235" s="257">
        <f>+AJ235</f>
        <v>175</v>
      </c>
      <c r="AL235" s="256"/>
      <c r="AM235" s="257">
        <f>+AK235</f>
        <v>175</v>
      </c>
      <c r="AN235" s="257">
        <f>+AM235</f>
        <v>175</v>
      </c>
      <c r="AO235" s="257">
        <f>+AN235</f>
        <v>175</v>
      </c>
      <c r="AP235" s="257">
        <f>+AO235</f>
        <v>175</v>
      </c>
      <c r="AQ235" s="42"/>
      <c r="AR235" s="257">
        <f>+AP235</f>
        <v>175</v>
      </c>
      <c r="AS235" s="257">
        <f>+AR235</f>
        <v>175</v>
      </c>
      <c r="AT235" s="257">
        <f>+AS235</f>
        <v>175</v>
      </c>
      <c r="AU235" s="257">
        <f>+AT235</f>
        <v>175</v>
      </c>
      <c r="AV235" s="42"/>
    </row>
    <row r="236" spans="1:48" outlineLevel="1" x14ac:dyDescent="0.25">
      <c r="A236" s="53"/>
      <c r="B236" s="687" t="s">
        <v>30</v>
      </c>
      <c r="C236" s="688"/>
      <c r="D236" s="99">
        <v>190</v>
      </c>
      <c r="E236" s="99">
        <v>911</v>
      </c>
      <c r="F236" s="99">
        <v>1025.0659999999998</v>
      </c>
      <c r="G236" s="99">
        <f>+H236-F236-E236-D236</f>
        <v>592.10399999999981</v>
      </c>
      <c r="H236" s="111">
        <f>+H235*H237</f>
        <v>2718.1699999999996</v>
      </c>
      <c r="I236" s="99">
        <v>222</v>
      </c>
      <c r="J236" s="99">
        <v>112</v>
      </c>
      <c r="K236" s="99">
        <v>24</v>
      </c>
      <c r="L236" s="99">
        <f>+M236-K236-J236-I236</f>
        <v>158.38999999999999</v>
      </c>
      <c r="M236" s="111">
        <f>+M235*M237</f>
        <v>516.39</v>
      </c>
      <c r="N236" s="99">
        <f>+N235*N237</f>
        <v>83.168000000000006</v>
      </c>
      <c r="O236" s="99">
        <f>+O235*O237</f>
        <v>176.536</v>
      </c>
      <c r="P236" s="99">
        <f>+P235*P237</f>
        <v>298.476</v>
      </c>
      <c r="Q236" s="99">
        <f>+R236-P236-O236-N236</f>
        <v>462.8549999999999</v>
      </c>
      <c r="R236" s="111">
        <f>+R235*R237</f>
        <v>1021.0349999999999</v>
      </c>
      <c r="S236" s="99">
        <f>+S235*S237</f>
        <v>624.61529999999993</v>
      </c>
      <c r="T236" s="99">
        <f>+T235*T237</f>
        <v>646</v>
      </c>
      <c r="U236" s="99">
        <v>93.478650000000016</v>
      </c>
      <c r="V236" s="99">
        <v>115.7504</v>
      </c>
      <c r="W236" s="109">
        <f>+SUM(S236:V236)</f>
        <v>1479.8443499999998</v>
      </c>
      <c r="X236" s="241">
        <v>100</v>
      </c>
      <c r="Y236" s="241">
        <v>100</v>
      </c>
      <c r="Z236" s="241">
        <v>100</v>
      </c>
      <c r="AA236" s="241">
        <v>100</v>
      </c>
      <c r="AB236" s="109">
        <f>+SUM(X236:AA236)</f>
        <v>400</v>
      </c>
      <c r="AC236" s="241">
        <f>AVERAGE(AA236,Z236,Y236,X236)</f>
        <v>100</v>
      </c>
      <c r="AD236" s="241">
        <f>AVERAGE(AC236,AA236,Z236,Y236)</f>
        <v>100</v>
      </c>
      <c r="AE236" s="241">
        <f>AVERAGE(AD236,AC236,AA236,Z236)</f>
        <v>100</v>
      </c>
      <c r="AF236" s="241">
        <f>AVERAGE(AE236,AD236,AC236,AA236)</f>
        <v>100</v>
      </c>
      <c r="AG236" s="109">
        <f>+SUM(AC236:AF236)</f>
        <v>400</v>
      </c>
      <c r="AH236" s="241">
        <v>100</v>
      </c>
      <c r="AI236" s="241">
        <v>100</v>
      </c>
      <c r="AJ236" s="241">
        <v>100</v>
      </c>
      <c r="AK236" s="241">
        <v>100</v>
      </c>
      <c r="AL236" s="109">
        <f>+SUM(AH236:AK236)</f>
        <v>400</v>
      </c>
      <c r="AM236" s="241">
        <v>100</v>
      </c>
      <c r="AN236" s="241">
        <v>100</v>
      </c>
      <c r="AO236" s="241">
        <v>100</v>
      </c>
      <c r="AP236" s="241">
        <v>100</v>
      </c>
      <c r="AQ236" s="109">
        <f>+SUM(AM236:AP236)</f>
        <v>400</v>
      </c>
      <c r="AR236" s="241">
        <v>100</v>
      </c>
      <c r="AS236" s="241">
        <v>100</v>
      </c>
      <c r="AT236" s="241">
        <v>100</v>
      </c>
      <c r="AU236" s="241">
        <v>100</v>
      </c>
      <c r="AV236" s="109">
        <f>+SUM(AR236:AU236)</f>
        <v>400</v>
      </c>
    </row>
    <row r="237" spans="1:48" outlineLevel="1" x14ac:dyDescent="0.25">
      <c r="A237" s="53"/>
      <c r="B237" s="689" t="s">
        <v>75</v>
      </c>
      <c r="C237" s="690"/>
      <c r="D237" s="269">
        <f>IF((D236)&gt;0,(D236/D235),0)</f>
        <v>1.1046511627906976</v>
      </c>
      <c r="E237" s="269">
        <f>IF((E236)&gt;0,(E236/E235),0)</f>
        <v>6.0028993147074328</v>
      </c>
      <c r="F237" s="269">
        <f>IF((F236)&gt;0,(F236/F235),0)</f>
        <v>7.2999999999999989</v>
      </c>
      <c r="G237" s="269">
        <f>+H237-F237-E237-D237</f>
        <v>3.7924495225018697</v>
      </c>
      <c r="H237" s="270">
        <v>18.2</v>
      </c>
      <c r="I237" s="269">
        <f>IF((I236)&gt;0,(I236/I235),0)</f>
        <v>1.3859408165813458</v>
      </c>
      <c r="J237" s="269">
        <f>IF((J236)&gt;0,(J236/J235),0)</f>
        <v>0.65021770682148039</v>
      </c>
      <c r="K237" s="269">
        <f>IF((K236)&gt;0,(K236/K235),0)</f>
        <v>0.12810931995302657</v>
      </c>
      <c r="L237" s="269">
        <f>+M237-K237-J237-I237</f>
        <v>0.83573215664414713</v>
      </c>
      <c r="M237" s="270">
        <v>3</v>
      </c>
      <c r="N237" s="269">
        <v>0.4</v>
      </c>
      <c r="O237" s="269">
        <v>0.8</v>
      </c>
      <c r="P237" s="269">
        <v>1.2</v>
      </c>
      <c r="Q237" s="269">
        <f>+R237-P237-O237-N237</f>
        <v>1.9</v>
      </c>
      <c r="R237" s="270">
        <v>4.3</v>
      </c>
      <c r="S237" s="269">
        <v>2.6139999999999999</v>
      </c>
      <c r="T237" s="269">
        <v>2.8289905846288592</v>
      </c>
      <c r="U237" s="269">
        <f>IF((U236)&gt;0,(U236/U235),0)</f>
        <v>0.55500000000000005</v>
      </c>
      <c r="V237" s="269">
        <f>IF((V236)&gt;0,(V236/V235),0)</f>
        <v>0.6399999999999999</v>
      </c>
      <c r="W237" s="480">
        <f>+SUM(S237:V237)</f>
        <v>6.6379905846288585</v>
      </c>
      <c r="X237" s="269">
        <f>IF((X236)&gt;0,(X236/X235),0)</f>
        <v>0.5714285714285714</v>
      </c>
      <c r="Y237" s="269">
        <f>IF((Y236)&gt;0,(Y236/Y235),0)</f>
        <v>0.5714285714285714</v>
      </c>
      <c r="Z237" s="269">
        <f>IF((Z236)&gt;0,(Z236/Z235),0)</f>
        <v>0.5714285714285714</v>
      </c>
      <c r="AA237" s="269">
        <f>IF((AA236)&gt;0,(AA236/AA235),0)</f>
        <v>0.5714285714285714</v>
      </c>
      <c r="AB237" s="480">
        <f>+SUM(X237:AA237)</f>
        <v>2.2857142857142856</v>
      </c>
      <c r="AC237" s="269">
        <f>IF((AC236)&gt;0,(AC236/AC235),0)</f>
        <v>0.5714285714285714</v>
      </c>
      <c r="AD237" s="269">
        <f>IF((AD236)&gt;0,(AD236/AD235),0)</f>
        <v>0.5714285714285714</v>
      </c>
      <c r="AE237" s="269">
        <f>IF((AE236)&gt;0,(AE236/AE235),0)</f>
        <v>0.5714285714285714</v>
      </c>
      <c r="AF237" s="269">
        <f>IF((AF236)&gt;0,(AF236/AF235),0)</f>
        <v>0.5714285714285714</v>
      </c>
      <c r="AG237" s="480">
        <f>+SUM(AC237:AF237)</f>
        <v>2.2857142857142856</v>
      </c>
      <c r="AH237" s="269">
        <f>IF((AH236)&gt;0,(AH236/AH235),0)</f>
        <v>0.5714285714285714</v>
      </c>
      <c r="AI237" s="269">
        <f>IF((AI236)&gt;0,(AI236/AI235),0)</f>
        <v>0.5714285714285714</v>
      </c>
      <c r="AJ237" s="269">
        <f>IF((AJ236)&gt;0,(AJ236/AJ235),0)</f>
        <v>0.5714285714285714</v>
      </c>
      <c r="AK237" s="269">
        <f>IF((AK236)&gt;0,(AK236/AK235),0)</f>
        <v>0.5714285714285714</v>
      </c>
      <c r="AL237" s="480">
        <f>+SUM(AH237:AK237)</f>
        <v>2.2857142857142856</v>
      </c>
      <c r="AM237" s="269">
        <f>IF((AM236)&gt;0,(AM236/AM235),0)</f>
        <v>0.5714285714285714</v>
      </c>
      <c r="AN237" s="269">
        <f>IF((AN236)&gt;0,(AN236/AN235),0)</f>
        <v>0.5714285714285714</v>
      </c>
      <c r="AO237" s="269">
        <f>IF((AO236)&gt;0,(AO236/AO235),0)</f>
        <v>0.5714285714285714</v>
      </c>
      <c r="AP237" s="269">
        <f>IF((AP236)&gt;0,(AP236/AP235),0)</f>
        <v>0.5714285714285714</v>
      </c>
      <c r="AQ237" s="480">
        <f>+SUM(AM237:AP237)</f>
        <v>2.2857142857142856</v>
      </c>
      <c r="AR237" s="269">
        <f>IF((AR236)&gt;0,(AR236/AR235),0)</f>
        <v>0.5714285714285714</v>
      </c>
      <c r="AS237" s="269">
        <f>IF((AS236)&gt;0,(AS236/AS235),0)</f>
        <v>0.5714285714285714</v>
      </c>
      <c r="AT237" s="269">
        <f>IF((AT236)&gt;0,(AT236/AT235),0)</f>
        <v>0.5714285714285714</v>
      </c>
      <c r="AU237" s="269">
        <f>IF((AU236)&gt;0,(AU236/AU235),0)</f>
        <v>0.5714285714285714</v>
      </c>
      <c r="AV237" s="480">
        <f>+SUM(AR237:AU237)</f>
        <v>2.2857142857142856</v>
      </c>
    </row>
    <row r="238" spans="1:48" ht="15.75" x14ac:dyDescent="0.25">
      <c r="A238" s="53"/>
      <c r="B238" s="691" t="s">
        <v>341</v>
      </c>
      <c r="C238" s="692"/>
      <c r="D238" s="89" t="s">
        <v>69</v>
      </c>
      <c r="E238" s="89" t="s">
        <v>72</v>
      </c>
      <c r="F238" s="89" t="s">
        <v>73</v>
      </c>
      <c r="G238" s="89" t="s">
        <v>76</v>
      </c>
      <c r="H238" s="396" t="s">
        <v>77</v>
      </c>
      <c r="I238" s="89" t="s">
        <v>78</v>
      </c>
      <c r="J238" s="89" t="s">
        <v>89</v>
      </c>
      <c r="K238" s="89" t="s">
        <v>105</v>
      </c>
      <c r="L238" s="89" t="s">
        <v>109</v>
      </c>
      <c r="M238" s="396" t="s">
        <v>110</v>
      </c>
      <c r="N238" s="89" t="s">
        <v>111</v>
      </c>
      <c r="O238" s="89" t="s">
        <v>112</v>
      </c>
      <c r="P238" s="89" t="s">
        <v>113</v>
      </c>
      <c r="Q238" s="89" t="s">
        <v>114</v>
      </c>
      <c r="R238" s="396" t="s">
        <v>115</v>
      </c>
      <c r="S238" s="89" t="s">
        <v>492</v>
      </c>
      <c r="T238" s="89" t="s">
        <v>734</v>
      </c>
      <c r="U238" s="89" t="s">
        <v>753</v>
      </c>
      <c r="V238" s="89" t="s">
        <v>771</v>
      </c>
      <c r="W238" s="396" t="s">
        <v>773</v>
      </c>
      <c r="X238" s="91" t="s">
        <v>371</v>
      </c>
      <c r="Y238" s="91" t="s">
        <v>372</v>
      </c>
      <c r="Z238" s="91" t="s">
        <v>373</v>
      </c>
      <c r="AA238" s="91" t="s">
        <v>374</v>
      </c>
      <c r="AB238" s="400" t="s">
        <v>375</v>
      </c>
      <c r="AC238" s="91" t="s">
        <v>376</v>
      </c>
      <c r="AD238" s="91" t="s">
        <v>377</v>
      </c>
      <c r="AE238" s="91" t="s">
        <v>378</v>
      </c>
      <c r="AF238" s="91" t="s">
        <v>379</v>
      </c>
      <c r="AG238" s="400" t="s">
        <v>380</v>
      </c>
      <c r="AH238" s="91" t="s">
        <v>381</v>
      </c>
      <c r="AI238" s="91" t="s">
        <v>382</v>
      </c>
      <c r="AJ238" s="91" t="s">
        <v>383</v>
      </c>
      <c r="AK238" s="91" t="s">
        <v>384</v>
      </c>
      <c r="AL238" s="400" t="s">
        <v>385</v>
      </c>
      <c r="AM238" s="91" t="s">
        <v>386</v>
      </c>
      <c r="AN238" s="91" t="s">
        <v>387</v>
      </c>
      <c r="AO238" s="91" t="s">
        <v>388</v>
      </c>
      <c r="AP238" s="91" t="s">
        <v>389</v>
      </c>
      <c r="AQ238" s="400" t="s">
        <v>390</v>
      </c>
      <c r="AR238" s="91" t="s">
        <v>781</v>
      </c>
      <c r="AS238" s="91" t="s">
        <v>782</v>
      </c>
      <c r="AT238" s="91" t="s">
        <v>783</v>
      </c>
      <c r="AU238" s="91" t="s">
        <v>784</v>
      </c>
      <c r="AV238" s="400" t="s">
        <v>785</v>
      </c>
    </row>
    <row r="239" spans="1:48" outlineLevel="1" x14ac:dyDescent="0.25">
      <c r="A239" s="53"/>
      <c r="B239" s="687" t="s">
        <v>342</v>
      </c>
      <c r="C239" s="688"/>
      <c r="D239" s="99"/>
      <c r="E239" s="99"/>
      <c r="F239" s="99"/>
      <c r="G239" s="99"/>
      <c r="H239" s="111"/>
      <c r="I239" s="99"/>
      <c r="J239" s="99"/>
      <c r="K239" s="99"/>
      <c r="L239" s="99">
        <v>0</v>
      </c>
      <c r="M239" s="111">
        <v>0</v>
      </c>
      <c r="N239" s="99">
        <v>0</v>
      </c>
      <c r="O239" s="99">
        <v>0</v>
      </c>
      <c r="P239" s="99">
        <v>0</v>
      </c>
      <c r="Q239" s="99">
        <v>380</v>
      </c>
      <c r="R239" s="111">
        <v>380</v>
      </c>
      <c r="S239" s="99">
        <v>0</v>
      </c>
      <c r="T239" s="99">
        <v>0</v>
      </c>
      <c r="U239" s="99">
        <v>0</v>
      </c>
      <c r="V239" s="99">
        <v>0</v>
      </c>
      <c r="W239" s="111">
        <f t="shared" ref="W239:W253" si="164">SUM(S239:V239)</f>
        <v>0</v>
      </c>
      <c r="X239" s="241">
        <v>0</v>
      </c>
      <c r="Y239" s="241">
        <v>0</v>
      </c>
      <c r="Z239" s="241">
        <v>0</v>
      </c>
      <c r="AA239" s="241">
        <v>0</v>
      </c>
      <c r="AB239" s="111">
        <f t="shared" ref="AB239:AB253" si="165">SUM(X239:AA239)</f>
        <v>0</v>
      </c>
      <c r="AC239" s="241">
        <v>0</v>
      </c>
      <c r="AD239" s="241">
        <v>0</v>
      </c>
      <c r="AE239" s="241">
        <v>0</v>
      </c>
      <c r="AF239" s="241">
        <v>0</v>
      </c>
      <c r="AG239" s="111">
        <f t="shared" ref="AG239:AG253" si="166">SUM(AC239:AF239)</f>
        <v>0</v>
      </c>
      <c r="AH239" s="241">
        <v>0</v>
      </c>
      <c r="AI239" s="241">
        <v>0</v>
      </c>
      <c r="AJ239" s="241">
        <v>0</v>
      </c>
      <c r="AK239" s="241">
        <v>0</v>
      </c>
      <c r="AL239" s="111">
        <f t="shared" ref="AL239:AL253" si="167">SUM(AH239:AK239)</f>
        <v>0</v>
      </c>
      <c r="AM239" s="241">
        <v>0</v>
      </c>
      <c r="AN239" s="241">
        <v>0</v>
      </c>
      <c r="AO239" s="241">
        <v>0</v>
      </c>
      <c r="AP239" s="241">
        <v>0</v>
      </c>
      <c r="AQ239" s="111">
        <f t="shared" ref="AQ239:AQ253" si="168">SUM(AM239:AP239)</f>
        <v>0</v>
      </c>
      <c r="AR239" s="241">
        <v>0</v>
      </c>
      <c r="AS239" s="241">
        <v>0</v>
      </c>
      <c r="AT239" s="241">
        <v>0</v>
      </c>
      <c r="AU239" s="241">
        <v>0</v>
      </c>
      <c r="AV239" s="111">
        <f t="shared" ref="AV239:AV253" si="169">SUM(AR239:AU239)</f>
        <v>0</v>
      </c>
    </row>
    <row r="240" spans="1:48" outlineLevel="1" x14ac:dyDescent="0.25">
      <c r="A240" s="53"/>
      <c r="B240" s="687" t="s">
        <v>343</v>
      </c>
      <c r="C240" s="688"/>
      <c r="D240" s="99"/>
      <c r="E240" s="99"/>
      <c r="F240" s="99"/>
      <c r="G240" s="99"/>
      <c r="H240" s="111"/>
      <c r="I240" s="99"/>
      <c r="J240" s="99"/>
      <c r="K240" s="99"/>
      <c r="L240" s="99">
        <v>0</v>
      </c>
      <c r="M240" s="111">
        <v>0</v>
      </c>
      <c r="N240" s="99">
        <v>0</v>
      </c>
      <c r="O240" s="99">
        <v>0</v>
      </c>
      <c r="P240" s="99">
        <v>0</v>
      </c>
      <c r="Q240" s="99">
        <v>1</v>
      </c>
      <c r="R240" s="111">
        <v>1</v>
      </c>
      <c r="S240" s="99">
        <v>0</v>
      </c>
      <c r="T240" s="99">
        <f>+T239*T229</f>
        <v>0</v>
      </c>
      <c r="U240" s="99">
        <f>+U239*U229</f>
        <v>0</v>
      </c>
      <c r="V240" s="99">
        <f>+V239*V229</f>
        <v>0</v>
      </c>
      <c r="W240" s="111">
        <f t="shared" si="164"/>
        <v>0</v>
      </c>
      <c r="X240" s="99">
        <f>+X239*X229</f>
        <v>0</v>
      </c>
      <c r="Y240" s="99">
        <f>+Y239*Y229</f>
        <v>0</v>
      </c>
      <c r="Z240" s="99">
        <f>+Z239*Z229</f>
        <v>0</v>
      </c>
      <c r="AA240" s="99">
        <f>+AA239*AA229</f>
        <v>0</v>
      </c>
      <c r="AB240" s="111">
        <f t="shared" si="165"/>
        <v>0</v>
      </c>
      <c r="AC240" s="99">
        <f>+AC239*AC229</f>
        <v>0</v>
      </c>
      <c r="AD240" s="99">
        <f>+AD239*AD229</f>
        <v>0</v>
      </c>
      <c r="AE240" s="99">
        <f>+AE239*AE229</f>
        <v>0</v>
      </c>
      <c r="AF240" s="99">
        <f>+AF239*AF229</f>
        <v>0</v>
      </c>
      <c r="AG240" s="111">
        <f t="shared" si="166"/>
        <v>0</v>
      </c>
      <c r="AH240" s="99">
        <f>+AH239*AH229</f>
        <v>0</v>
      </c>
      <c r="AI240" s="99">
        <f>+AI239*AI229</f>
        <v>0</v>
      </c>
      <c r="AJ240" s="99">
        <f>+AJ239*AJ229</f>
        <v>0</v>
      </c>
      <c r="AK240" s="99">
        <f>+AK239*AK229</f>
        <v>0</v>
      </c>
      <c r="AL240" s="111">
        <f t="shared" si="167"/>
        <v>0</v>
      </c>
      <c r="AM240" s="99">
        <f>+AM239*AM229</f>
        <v>0</v>
      </c>
      <c r="AN240" s="99">
        <f>+AN239*AN229</f>
        <v>0</v>
      </c>
      <c r="AO240" s="99">
        <f>+AO239*AO229</f>
        <v>0</v>
      </c>
      <c r="AP240" s="99">
        <f>+AP239*AP229</f>
        <v>0</v>
      </c>
      <c r="AQ240" s="111">
        <f t="shared" si="168"/>
        <v>0</v>
      </c>
      <c r="AR240" s="99">
        <f>+AR239*AR229</f>
        <v>0</v>
      </c>
      <c r="AS240" s="99">
        <f>+AS239*AS229</f>
        <v>0</v>
      </c>
      <c r="AT240" s="99">
        <f>+AT239*AT229</f>
        <v>0</v>
      </c>
      <c r="AU240" s="99">
        <f>+AU239*AU229</f>
        <v>0</v>
      </c>
      <c r="AV240" s="111">
        <f t="shared" si="169"/>
        <v>0</v>
      </c>
    </row>
    <row r="241" spans="1:48" outlineLevel="1" x14ac:dyDescent="0.25">
      <c r="A241" s="53"/>
      <c r="B241" s="287" t="s">
        <v>736</v>
      </c>
      <c r="C241" s="288"/>
      <c r="D241" s="99"/>
      <c r="E241" s="99"/>
      <c r="F241" s="99"/>
      <c r="G241" s="99"/>
      <c r="H241" s="111"/>
      <c r="I241" s="99">
        <v>67.5</v>
      </c>
      <c r="J241" s="99">
        <v>57.5</v>
      </c>
      <c r="K241" s="99">
        <v>78</v>
      </c>
      <c r="L241" s="99">
        <v>124</v>
      </c>
      <c r="M241" s="111">
        <v>327</v>
      </c>
      <c r="N241" s="99">
        <v>112</v>
      </c>
      <c r="O241" s="99">
        <v>122</v>
      </c>
      <c r="P241" s="99">
        <v>106</v>
      </c>
      <c r="Q241" s="99">
        <v>136</v>
      </c>
      <c r="R241" s="111">
        <v>477</v>
      </c>
      <c r="S241" s="99">
        <v>121</v>
      </c>
      <c r="T241" s="99">
        <v>114</v>
      </c>
      <c r="U241" s="99">
        <v>69</v>
      </c>
      <c r="V241" s="99">
        <f>388-304</f>
        <v>84</v>
      </c>
      <c r="W241" s="111">
        <f t="shared" si="164"/>
        <v>388</v>
      </c>
      <c r="X241" s="241">
        <f>350/4</f>
        <v>87.5</v>
      </c>
      <c r="Y241" s="241">
        <f>350/4</f>
        <v>87.5</v>
      </c>
      <c r="Z241" s="241">
        <f>350/4</f>
        <v>87.5</v>
      </c>
      <c r="AA241" s="241">
        <f>350/4</f>
        <v>87.5</v>
      </c>
      <c r="AB241" s="416">
        <f t="shared" si="165"/>
        <v>350</v>
      </c>
      <c r="AC241" s="241">
        <v>75</v>
      </c>
      <c r="AD241" s="241">
        <v>50</v>
      </c>
      <c r="AE241" s="241">
        <v>34</v>
      </c>
      <c r="AF241" s="241">
        <v>0</v>
      </c>
      <c r="AG241" s="111">
        <f t="shared" si="166"/>
        <v>159</v>
      </c>
      <c r="AH241" s="241">
        <v>0</v>
      </c>
      <c r="AI241" s="241">
        <v>0</v>
      </c>
      <c r="AJ241" s="241">
        <v>0</v>
      </c>
      <c r="AK241" s="241">
        <v>0</v>
      </c>
      <c r="AL241" s="111">
        <f t="shared" si="167"/>
        <v>0</v>
      </c>
      <c r="AM241" s="241">
        <v>0</v>
      </c>
      <c r="AN241" s="241">
        <v>0</v>
      </c>
      <c r="AO241" s="241">
        <v>0</v>
      </c>
      <c r="AP241" s="241">
        <v>0</v>
      </c>
      <c r="AQ241" s="111">
        <f t="shared" si="168"/>
        <v>0</v>
      </c>
      <c r="AR241" s="241">
        <v>0</v>
      </c>
      <c r="AS241" s="241">
        <v>0</v>
      </c>
      <c r="AT241" s="241">
        <v>0</v>
      </c>
      <c r="AU241" s="241">
        <v>0</v>
      </c>
      <c r="AV241" s="111">
        <f t="shared" si="169"/>
        <v>0</v>
      </c>
    </row>
    <row r="242" spans="1:48" s="830" customFormat="1" outlineLevel="1" x14ac:dyDescent="0.25">
      <c r="A242" s="831"/>
      <c r="B242" s="824" t="s">
        <v>766</v>
      </c>
      <c r="C242" s="825"/>
      <c r="D242" s="826"/>
      <c r="E242" s="826"/>
      <c r="F242" s="826"/>
      <c r="G242" s="826"/>
      <c r="H242" s="827"/>
      <c r="I242" s="826">
        <f>+I241</f>
        <v>67.5</v>
      </c>
      <c r="J242" s="826">
        <f>+J241+I242</f>
        <v>125</v>
      </c>
      <c r="K242" s="826">
        <f t="shared" ref="K242:L242" si="170">+K241+J242</f>
        <v>203</v>
      </c>
      <c r="L242" s="826">
        <f t="shared" si="170"/>
        <v>327</v>
      </c>
      <c r="M242" s="827"/>
      <c r="N242" s="826">
        <f>L242+N241</f>
        <v>439</v>
      </c>
      <c r="O242" s="826">
        <f>+O241+N242</f>
        <v>561</v>
      </c>
      <c r="P242" s="826">
        <f t="shared" ref="P242" si="171">+P241+O242</f>
        <v>667</v>
      </c>
      <c r="Q242" s="826">
        <f t="shared" ref="Q242" si="172">+Q241+P242</f>
        <v>803</v>
      </c>
      <c r="R242" s="827"/>
      <c r="S242" s="826">
        <f>Q242+S241</f>
        <v>924</v>
      </c>
      <c r="T242" s="826">
        <f>+T241+S242</f>
        <v>1038</v>
      </c>
      <c r="U242" s="826">
        <f t="shared" ref="U242" si="173">+U241+T242</f>
        <v>1107</v>
      </c>
      <c r="V242" s="826">
        <f t="shared" ref="V242" si="174">+V241+U242</f>
        <v>1191</v>
      </c>
      <c r="W242" s="827"/>
      <c r="X242" s="826">
        <f>V242+X241</f>
        <v>1278.5</v>
      </c>
      <c r="Y242" s="826">
        <f>+Y241+X242</f>
        <v>1366</v>
      </c>
      <c r="Z242" s="826">
        <f t="shared" ref="Z242" si="175">+Z241+Y242</f>
        <v>1453.5</v>
      </c>
      <c r="AA242" s="826">
        <f t="shared" ref="AA242" si="176">+AA241+Z242</f>
        <v>1541</v>
      </c>
      <c r="AB242" s="827"/>
      <c r="AC242" s="826">
        <f>AA242+AC241</f>
        <v>1616</v>
      </c>
      <c r="AD242" s="826">
        <f>+AD241+AC242</f>
        <v>1666</v>
      </c>
      <c r="AE242" s="826">
        <f t="shared" ref="AE242" si="177">+AE241+AD242</f>
        <v>1700</v>
      </c>
      <c r="AF242" s="829">
        <f t="shared" ref="AF242" si="178">+AF241+AE242</f>
        <v>1700</v>
      </c>
      <c r="AG242" s="827"/>
      <c r="AH242" s="828"/>
      <c r="AI242" s="828"/>
      <c r="AJ242" s="828"/>
      <c r="AK242" s="828"/>
      <c r="AL242" s="827"/>
      <c r="AM242" s="828"/>
      <c r="AN242" s="828"/>
      <c r="AO242" s="828"/>
      <c r="AP242" s="828"/>
      <c r="AQ242" s="827"/>
      <c r="AR242" s="828"/>
      <c r="AS242" s="828"/>
      <c r="AT242" s="828"/>
      <c r="AU242" s="828"/>
      <c r="AV242" s="827"/>
    </row>
    <row r="243" spans="1:48" s="643" customFormat="1" outlineLevel="1" x14ac:dyDescent="0.25">
      <c r="A243" s="675"/>
      <c r="B243" s="644" t="s">
        <v>737</v>
      </c>
      <c r="C243" s="645"/>
      <c r="D243" s="646"/>
      <c r="E243" s="646"/>
      <c r="F243" s="646"/>
      <c r="G243" s="646"/>
      <c r="H243" s="647"/>
      <c r="I243" s="646">
        <v>68</v>
      </c>
      <c r="J243" s="646">
        <v>58</v>
      </c>
      <c r="K243" s="646">
        <v>78</v>
      </c>
      <c r="L243" s="646">
        <v>83</v>
      </c>
      <c r="M243" s="647">
        <f>117+89+74</f>
        <v>280</v>
      </c>
      <c r="N243" s="646">
        <v>88</v>
      </c>
      <c r="O243" s="646">
        <v>96</v>
      </c>
      <c r="P243" s="646">
        <v>86</v>
      </c>
      <c r="Q243" s="646">
        <v>110</v>
      </c>
      <c r="R243" s="647">
        <f>+SUM(N243:Q243)</f>
        <v>380</v>
      </c>
      <c r="S243" s="646">
        <v>102</v>
      </c>
      <c r="T243" s="646">
        <v>99</v>
      </c>
      <c r="U243" s="646">
        <v>56</v>
      </c>
      <c r="V243" s="646">
        <v>68</v>
      </c>
      <c r="W243" s="647">
        <f>+SUM(S243:V243)</f>
        <v>325</v>
      </c>
      <c r="X243" s="648">
        <f t="shared" ref="V243:AA243" si="179">0.85*X241</f>
        <v>74.375</v>
      </c>
      <c r="Y243" s="648">
        <f t="shared" si="179"/>
        <v>74.375</v>
      </c>
      <c r="Z243" s="648">
        <f t="shared" si="179"/>
        <v>74.375</v>
      </c>
      <c r="AA243" s="648">
        <f t="shared" si="179"/>
        <v>74.375</v>
      </c>
      <c r="AB243" s="647">
        <f>+SUM(X243:AA243)</f>
        <v>297.5</v>
      </c>
      <c r="AC243" s="648">
        <f t="shared" ref="AC243" si="180">0.85*AC241</f>
        <v>63.75</v>
      </c>
      <c r="AD243" s="648">
        <f t="shared" ref="AD243" si="181">0.85*AD241</f>
        <v>42.5</v>
      </c>
      <c r="AE243" s="648">
        <f t="shared" ref="AE243" si="182">0.85*AE241</f>
        <v>28.9</v>
      </c>
      <c r="AF243" s="648">
        <f t="shared" ref="AF243" si="183">0.85*AF241</f>
        <v>0</v>
      </c>
      <c r="AG243" s="647">
        <f>+SUM(AC243:AF243)</f>
        <v>135.15</v>
      </c>
      <c r="AH243" s="648">
        <f t="shared" ref="AH243" si="184">0.85*AH241</f>
        <v>0</v>
      </c>
      <c r="AI243" s="648">
        <f t="shared" ref="AI243" si="185">0.85*AI241</f>
        <v>0</v>
      </c>
      <c r="AJ243" s="648">
        <f t="shared" ref="AJ243" si="186">0.85*AJ241</f>
        <v>0</v>
      </c>
      <c r="AK243" s="648">
        <f t="shared" ref="AK243" si="187">0.85*AK241</f>
        <v>0</v>
      </c>
      <c r="AL243" s="647">
        <f>+SUM(AH243:AK243)</f>
        <v>0</v>
      </c>
      <c r="AM243" s="648">
        <f t="shared" ref="AM243" si="188">0.85*AM241</f>
        <v>0</v>
      </c>
      <c r="AN243" s="648">
        <f t="shared" ref="AN243" si="189">0.85*AN241</f>
        <v>0</v>
      </c>
      <c r="AO243" s="648">
        <f t="shared" ref="AO243" si="190">0.85*AO241</f>
        <v>0</v>
      </c>
      <c r="AP243" s="648">
        <f t="shared" ref="AP243" si="191">0.85*AP241</f>
        <v>0</v>
      </c>
      <c r="AQ243" s="647">
        <f>+SUM(AM243:AP243)</f>
        <v>0</v>
      </c>
      <c r="AR243" s="648">
        <f t="shared" ref="AR243:AU243" si="192">0.85*AR241</f>
        <v>0</v>
      </c>
      <c r="AS243" s="648">
        <f t="shared" si="192"/>
        <v>0</v>
      </c>
      <c r="AT243" s="648">
        <f t="shared" si="192"/>
        <v>0</v>
      </c>
      <c r="AU243" s="648">
        <f t="shared" si="192"/>
        <v>0</v>
      </c>
      <c r="AV243" s="647">
        <f>+SUM(AR243:AU243)</f>
        <v>0</v>
      </c>
    </row>
    <row r="244" spans="1:48" outlineLevel="1" x14ac:dyDescent="0.25">
      <c r="A244" s="53"/>
      <c r="B244" s="287" t="s">
        <v>344</v>
      </c>
      <c r="C244" s="288"/>
      <c r="D244" s="99"/>
      <c r="E244" s="99"/>
      <c r="F244" s="99"/>
      <c r="G244" s="99"/>
      <c r="H244" s="111"/>
      <c r="I244" s="99">
        <v>22.5</v>
      </c>
      <c r="J244" s="99">
        <v>7.5</v>
      </c>
      <c r="K244" s="99">
        <v>15</v>
      </c>
      <c r="L244" s="99">
        <v>37</v>
      </c>
      <c r="M244" s="111">
        <v>82</v>
      </c>
      <c r="N244" s="99">
        <v>30</v>
      </c>
      <c r="O244" s="99">
        <v>31</v>
      </c>
      <c r="P244" s="99">
        <v>14</v>
      </c>
      <c r="Q244" s="99">
        <v>30</v>
      </c>
      <c r="R244" s="111">
        <v>105</v>
      </c>
      <c r="S244" s="99">
        <v>23.4</v>
      </c>
      <c r="T244" s="99">
        <v>24</v>
      </c>
      <c r="U244" s="99">
        <v>14</v>
      </c>
      <c r="V244" s="99">
        <v>16</v>
      </c>
      <c r="W244" s="111">
        <v>73.5</v>
      </c>
      <c r="X244" s="99">
        <f>+X241*X229</f>
        <v>20.125</v>
      </c>
      <c r="Y244" s="99">
        <f>+Y241*Y229</f>
        <v>20.125</v>
      </c>
      <c r="Z244" s="99">
        <f>+Z241*Z229</f>
        <v>20.125</v>
      </c>
      <c r="AA244" s="99">
        <f>+AA241*AA229</f>
        <v>20.125</v>
      </c>
      <c r="AB244" s="111">
        <f t="shared" si="165"/>
        <v>80.5</v>
      </c>
      <c r="AC244" s="99">
        <f>+AC241*AC229</f>
        <v>17.25</v>
      </c>
      <c r="AD244" s="99">
        <f>+AD241*AD229</f>
        <v>11.5</v>
      </c>
      <c r="AE244" s="99">
        <f>+AE241*AE229</f>
        <v>7.82</v>
      </c>
      <c r="AF244" s="99">
        <f>+AF241*AF229</f>
        <v>0</v>
      </c>
      <c r="AG244" s="111">
        <f t="shared" si="166"/>
        <v>36.57</v>
      </c>
      <c r="AH244" s="99">
        <f>+AH241*AH229</f>
        <v>0</v>
      </c>
      <c r="AI244" s="99">
        <f>+AI241*AI229</f>
        <v>0</v>
      </c>
      <c r="AJ244" s="99">
        <f>+AJ241*AJ229</f>
        <v>0</v>
      </c>
      <c r="AK244" s="99">
        <f>+AK241*AK229</f>
        <v>0</v>
      </c>
      <c r="AL244" s="111">
        <f t="shared" si="167"/>
        <v>0</v>
      </c>
      <c r="AM244" s="99">
        <f>+AM241*AM229</f>
        <v>0</v>
      </c>
      <c r="AN244" s="99">
        <f>+AN241*AN229</f>
        <v>0</v>
      </c>
      <c r="AO244" s="99">
        <f>+AO241*AO229</f>
        <v>0</v>
      </c>
      <c r="AP244" s="99">
        <f>+AP241*AP229</f>
        <v>0</v>
      </c>
      <c r="AQ244" s="111">
        <f t="shared" si="168"/>
        <v>0</v>
      </c>
      <c r="AR244" s="99">
        <f>+AR241*AR229</f>
        <v>0</v>
      </c>
      <c r="AS244" s="99">
        <f>+AS241*AS229</f>
        <v>0</v>
      </c>
      <c r="AT244" s="99">
        <f>+AT241*AT229</f>
        <v>0</v>
      </c>
      <c r="AU244" s="99">
        <f>+AU241*AU229</f>
        <v>0</v>
      </c>
      <c r="AV244" s="111">
        <f t="shared" ref="AV244:AV258" si="193">SUM(AR244:AU244)</f>
        <v>0</v>
      </c>
    </row>
    <row r="245" spans="1:48" outlineLevel="1" x14ac:dyDescent="0.25">
      <c r="A245" s="53"/>
      <c r="B245" s="287" t="s">
        <v>347</v>
      </c>
      <c r="C245" s="288"/>
      <c r="D245" s="99"/>
      <c r="E245" s="99"/>
      <c r="F245" s="99"/>
      <c r="G245" s="99"/>
      <c r="H245" s="111"/>
      <c r="I245" s="99"/>
      <c r="J245" s="99"/>
      <c r="K245" s="99"/>
      <c r="L245" s="99">
        <f>39+22</f>
        <v>61</v>
      </c>
      <c r="M245" s="111">
        <f>39+22</f>
        <v>61</v>
      </c>
      <c r="N245" s="99">
        <v>7</v>
      </c>
      <c r="O245" s="99">
        <v>0</v>
      </c>
      <c r="P245" s="99">
        <v>0</v>
      </c>
      <c r="Q245" s="99">
        <v>1</v>
      </c>
      <c r="R245" s="111">
        <v>8</v>
      </c>
      <c r="S245" s="99">
        <v>0</v>
      </c>
      <c r="T245" s="99">
        <v>46</v>
      </c>
      <c r="U245" s="99">
        <v>0</v>
      </c>
      <c r="V245" s="99">
        <v>0</v>
      </c>
      <c r="W245" s="111">
        <f t="shared" si="164"/>
        <v>46</v>
      </c>
      <c r="X245" s="241">
        <v>0</v>
      </c>
      <c r="Y245" s="241">
        <v>0</v>
      </c>
      <c r="Z245" s="241">
        <v>0</v>
      </c>
      <c r="AA245" s="241">
        <v>0</v>
      </c>
      <c r="AB245" s="111">
        <f t="shared" si="165"/>
        <v>0</v>
      </c>
      <c r="AC245" s="241">
        <v>0</v>
      </c>
      <c r="AD245" s="241">
        <v>0</v>
      </c>
      <c r="AE245" s="241">
        <v>0</v>
      </c>
      <c r="AF245" s="241">
        <v>0</v>
      </c>
      <c r="AG245" s="111">
        <f t="shared" si="166"/>
        <v>0</v>
      </c>
      <c r="AH245" s="241">
        <v>0</v>
      </c>
      <c r="AI245" s="241">
        <v>0</v>
      </c>
      <c r="AJ245" s="241">
        <v>0</v>
      </c>
      <c r="AK245" s="241">
        <v>0</v>
      </c>
      <c r="AL245" s="111">
        <f t="shared" si="167"/>
        <v>0</v>
      </c>
      <c r="AM245" s="241">
        <v>0</v>
      </c>
      <c r="AN245" s="241">
        <v>0</v>
      </c>
      <c r="AO245" s="241">
        <v>0</v>
      </c>
      <c r="AP245" s="241">
        <v>0</v>
      </c>
      <c r="AQ245" s="111">
        <f t="shared" si="168"/>
        <v>0</v>
      </c>
      <c r="AR245" s="241">
        <v>0</v>
      </c>
      <c r="AS245" s="241">
        <v>0</v>
      </c>
      <c r="AT245" s="241">
        <v>0</v>
      </c>
      <c r="AU245" s="241">
        <v>0</v>
      </c>
      <c r="AV245" s="111">
        <f t="shared" si="193"/>
        <v>0</v>
      </c>
    </row>
    <row r="246" spans="1:48" outlineLevel="1" x14ac:dyDescent="0.25">
      <c r="A246" s="53"/>
      <c r="B246" s="287" t="s">
        <v>348</v>
      </c>
      <c r="C246" s="288"/>
      <c r="D246" s="99"/>
      <c r="E246" s="99"/>
      <c r="F246" s="99"/>
      <c r="G246" s="99"/>
      <c r="H246" s="111"/>
      <c r="I246" s="99"/>
      <c r="J246" s="99"/>
      <c r="K246" s="99"/>
      <c r="L246" s="99">
        <f>15+9</f>
        <v>24</v>
      </c>
      <c r="M246" s="111">
        <f>15+9</f>
        <v>24</v>
      </c>
      <c r="N246" s="99">
        <v>2</v>
      </c>
      <c r="O246" s="99">
        <v>0</v>
      </c>
      <c r="P246" s="99">
        <v>0</v>
      </c>
      <c r="Q246" s="99">
        <v>-0.5</v>
      </c>
      <c r="R246" s="111">
        <v>2</v>
      </c>
      <c r="S246" s="99">
        <v>0</v>
      </c>
      <c r="T246" s="99">
        <v>0</v>
      </c>
      <c r="U246" s="99">
        <v>0</v>
      </c>
      <c r="V246" s="99">
        <v>0</v>
      </c>
      <c r="W246" s="111">
        <v>2.5</v>
      </c>
      <c r="X246" s="99">
        <f>+X245*X229</f>
        <v>0</v>
      </c>
      <c r="Y246" s="99">
        <f>+Y245*Y229</f>
        <v>0</v>
      </c>
      <c r="Z246" s="99">
        <f>+Z245*Z229</f>
        <v>0</v>
      </c>
      <c r="AA246" s="99">
        <f>+AA245*AA229</f>
        <v>0</v>
      </c>
      <c r="AB246" s="111">
        <f t="shared" si="165"/>
        <v>0</v>
      </c>
      <c r="AC246" s="99">
        <f>+AC245*AC229</f>
        <v>0</v>
      </c>
      <c r="AD246" s="99">
        <f>+AD245*AD229</f>
        <v>0</v>
      </c>
      <c r="AE246" s="99">
        <f>+AE245*AE229</f>
        <v>0</v>
      </c>
      <c r="AF246" s="99">
        <f>+AF245*AF229</f>
        <v>0</v>
      </c>
      <c r="AG246" s="111">
        <f t="shared" si="166"/>
        <v>0</v>
      </c>
      <c r="AH246" s="99">
        <f>+AH245*AH229</f>
        <v>0</v>
      </c>
      <c r="AI246" s="99">
        <f>+AI245*AI229</f>
        <v>0</v>
      </c>
      <c r="AJ246" s="99">
        <f>+AJ245*AJ229</f>
        <v>0</v>
      </c>
      <c r="AK246" s="99">
        <f>+AK245*AK229</f>
        <v>0</v>
      </c>
      <c r="AL246" s="111">
        <f t="shared" si="167"/>
        <v>0</v>
      </c>
      <c r="AM246" s="99">
        <f>+AM245*AM229</f>
        <v>0</v>
      </c>
      <c r="AN246" s="99">
        <f>+AN245*AN229</f>
        <v>0</v>
      </c>
      <c r="AO246" s="99">
        <f>+AO245*AO229</f>
        <v>0</v>
      </c>
      <c r="AP246" s="99">
        <f>+AP245*AP229</f>
        <v>0</v>
      </c>
      <c r="AQ246" s="111">
        <f t="shared" si="168"/>
        <v>0</v>
      </c>
      <c r="AR246" s="99">
        <f>+AR245*AR229</f>
        <v>0</v>
      </c>
      <c r="AS246" s="99">
        <f>+AS245*AS229</f>
        <v>0</v>
      </c>
      <c r="AT246" s="99">
        <f>+AT245*AT229</f>
        <v>0</v>
      </c>
      <c r="AU246" s="99">
        <f>+AU245*AU229</f>
        <v>0</v>
      </c>
      <c r="AV246" s="111">
        <f t="shared" si="193"/>
        <v>0</v>
      </c>
    </row>
    <row r="247" spans="1:48" outlineLevel="1" x14ac:dyDescent="0.25">
      <c r="A247" s="53"/>
      <c r="B247" s="635" t="s">
        <v>764</v>
      </c>
      <c r="C247" s="636"/>
      <c r="D247" s="99"/>
      <c r="E247" s="99"/>
      <c r="F247" s="99"/>
      <c r="G247" s="99"/>
      <c r="H247" s="111"/>
      <c r="I247" s="99"/>
      <c r="J247" s="99"/>
      <c r="K247" s="99"/>
      <c r="L247" s="99"/>
      <c r="M247" s="111"/>
      <c r="N247" s="99"/>
      <c r="O247" s="99"/>
      <c r="P247" s="99"/>
      <c r="Q247" s="99"/>
      <c r="R247" s="111"/>
      <c r="S247" s="99"/>
      <c r="T247" s="99"/>
      <c r="U247" s="99">
        <v>4</v>
      </c>
      <c r="V247" s="99">
        <v>316</v>
      </c>
      <c r="W247" s="111">
        <f>+SUM(S247:V247)</f>
        <v>320</v>
      </c>
      <c r="X247" s="241">
        <v>125</v>
      </c>
      <c r="Y247" s="241">
        <v>75</v>
      </c>
      <c r="Z247" s="241">
        <v>9</v>
      </c>
      <c r="AA247" s="241">
        <v>0</v>
      </c>
      <c r="AB247" s="111">
        <f>+SUM(X247:AA247)</f>
        <v>209</v>
      </c>
      <c r="AC247" s="99"/>
      <c r="AD247" s="99"/>
      <c r="AE247" s="99"/>
      <c r="AF247" s="99"/>
      <c r="AG247" s="111">
        <f>+SUM(AC247:AF247)</f>
        <v>0</v>
      </c>
      <c r="AH247" s="99"/>
      <c r="AI247" s="99"/>
      <c r="AJ247" s="99"/>
      <c r="AK247" s="99"/>
      <c r="AL247" s="111">
        <f>+SUM(AH247:AK247)</f>
        <v>0</v>
      </c>
      <c r="AM247" s="99"/>
      <c r="AN247" s="99"/>
      <c r="AO247" s="99"/>
      <c r="AP247" s="99"/>
      <c r="AQ247" s="111">
        <f>+SUM(AM247:AP247)</f>
        <v>0</v>
      </c>
      <c r="AR247" s="99"/>
      <c r="AS247" s="99"/>
      <c r="AT247" s="99"/>
      <c r="AU247" s="99"/>
      <c r="AV247" s="111">
        <f>+SUM(AR247:AU247)</f>
        <v>0</v>
      </c>
    </row>
    <row r="248" spans="1:48" s="830" customFormat="1" outlineLevel="1" x14ac:dyDescent="0.25">
      <c r="A248" s="831"/>
      <c r="B248" s="824" t="s">
        <v>767</v>
      </c>
      <c r="C248" s="825"/>
      <c r="D248" s="826"/>
      <c r="E248" s="826"/>
      <c r="F248" s="826"/>
      <c r="G248" s="826"/>
      <c r="H248" s="827"/>
      <c r="I248" s="826"/>
      <c r="J248" s="826"/>
      <c r="K248" s="826"/>
      <c r="L248" s="826"/>
      <c r="M248" s="827"/>
      <c r="N248" s="826"/>
      <c r="O248" s="826"/>
      <c r="P248" s="826"/>
      <c r="Q248" s="826"/>
      <c r="R248" s="827"/>
      <c r="S248" s="826"/>
      <c r="T248" s="826"/>
      <c r="U248" s="826"/>
      <c r="V248" s="826">
        <f>V247</f>
        <v>316</v>
      </c>
      <c r="W248" s="827"/>
      <c r="X248" s="828">
        <f>+X247+V248</f>
        <v>441</v>
      </c>
      <c r="Y248" s="828">
        <f>+Y247+X248</f>
        <v>516</v>
      </c>
      <c r="Z248" s="829">
        <f t="shared" ref="Z248:AA248" si="194">+Z247+Y248</f>
        <v>525</v>
      </c>
      <c r="AA248" s="828">
        <f t="shared" si="194"/>
        <v>525</v>
      </c>
      <c r="AB248" s="827"/>
      <c r="AC248" s="826"/>
      <c r="AD248" s="826"/>
      <c r="AE248" s="826"/>
      <c r="AF248" s="826"/>
      <c r="AG248" s="827"/>
      <c r="AH248" s="826"/>
      <c r="AI248" s="826"/>
      <c r="AJ248" s="826"/>
      <c r="AK248" s="826"/>
      <c r="AL248" s="827"/>
      <c r="AM248" s="826"/>
      <c r="AN248" s="826"/>
      <c r="AO248" s="826"/>
      <c r="AP248" s="826"/>
      <c r="AQ248" s="827"/>
      <c r="AR248" s="826"/>
      <c r="AS248" s="826"/>
      <c r="AT248" s="826"/>
      <c r="AU248" s="826"/>
      <c r="AV248" s="827"/>
    </row>
    <row r="249" spans="1:48" outlineLevel="1" x14ac:dyDescent="0.25">
      <c r="A249" s="53"/>
      <c r="B249" s="635" t="s">
        <v>765</v>
      </c>
      <c r="C249" s="636"/>
      <c r="D249" s="99"/>
      <c r="E249" s="99"/>
      <c r="F249" s="99"/>
      <c r="G249" s="99"/>
      <c r="H249" s="111"/>
      <c r="I249" s="99"/>
      <c r="J249" s="99"/>
      <c r="K249" s="99"/>
      <c r="L249" s="99"/>
      <c r="M249" s="111"/>
      <c r="N249" s="99"/>
      <c r="O249" s="99"/>
      <c r="P249" s="99"/>
      <c r="Q249" s="99"/>
      <c r="R249" s="111"/>
      <c r="S249" s="99"/>
      <c r="T249" s="99"/>
      <c r="U249" s="99">
        <v>1</v>
      </c>
      <c r="V249" s="99">
        <v>76</v>
      </c>
      <c r="W249" s="111">
        <f>+SUM(S249:V249)</f>
        <v>77</v>
      </c>
      <c r="X249" s="241">
        <f>0.244*X247</f>
        <v>30.5</v>
      </c>
      <c r="Y249" s="241">
        <f>0.244*Y247</f>
        <v>18.3</v>
      </c>
      <c r="Z249" s="241">
        <f t="shared" ref="Z249:AA249" si="195">0.244*Z247</f>
        <v>2.1959999999999997</v>
      </c>
      <c r="AA249" s="241">
        <f t="shared" si="195"/>
        <v>0</v>
      </c>
      <c r="AB249" s="111">
        <f>+SUM(X249:AA249)</f>
        <v>50.995999999999995</v>
      </c>
      <c r="AC249" s="99"/>
      <c r="AD249" s="99"/>
      <c r="AE249" s="99"/>
      <c r="AF249" s="99"/>
      <c r="AG249" s="111">
        <f>+SUM(AC249:AF249)</f>
        <v>0</v>
      </c>
      <c r="AH249" s="99"/>
      <c r="AI249" s="99"/>
      <c r="AJ249" s="99"/>
      <c r="AK249" s="99"/>
      <c r="AL249" s="111">
        <f>+SUM(AH249:AK249)</f>
        <v>0</v>
      </c>
      <c r="AM249" s="99"/>
      <c r="AN249" s="99"/>
      <c r="AO249" s="99"/>
      <c r="AP249" s="99"/>
      <c r="AQ249" s="111">
        <f>+SUM(AM249:AP249)</f>
        <v>0</v>
      </c>
      <c r="AR249" s="99"/>
      <c r="AS249" s="99"/>
      <c r="AT249" s="99"/>
      <c r="AU249" s="99"/>
      <c r="AV249" s="111">
        <f>+SUM(AR249:AU249)</f>
        <v>0</v>
      </c>
    </row>
    <row r="250" spans="1:48" outlineLevel="1" x14ac:dyDescent="0.25">
      <c r="A250" s="53"/>
      <c r="B250" s="644" t="s">
        <v>746</v>
      </c>
      <c r="C250" s="636"/>
      <c r="D250" s="99"/>
      <c r="E250" s="99"/>
      <c r="F250" s="99"/>
      <c r="G250" s="99"/>
      <c r="H250" s="111"/>
      <c r="I250" s="99"/>
      <c r="J250" s="99"/>
      <c r="K250" s="99"/>
      <c r="L250" s="99"/>
      <c r="M250" s="111"/>
      <c r="N250" s="99"/>
      <c r="O250" s="99"/>
      <c r="P250" s="99"/>
      <c r="Q250" s="99"/>
      <c r="R250" s="111"/>
      <c r="S250" s="99"/>
      <c r="T250" s="99"/>
      <c r="U250" s="99">
        <f>0.75*U247</f>
        <v>3</v>
      </c>
      <c r="V250" s="646">
        <v>0</v>
      </c>
      <c r="W250" s="647">
        <f>+SUM(S250:V250)</f>
        <v>3</v>
      </c>
      <c r="X250" s="648">
        <v>0</v>
      </c>
      <c r="Y250" s="648">
        <v>0</v>
      </c>
      <c r="Z250" s="648">
        <v>0</v>
      </c>
      <c r="AA250" s="648">
        <f t="shared" ref="X250:AA250" si="196">0.75*AA247</f>
        <v>0</v>
      </c>
      <c r="AB250" s="647">
        <f>+SUM(X250:AA250)</f>
        <v>0</v>
      </c>
      <c r="AC250" s="99"/>
      <c r="AD250" s="99"/>
      <c r="AE250" s="99"/>
      <c r="AF250" s="99"/>
      <c r="AG250" s="111">
        <f>+SUM(AC250:AF250)</f>
        <v>0</v>
      </c>
      <c r="AH250" s="99"/>
      <c r="AI250" s="99"/>
      <c r="AJ250" s="99"/>
      <c r="AK250" s="99"/>
      <c r="AL250" s="111">
        <f>+SUM(AH250:AK250)</f>
        <v>0</v>
      </c>
      <c r="AM250" s="99"/>
      <c r="AN250" s="99"/>
      <c r="AO250" s="99"/>
      <c r="AP250" s="99"/>
      <c r="AQ250" s="111">
        <f>+SUM(AM250:AP250)</f>
        <v>0</v>
      </c>
      <c r="AR250" s="99"/>
      <c r="AS250" s="99"/>
      <c r="AT250" s="99"/>
      <c r="AU250" s="99"/>
      <c r="AV250" s="111">
        <f>+SUM(AR250:AU250)</f>
        <v>0</v>
      </c>
    </row>
    <row r="251" spans="1:48" outlineLevel="1" x14ac:dyDescent="0.25">
      <c r="A251" s="53"/>
      <c r="B251" s="287" t="s">
        <v>775</v>
      </c>
      <c r="C251" s="288"/>
      <c r="D251" s="99"/>
      <c r="E251" s="99"/>
      <c r="F251" s="99"/>
      <c r="G251" s="99"/>
      <c r="H251" s="111"/>
      <c r="I251" s="99"/>
      <c r="J251" s="99"/>
      <c r="K251" s="99"/>
      <c r="L251" s="99">
        <v>0</v>
      </c>
      <c r="M251" s="111">
        <f>SUM(I251:L251)</f>
        <v>0</v>
      </c>
      <c r="N251" s="99">
        <v>0</v>
      </c>
      <c r="O251" s="99">
        <v>0</v>
      </c>
      <c r="P251" s="99">
        <v>0</v>
      </c>
      <c r="Q251" s="99">
        <v>-10</v>
      </c>
      <c r="R251" s="111">
        <v>-10</v>
      </c>
      <c r="S251" s="99">
        <v>0</v>
      </c>
      <c r="T251" s="99">
        <v>0</v>
      </c>
      <c r="U251" s="99">
        <v>0</v>
      </c>
      <c r="V251" s="99">
        <f>+V211</f>
        <v>3882</v>
      </c>
      <c r="W251" s="111">
        <f t="shared" si="164"/>
        <v>3882</v>
      </c>
      <c r="X251" s="241">
        <v>0</v>
      </c>
      <c r="Y251" s="241">
        <v>0</v>
      </c>
      <c r="Z251" s="241">
        <v>0</v>
      </c>
      <c r="AA251" s="241">
        <f>+AA211</f>
        <v>-99.999999999999943</v>
      </c>
      <c r="AB251" s="111">
        <f t="shared" si="165"/>
        <v>-99.999999999999943</v>
      </c>
      <c r="AC251" s="241">
        <v>0</v>
      </c>
      <c r="AD251" s="241">
        <v>0</v>
      </c>
      <c r="AE251" s="241">
        <v>0</v>
      </c>
      <c r="AF251" s="241">
        <f>+AF211</f>
        <v>-55.00000000000005</v>
      </c>
      <c r="AG251" s="111">
        <f t="shared" si="166"/>
        <v>-55.00000000000005</v>
      </c>
      <c r="AH251" s="241">
        <v>0</v>
      </c>
      <c r="AI251" s="241">
        <v>0</v>
      </c>
      <c r="AJ251" s="241">
        <v>0</v>
      </c>
      <c r="AK251" s="241">
        <f>+AK211</f>
        <v>-55.00000000000005</v>
      </c>
      <c r="AL251" s="111">
        <f t="shared" si="167"/>
        <v>-55.00000000000005</v>
      </c>
      <c r="AM251" s="241">
        <v>0</v>
      </c>
      <c r="AN251" s="241">
        <v>0</v>
      </c>
      <c r="AO251" s="241">
        <v>0</v>
      </c>
      <c r="AP251" s="241">
        <f>+AP211</f>
        <v>-55.00000000000005</v>
      </c>
      <c r="AQ251" s="111">
        <f t="shared" si="168"/>
        <v>-55.00000000000005</v>
      </c>
      <c r="AR251" s="241">
        <v>0</v>
      </c>
      <c r="AS251" s="241">
        <v>0</v>
      </c>
      <c r="AT251" s="241">
        <v>0</v>
      </c>
      <c r="AU251" s="241">
        <f>+AU211</f>
        <v>-55.00000000000005</v>
      </c>
      <c r="AV251" s="111">
        <f t="shared" ref="AV251:AV265" si="197">SUM(AR251:AU251)</f>
        <v>-55.00000000000005</v>
      </c>
    </row>
    <row r="252" spans="1:48" outlineLevel="1" x14ac:dyDescent="0.25">
      <c r="A252" s="53"/>
      <c r="B252" s="287" t="s">
        <v>345</v>
      </c>
      <c r="C252" s="288"/>
      <c r="D252" s="99"/>
      <c r="E252" s="99"/>
      <c r="F252" s="99"/>
      <c r="G252" s="99"/>
      <c r="H252" s="111"/>
      <c r="I252" s="99"/>
      <c r="J252" s="99"/>
      <c r="K252" s="99"/>
      <c r="L252" s="99">
        <v>6</v>
      </c>
      <c r="M252" s="111">
        <f>SUM(I252:L252)</f>
        <v>6</v>
      </c>
      <c r="N252" s="99">
        <v>0</v>
      </c>
      <c r="O252" s="99">
        <v>0</v>
      </c>
      <c r="P252" s="99">
        <v>0</v>
      </c>
      <c r="Q252" s="99">
        <v>-0.5</v>
      </c>
      <c r="R252" s="111">
        <v>-1</v>
      </c>
      <c r="S252" s="99">
        <v>0</v>
      </c>
      <c r="T252" s="99">
        <f>+T251*T229</f>
        <v>0</v>
      </c>
      <c r="U252" s="99">
        <v>0</v>
      </c>
      <c r="V252" s="99">
        <v>901.5</v>
      </c>
      <c r="W252" s="111">
        <f t="shared" si="164"/>
        <v>901.5</v>
      </c>
      <c r="X252" s="99">
        <f>+X251*X229</f>
        <v>0</v>
      </c>
      <c r="Y252" s="99">
        <f>+Y251*Y229</f>
        <v>0</v>
      </c>
      <c r="Z252" s="99">
        <f>+Z251*Z229</f>
        <v>0</v>
      </c>
      <c r="AA252" s="99">
        <f>+AA251*AA229</f>
        <v>-22.999999999999989</v>
      </c>
      <c r="AB252" s="111">
        <f t="shared" si="165"/>
        <v>-22.999999999999989</v>
      </c>
      <c r="AC252" s="99">
        <f>+AC251*AC229</f>
        <v>0</v>
      </c>
      <c r="AD252" s="99">
        <f>+AD251*AD229</f>
        <v>0</v>
      </c>
      <c r="AE252" s="99">
        <f>+AE251*AE229</f>
        <v>0</v>
      </c>
      <c r="AF252" s="99">
        <f>+AF251*AF229</f>
        <v>-12.650000000000013</v>
      </c>
      <c r="AG252" s="111">
        <f t="shared" si="166"/>
        <v>-12.650000000000013</v>
      </c>
      <c r="AH252" s="99">
        <f>+AH251*AH229</f>
        <v>0</v>
      </c>
      <c r="AI252" s="99">
        <f>+AI251*AI229</f>
        <v>0</v>
      </c>
      <c r="AJ252" s="99">
        <f>+AJ251*AJ229</f>
        <v>0</v>
      </c>
      <c r="AK252" s="99">
        <f>+AK251*AK229</f>
        <v>-12.10000000000001</v>
      </c>
      <c r="AL252" s="111">
        <f t="shared" si="167"/>
        <v>-12.10000000000001</v>
      </c>
      <c r="AM252" s="99">
        <f>+AM251*AM229</f>
        <v>0</v>
      </c>
      <c r="AN252" s="99">
        <f>+AN251*AN229</f>
        <v>0</v>
      </c>
      <c r="AO252" s="99">
        <f>+AO251*AO229</f>
        <v>0</v>
      </c>
      <c r="AP252" s="99">
        <f>+AP251*AP229</f>
        <v>-12.10000000000001</v>
      </c>
      <c r="AQ252" s="111">
        <f t="shared" si="168"/>
        <v>-12.10000000000001</v>
      </c>
      <c r="AR252" s="99">
        <f>+AR251*AR229</f>
        <v>0</v>
      </c>
      <c r="AS252" s="99">
        <f>+AS251*AS229</f>
        <v>0</v>
      </c>
      <c r="AT252" s="99">
        <f>+AT251*AT229</f>
        <v>0</v>
      </c>
      <c r="AU252" s="99">
        <f>+AU251*AU229</f>
        <v>-12.10000000000001</v>
      </c>
      <c r="AV252" s="111">
        <f t="shared" si="197"/>
        <v>-12.10000000000001</v>
      </c>
    </row>
    <row r="253" spans="1:48" outlineLevel="1" x14ac:dyDescent="0.25">
      <c r="A253" s="53"/>
      <c r="B253" s="689" t="s">
        <v>346</v>
      </c>
      <c r="C253" s="690"/>
      <c r="D253" s="279"/>
      <c r="E253" s="279"/>
      <c r="F253" s="279"/>
      <c r="G253" s="279"/>
      <c r="H253" s="280"/>
      <c r="I253" s="279"/>
      <c r="J253" s="279"/>
      <c r="K253" s="279"/>
      <c r="L253" s="279">
        <v>0</v>
      </c>
      <c r="M253" s="280">
        <v>0</v>
      </c>
      <c r="N253" s="279">
        <v>0</v>
      </c>
      <c r="O253" s="279">
        <v>0</v>
      </c>
      <c r="P253" s="279">
        <v>1150</v>
      </c>
      <c r="Q253" s="279"/>
      <c r="R253" s="280">
        <v>1150</v>
      </c>
      <c r="S253" s="279">
        <v>0</v>
      </c>
      <c r="T253" s="279">
        <v>-3.5</v>
      </c>
      <c r="U253" s="279">
        <v>0</v>
      </c>
      <c r="V253" s="279">
        <v>0</v>
      </c>
      <c r="W253" s="280">
        <f>SUM(S253:V253)</f>
        <v>-3.5</v>
      </c>
      <c r="X253" s="308">
        <v>0</v>
      </c>
      <c r="Y253" s="308">
        <v>0</v>
      </c>
      <c r="Z253" s="308">
        <v>0</v>
      </c>
      <c r="AA253" s="308">
        <v>0</v>
      </c>
      <c r="AB253" s="280">
        <f t="shared" si="165"/>
        <v>0</v>
      </c>
      <c r="AC253" s="308">
        <v>0</v>
      </c>
      <c r="AD253" s="308">
        <v>0</v>
      </c>
      <c r="AE253" s="308">
        <v>0</v>
      </c>
      <c r="AF253" s="308">
        <v>0</v>
      </c>
      <c r="AG253" s="280">
        <f t="shared" si="166"/>
        <v>0</v>
      </c>
      <c r="AH253" s="308">
        <v>0</v>
      </c>
      <c r="AI253" s="308">
        <v>0</v>
      </c>
      <c r="AJ253" s="308">
        <v>0</v>
      </c>
      <c r="AK253" s="308">
        <v>0</v>
      </c>
      <c r="AL253" s="280">
        <f t="shared" si="167"/>
        <v>0</v>
      </c>
      <c r="AM253" s="308">
        <v>0</v>
      </c>
      <c r="AN253" s="308">
        <v>0</v>
      </c>
      <c r="AO253" s="308">
        <v>0</v>
      </c>
      <c r="AP253" s="308">
        <v>0</v>
      </c>
      <c r="AQ253" s="280">
        <f t="shared" si="168"/>
        <v>0</v>
      </c>
      <c r="AR253" s="308">
        <v>0</v>
      </c>
      <c r="AS253" s="308">
        <v>0</v>
      </c>
      <c r="AT253" s="308">
        <v>0</v>
      </c>
      <c r="AU253" s="308">
        <v>0</v>
      </c>
      <c r="AV253" s="280">
        <f t="shared" si="197"/>
        <v>0</v>
      </c>
    </row>
    <row r="254" spans="1:48" x14ac:dyDescent="0.25">
      <c r="A254" s="53"/>
      <c r="B254" s="52"/>
      <c r="C254" s="52"/>
      <c r="F254" s="3"/>
      <c r="G254" s="3"/>
      <c r="H254" s="3"/>
      <c r="J254" s="64"/>
      <c r="K254" s="64"/>
      <c r="L254" s="64"/>
      <c r="M254" s="479"/>
      <c r="P254" s="3"/>
      <c r="Q254" s="3"/>
      <c r="R254" s="479"/>
      <c r="U254" s="3"/>
      <c r="V254" s="823"/>
      <c r="W254" s="3"/>
      <c r="Z254" s="37"/>
      <c r="AA254" s="3"/>
      <c r="AB254" s="479"/>
      <c r="AE254" s="3"/>
      <c r="AF254" s="3"/>
      <c r="AG254" s="479"/>
      <c r="AJ254" s="3"/>
      <c r="AK254" s="3"/>
      <c r="AL254" s="479"/>
      <c r="AO254" s="3"/>
      <c r="AP254" s="3"/>
      <c r="AQ254" s="479"/>
      <c r="AT254" s="3"/>
      <c r="AU254" s="3"/>
      <c r="AV254" s="479"/>
    </row>
    <row r="255" spans="1:48" ht="15.75" x14ac:dyDescent="0.25">
      <c r="B255" s="691" t="s">
        <v>107</v>
      </c>
      <c r="C255" s="692"/>
      <c r="D255" s="89" t="s">
        <v>116</v>
      </c>
      <c r="E255" s="89" t="s">
        <v>117</v>
      </c>
      <c r="F255" s="89" t="s">
        <v>118</v>
      </c>
      <c r="G255" s="89" t="s">
        <v>119</v>
      </c>
      <c r="H255" s="396" t="s">
        <v>119</v>
      </c>
      <c r="I255" s="89" t="s">
        <v>120</v>
      </c>
      <c r="J255" s="89" t="s">
        <v>121</v>
      </c>
      <c r="K255" s="89" t="s">
        <v>122</v>
      </c>
      <c r="L255" s="89" t="s">
        <v>123</v>
      </c>
      <c r="M255" s="396" t="s">
        <v>123</v>
      </c>
      <c r="N255" s="89" t="s">
        <v>124</v>
      </c>
      <c r="O255" s="89" t="s">
        <v>125</v>
      </c>
      <c r="P255" s="89" t="s">
        <v>126</v>
      </c>
      <c r="Q255" s="89" t="s">
        <v>127</v>
      </c>
      <c r="R255" s="396" t="s">
        <v>127</v>
      </c>
      <c r="S255" s="89" t="s">
        <v>128</v>
      </c>
      <c r="T255" s="89" t="s">
        <v>129</v>
      </c>
      <c r="U255" s="89" t="s">
        <v>130</v>
      </c>
      <c r="V255" s="89" t="s">
        <v>131</v>
      </c>
      <c r="W255" s="396" t="s">
        <v>131</v>
      </c>
      <c r="X255" s="91" t="s">
        <v>132</v>
      </c>
      <c r="Y255" s="91" t="s">
        <v>133</v>
      </c>
      <c r="Z255" s="91" t="s">
        <v>134</v>
      </c>
      <c r="AA255" s="91" t="s">
        <v>135</v>
      </c>
      <c r="AB255" s="400" t="s">
        <v>135</v>
      </c>
      <c r="AC255" s="91" t="s">
        <v>136</v>
      </c>
      <c r="AD255" s="91" t="s">
        <v>137</v>
      </c>
      <c r="AE255" s="91" t="s">
        <v>138</v>
      </c>
      <c r="AF255" s="91" t="s">
        <v>139</v>
      </c>
      <c r="AG255" s="400" t="s">
        <v>139</v>
      </c>
      <c r="AH255" s="91" t="s">
        <v>140</v>
      </c>
      <c r="AI255" s="91" t="s">
        <v>141</v>
      </c>
      <c r="AJ255" s="91" t="s">
        <v>142</v>
      </c>
      <c r="AK255" s="91" t="s">
        <v>143</v>
      </c>
      <c r="AL255" s="400" t="s">
        <v>143</v>
      </c>
      <c r="AM255" s="91" t="s">
        <v>144</v>
      </c>
      <c r="AN255" s="91" t="s">
        <v>145</v>
      </c>
      <c r="AO255" s="91" t="s">
        <v>146</v>
      </c>
      <c r="AP255" s="91" t="s">
        <v>147</v>
      </c>
      <c r="AQ255" s="400" t="s">
        <v>147</v>
      </c>
      <c r="AR255" s="91" t="s">
        <v>777</v>
      </c>
      <c r="AS255" s="91" t="s">
        <v>778</v>
      </c>
      <c r="AT255" s="91" t="s">
        <v>779</v>
      </c>
      <c r="AU255" s="91" t="s">
        <v>780</v>
      </c>
      <c r="AV255" s="400" t="s">
        <v>780</v>
      </c>
    </row>
    <row r="256" spans="1:48" ht="17.25" x14ac:dyDescent="0.4">
      <c r="B256" s="289" t="s">
        <v>3</v>
      </c>
      <c r="C256" s="402"/>
      <c r="D256" s="90" t="s">
        <v>69</v>
      </c>
      <c r="E256" s="90" t="s">
        <v>72</v>
      </c>
      <c r="F256" s="90" t="s">
        <v>73</v>
      </c>
      <c r="G256" s="90" t="s">
        <v>76</v>
      </c>
      <c r="H256" s="397" t="s">
        <v>77</v>
      </c>
      <c r="I256" s="90" t="s">
        <v>78</v>
      </c>
      <c r="J256" s="90" t="s">
        <v>89</v>
      </c>
      <c r="K256" s="90" t="s">
        <v>105</v>
      </c>
      <c r="L256" s="90" t="s">
        <v>109</v>
      </c>
      <c r="M256" s="397" t="s">
        <v>110</v>
      </c>
      <c r="N256" s="90" t="s">
        <v>111</v>
      </c>
      <c r="O256" s="90" t="s">
        <v>112</v>
      </c>
      <c r="P256" s="90" t="s">
        <v>113</v>
      </c>
      <c r="Q256" s="90" t="s">
        <v>114</v>
      </c>
      <c r="R256" s="397" t="s">
        <v>115</v>
      </c>
      <c r="S256" s="90" t="s">
        <v>492</v>
      </c>
      <c r="T256" s="90" t="s">
        <v>734</v>
      </c>
      <c r="U256" s="90" t="s">
        <v>753</v>
      </c>
      <c r="V256" s="90" t="s">
        <v>771</v>
      </c>
      <c r="W256" s="397" t="s">
        <v>773</v>
      </c>
      <c r="X256" s="88" t="s">
        <v>371</v>
      </c>
      <c r="Y256" s="88" t="s">
        <v>372</v>
      </c>
      <c r="Z256" s="88" t="s">
        <v>373</v>
      </c>
      <c r="AA256" s="88" t="s">
        <v>374</v>
      </c>
      <c r="AB256" s="401" t="s">
        <v>375</v>
      </c>
      <c r="AC256" s="88" t="s">
        <v>376</v>
      </c>
      <c r="AD256" s="88" t="s">
        <v>377</v>
      </c>
      <c r="AE256" s="88" t="s">
        <v>378</v>
      </c>
      <c r="AF256" s="88" t="s">
        <v>379</v>
      </c>
      <c r="AG256" s="401" t="s">
        <v>380</v>
      </c>
      <c r="AH256" s="88" t="s">
        <v>381</v>
      </c>
      <c r="AI256" s="88" t="s">
        <v>382</v>
      </c>
      <c r="AJ256" s="88" t="s">
        <v>383</v>
      </c>
      <c r="AK256" s="88" t="s">
        <v>384</v>
      </c>
      <c r="AL256" s="401" t="s">
        <v>385</v>
      </c>
      <c r="AM256" s="88" t="s">
        <v>386</v>
      </c>
      <c r="AN256" s="88" t="s">
        <v>387</v>
      </c>
      <c r="AO256" s="88" t="s">
        <v>388</v>
      </c>
      <c r="AP256" s="88" t="s">
        <v>389</v>
      </c>
      <c r="AQ256" s="401" t="s">
        <v>390</v>
      </c>
      <c r="AR256" s="88" t="s">
        <v>781</v>
      </c>
      <c r="AS256" s="88" t="s">
        <v>782</v>
      </c>
      <c r="AT256" s="88" t="s">
        <v>783</v>
      </c>
      <c r="AU256" s="88" t="s">
        <v>784</v>
      </c>
      <c r="AV256" s="401" t="s">
        <v>785</v>
      </c>
    </row>
    <row r="257" spans="1:48" ht="14.45" customHeight="1" x14ac:dyDescent="0.25">
      <c r="B257" s="691" t="s">
        <v>6</v>
      </c>
      <c r="C257" s="692"/>
      <c r="D257" s="89"/>
      <c r="E257" s="89"/>
      <c r="F257" s="89"/>
      <c r="G257" s="89"/>
      <c r="H257" s="396"/>
      <c r="I257" s="89"/>
      <c r="J257" s="89"/>
      <c r="K257" s="89"/>
      <c r="L257" s="89"/>
      <c r="M257" s="396"/>
      <c r="N257" s="89"/>
      <c r="O257" s="89"/>
      <c r="P257" s="89"/>
      <c r="Q257" s="89"/>
      <c r="R257" s="396"/>
      <c r="S257" s="89"/>
      <c r="T257" s="89"/>
      <c r="U257" s="89"/>
      <c r="V257" s="89"/>
      <c r="W257" s="396"/>
      <c r="X257" s="91"/>
      <c r="Y257" s="91"/>
      <c r="Z257" s="91"/>
      <c r="AA257" s="91"/>
      <c r="AB257" s="400"/>
      <c r="AC257" s="91"/>
      <c r="AD257" s="91"/>
      <c r="AE257" s="91"/>
      <c r="AF257" s="91"/>
      <c r="AG257" s="400"/>
      <c r="AH257" s="91"/>
      <c r="AI257" s="91"/>
      <c r="AJ257" s="91"/>
      <c r="AK257" s="91"/>
      <c r="AL257" s="400"/>
      <c r="AM257" s="91"/>
      <c r="AN257" s="91"/>
      <c r="AO257" s="91"/>
      <c r="AP257" s="91"/>
      <c r="AQ257" s="400"/>
      <c r="AR257" s="91"/>
      <c r="AS257" s="91"/>
      <c r="AT257" s="91"/>
      <c r="AU257" s="91"/>
      <c r="AV257" s="400"/>
    </row>
    <row r="258" spans="1:48" ht="14.45" customHeight="1" outlineLevel="1" x14ac:dyDescent="0.25">
      <c r="B258" s="687" t="s">
        <v>43</v>
      </c>
      <c r="C258" s="688"/>
      <c r="D258" s="99">
        <f>D353</f>
        <v>3543</v>
      </c>
      <c r="E258" s="99">
        <f>E353</f>
        <v>3647</v>
      </c>
      <c r="F258" s="99">
        <f>F353</f>
        <v>2841</v>
      </c>
      <c r="G258" s="92">
        <f>G353</f>
        <v>3534</v>
      </c>
      <c r="H258" s="93">
        <f>G258</f>
        <v>3534</v>
      </c>
      <c r="I258" s="92">
        <f>I353</f>
        <v>2989</v>
      </c>
      <c r="J258" s="99">
        <f>J353</f>
        <v>3059</v>
      </c>
      <c r="K258" s="99">
        <f>K353</f>
        <v>3173</v>
      </c>
      <c r="L258" s="92">
        <f>L353</f>
        <v>3969</v>
      </c>
      <c r="M258" s="93">
        <f>L258</f>
        <v>3969</v>
      </c>
      <c r="N258" s="99">
        <f>N353</f>
        <v>3503</v>
      </c>
      <c r="O258" s="99">
        <f>O353</f>
        <v>2768</v>
      </c>
      <c r="P258" s="99">
        <f>P353</f>
        <v>2789</v>
      </c>
      <c r="Q258" s="92">
        <f>Q353</f>
        <v>3265.1257859999969</v>
      </c>
      <c r="R258" s="93">
        <f>Q258</f>
        <v>3265.1257859999969</v>
      </c>
      <c r="S258" s="99">
        <f>S353</f>
        <v>2369.1257859999969</v>
      </c>
      <c r="T258" s="92">
        <f>T353</f>
        <v>2123.1257859999969</v>
      </c>
      <c r="U258" s="92">
        <f>U353</f>
        <v>2872.1257859999969</v>
      </c>
      <c r="V258" s="92">
        <f>V353</f>
        <v>2319.1257859999969</v>
      </c>
      <c r="W258" s="93">
        <f>V258</f>
        <v>2319.1257859999969</v>
      </c>
      <c r="X258" s="92">
        <f>X353</f>
        <v>3478.9620658106764</v>
      </c>
      <c r="Y258" s="92">
        <f>Y353</f>
        <v>2531.7409255791194</v>
      </c>
      <c r="Z258" s="92">
        <f>Z353</f>
        <v>4008.3802296076351</v>
      </c>
      <c r="AA258" s="92">
        <f>AA353</f>
        <v>4432.5153388679082</v>
      </c>
      <c r="AB258" s="93">
        <f>AA258</f>
        <v>4432.5153388679082</v>
      </c>
      <c r="AC258" s="92">
        <f>AC353</f>
        <v>6132.134502675588</v>
      </c>
      <c r="AD258" s="92">
        <f>AD353</f>
        <v>4927.7684189727861</v>
      </c>
      <c r="AE258" s="92">
        <f>AE353</f>
        <v>6822.71451169799</v>
      </c>
      <c r="AF258" s="92">
        <f>AF353</f>
        <v>7087.3084651745721</v>
      </c>
      <c r="AG258" s="93">
        <f>AF258</f>
        <v>7087.3084651745721</v>
      </c>
      <c r="AH258" s="92">
        <f>AH353</f>
        <v>9603.2041505581346</v>
      </c>
      <c r="AI258" s="92">
        <f>AI353</f>
        <v>7397.9768534608602</v>
      </c>
      <c r="AJ258" s="92">
        <f>AJ353</f>
        <v>10247.722446340471</v>
      </c>
      <c r="AK258" s="92">
        <f>AK353</f>
        <v>9689.8807364600034</v>
      </c>
      <c r="AL258" s="93">
        <f>AK258</f>
        <v>9689.8807364600034</v>
      </c>
      <c r="AM258" s="92">
        <f>AM353</f>
        <v>13234.606016987491</v>
      </c>
      <c r="AN258" s="92">
        <f>AN353</f>
        <v>9852.5735983556715</v>
      </c>
      <c r="AO258" s="92">
        <f>AO353</f>
        <v>13775.552636238088</v>
      </c>
      <c r="AP258" s="92">
        <f>AP353</f>
        <v>12112.400909617898</v>
      </c>
      <c r="AQ258" s="93">
        <f>AP258</f>
        <v>12112.400909617898</v>
      </c>
      <c r="AR258" s="92">
        <f>AR353</f>
        <v>16693.711955843741</v>
      </c>
      <c r="AS258" s="92">
        <f>AS353</f>
        <v>12039.641736518444</v>
      </c>
      <c r="AT258" s="92">
        <f>AT353</f>
        <v>17028.752640613719</v>
      </c>
      <c r="AU258" s="92">
        <f>AU353</f>
        <v>14145.17915599896</v>
      </c>
      <c r="AV258" s="93">
        <f>AU258</f>
        <v>14145.17915599896</v>
      </c>
    </row>
    <row r="259" spans="1:48" s="110" customFormat="1" ht="14.45" customHeight="1" outlineLevel="1" x14ac:dyDescent="0.25">
      <c r="A259" s="228"/>
      <c r="B259" s="687" t="s">
        <v>205</v>
      </c>
      <c r="C259" s="688"/>
      <c r="D259" s="99">
        <v>5617</v>
      </c>
      <c r="E259" s="92">
        <v>5865</v>
      </c>
      <c r="F259" s="92">
        <v>5634</v>
      </c>
      <c r="G259" s="92">
        <v>7252</v>
      </c>
      <c r="H259" s="93">
        <f>G259</f>
        <v>7252</v>
      </c>
      <c r="I259" s="92">
        <v>7233</v>
      </c>
      <c r="J259" s="99">
        <v>7575</v>
      </c>
      <c r="K259" s="99">
        <v>7418</v>
      </c>
      <c r="L259" s="92">
        <v>7599</v>
      </c>
      <c r="M259" s="93">
        <f>L259</f>
        <v>7599</v>
      </c>
      <c r="N259" s="99">
        <v>8006</v>
      </c>
      <c r="O259" s="92">
        <v>8655</v>
      </c>
      <c r="P259" s="92">
        <v>8671</v>
      </c>
      <c r="Q259" s="92">
        <v>8522</v>
      </c>
      <c r="R259" s="93">
        <f>Q259</f>
        <v>8522</v>
      </c>
      <c r="S259" s="99">
        <v>8716</v>
      </c>
      <c r="T259" s="92">
        <v>9573</v>
      </c>
      <c r="U259" s="92">
        <v>9037</v>
      </c>
      <c r="V259" s="92">
        <v>9116</v>
      </c>
      <c r="W259" s="93">
        <f>V259</f>
        <v>9116</v>
      </c>
      <c r="X259" s="92">
        <f>(X13/X303*2)-V259</f>
        <v>8170.5235749472195</v>
      </c>
      <c r="Y259" s="92">
        <f>(Y13/Y303*2)-X259</f>
        <v>10401.676829002517</v>
      </c>
      <c r="Z259" s="92">
        <f>(Z13/Z303*2)-Y259</f>
        <v>9072.6324008622687</v>
      </c>
      <c r="AA259" s="92">
        <f>(AA13/AA303*2)-Z259</f>
        <v>9582.9468657182915</v>
      </c>
      <c r="AB259" s="93">
        <f>AA259</f>
        <v>9582.9468657182915</v>
      </c>
      <c r="AC259" s="92">
        <f>(AC13/AC303*2)-AA259</f>
        <v>8620.4962606569097</v>
      </c>
      <c r="AD259" s="92">
        <f>(AD13/AD303*2)-AC259</f>
        <v>10743.753556076175</v>
      </c>
      <c r="AE259" s="92">
        <f>(AE13/AE303*2)-AD259</f>
        <v>9433.2395576384115</v>
      </c>
      <c r="AF259" s="92">
        <f>(AF13/AF303*2)-AE259</f>
        <v>10525.979569348237</v>
      </c>
      <c r="AG259" s="93">
        <f>AF259</f>
        <v>10525.979569348237</v>
      </c>
      <c r="AH259" s="92">
        <f>(AH13/AH303*2)-AF259</f>
        <v>8474.1559987683031</v>
      </c>
      <c r="AI259" s="92">
        <f>(AI13/AI303*2)-AH259</f>
        <v>11771.244901953687</v>
      </c>
      <c r="AJ259" s="92">
        <f>(AJ13/AJ303*2)-AI259</f>
        <v>9345.8218574625898</v>
      </c>
      <c r="AK259" s="92">
        <f>(AK13/AK303*2)-AJ259</f>
        <v>11524.67206286508</v>
      </c>
      <c r="AL259" s="93">
        <f>AK259</f>
        <v>11524.67206286508</v>
      </c>
      <c r="AM259" s="92">
        <f>(AM13/AM303*2)-AK259</f>
        <v>8256.0410707359079</v>
      </c>
      <c r="AN259" s="92">
        <f>(AN13/AN303*2)-AM259</f>
        <v>12814.10079153152</v>
      </c>
      <c r="AO259" s="92">
        <f>(AO13/AO303*2)-AN259</f>
        <v>9146.667734493989</v>
      </c>
      <c r="AP259" s="92">
        <f>(AP13/AP303*2)-AO259</f>
        <v>12519.922777690226</v>
      </c>
      <c r="AQ259" s="93">
        <f>AP259</f>
        <v>12519.922777690226</v>
      </c>
      <c r="AR259" s="92">
        <f>(AR13/AR303*2)-AP259</f>
        <v>7964.834791842819</v>
      </c>
      <c r="AS259" s="92">
        <f>(AS13/AS303*2)-AR259</f>
        <v>13832.323423760699</v>
      </c>
      <c r="AT259" s="92">
        <f>(AT13/AT303*2)-AS259</f>
        <v>8861.1027346652081</v>
      </c>
      <c r="AU259" s="92">
        <f>(AU13/AU303*2)-AT259</f>
        <v>13489.102478583205</v>
      </c>
      <c r="AV259" s="93">
        <f>AU259</f>
        <v>13489.102478583205</v>
      </c>
    </row>
    <row r="260" spans="1:48" ht="14.45" customHeight="1" outlineLevel="1" x14ac:dyDescent="0.25">
      <c r="B260" s="287" t="s">
        <v>206</v>
      </c>
      <c r="C260" s="288"/>
      <c r="D260" s="99">
        <v>488</v>
      </c>
      <c r="E260" s="92">
        <v>493</v>
      </c>
      <c r="F260" s="92">
        <v>476</v>
      </c>
      <c r="G260" s="92">
        <v>496</v>
      </c>
      <c r="H260" s="93">
        <f>G260</f>
        <v>496</v>
      </c>
      <c r="I260" s="92">
        <v>512</v>
      </c>
      <c r="J260" s="99">
        <v>517</v>
      </c>
      <c r="K260" s="99">
        <v>527</v>
      </c>
      <c r="L260" s="92">
        <v>514</v>
      </c>
      <c r="M260" s="93">
        <f>L260</f>
        <v>514</v>
      </c>
      <c r="N260" s="99">
        <v>516</v>
      </c>
      <c r="O260" s="92">
        <v>533</v>
      </c>
      <c r="P260" s="92">
        <v>523</v>
      </c>
      <c r="Q260" s="138">
        <v>525</v>
      </c>
      <c r="R260" s="169">
        <f>Q260</f>
        <v>525</v>
      </c>
      <c r="S260" s="138">
        <v>523</v>
      </c>
      <c r="T260" s="138">
        <v>522</v>
      </c>
      <c r="U260" s="138">
        <v>546</v>
      </c>
      <c r="V260" s="138">
        <v>553</v>
      </c>
      <c r="W260" s="93">
        <f>V260</f>
        <v>553</v>
      </c>
      <c r="X260" s="138">
        <f>+X264*X305</f>
        <v>563.55195424670524</v>
      </c>
      <c r="Y260" s="138">
        <f>+Y264*Y305</f>
        <v>576.7267574728005</v>
      </c>
      <c r="Z260" s="138">
        <f>+Z264*Z305</f>
        <v>592.83188374929159</v>
      </c>
      <c r="AA260" s="138">
        <f>+AA264*AA305</f>
        <v>606.79373961491967</v>
      </c>
      <c r="AB260" s="93">
        <f>AA260</f>
        <v>606.79373961491967</v>
      </c>
      <c r="AC260" s="138">
        <f>+AC264*AC305</f>
        <v>620.33801153364141</v>
      </c>
      <c r="AD260" s="138">
        <f>+AD264*AD305</f>
        <v>635.18829187434415</v>
      </c>
      <c r="AE260" s="138">
        <f>+AE264*AE305</f>
        <v>649.9943822187214</v>
      </c>
      <c r="AF260" s="138">
        <f>+AF264*AF305</f>
        <v>665.1795399901963</v>
      </c>
      <c r="AG260" s="93">
        <f>AF260</f>
        <v>665.1795399901963</v>
      </c>
      <c r="AH260" s="138">
        <f>+AH264*AH305</f>
        <v>679.82586169168383</v>
      </c>
      <c r="AI260" s="138">
        <f>+AI264*AI305</f>
        <v>695.33658007325926</v>
      </c>
      <c r="AJ260" s="138">
        <f>+AJ264*AJ305</f>
        <v>710.5051593960718</v>
      </c>
      <c r="AK260" s="138">
        <f>+AK264*AK305</f>
        <v>726.50503272335584</v>
      </c>
      <c r="AL260" s="93">
        <f>AK260</f>
        <v>726.50503272335584</v>
      </c>
      <c r="AM260" s="138">
        <f>+AM264*AM305</f>
        <v>741.83057229057715</v>
      </c>
      <c r="AN260" s="138">
        <f>+AN264*AN305</f>
        <v>757.93357939891348</v>
      </c>
      <c r="AO260" s="138">
        <f>+AO264*AO305</f>
        <v>773.66393750132011</v>
      </c>
      <c r="AP260" s="138">
        <f>+AP264*AP305</f>
        <v>790.30798562274992</v>
      </c>
      <c r="AQ260" s="93">
        <f>AP260</f>
        <v>790.30798562274992</v>
      </c>
      <c r="AR260" s="138">
        <f>+AR264*AR305</f>
        <v>806.18589809756008</v>
      </c>
      <c r="AS260" s="138">
        <f>+AS264*AS305</f>
        <v>822.83270580825422</v>
      </c>
      <c r="AT260" s="138">
        <f>+AT264*AT305</f>
        <v>839.08409287465292</v>
      </c>
      <c r="AU260" s="138">
        <f>+AU264*AU305</f>
        <v>856.26051005878412</v>
      </c>
      <c r="AV260" s="93">
        <f>AU260</f>
        <v>856.26051005878412</v>
      </c>
    </row>
    <row r="261" spans="1:48" ht="14.45" customHeight="1" outlineLevel="1" x14ac:dyDescent="0.25">
      <c r="B261" s="687" t="s">
        <v>207</v>
      </c>
      <c r="C261" s="688"/>
      <c r="D261" s="99">
        <v>606</v>
      </c>
      <c r="E261" s="99">
        <v>687</v>
      </c>
      <c r="F261" s="99">
        <v>608</v>
      </c>
      <c r="G261" s="99">
        <v>0</v>
      </c>
      <c r="H261" s="93">
        <f>G261</f>
        <v>0</v>
      </c>
      <c r="I261" s="99">
        <v>0</v>
      </c>
      <c r="J261" s="99">
        <f>I261</f>
        <v>0</v>
      </c>
      <c r="K261" s="99">
        <f>J261</f>
        <v>0</v>
      </c>
      <c r="L261" s="99">
        <f>K261</f>
        <v>0</v>
      </c>
      <c r="M261" s="93">
        <f>L261</f>
        <v>0</v>
      </c>
      <c r="N261" s="99">
        <f>M261</f>
        <v>0</v>
      </c>
      <c r="O261" s="99">
        <v>0</v>
      </c>
      <c r="P261" s="99">
        <v>0</v>
      </c>
      <c r="Q261" s="99">
        <v>0</v>
      </c>
      <c r="R261" s="93">
        <f>Q261</f>
        <v>0</v>
      </c>
      <c r="S261" s="99">
        <v>0</v>
      </c>
      <c r="T261" s="99">
        <v>0</v>
      </c>
      <c r="U261" s="99">
        <v>0</v>
      </c>
      <c r="V261" s="99">
        <v>0</v>
      </c>
      <c r="W261" s="93">
        <f>V261</f>
        <v>0</v>
      </c>
      <c r="X261" s="99">
        <v>0</v>
      </c>
      <c r="Y261" s="99">
        <v>0</v>
      </c>
      <c r="Z261" s="99">
        <v>0</v>
      </c>
      <c r="AA261" s="99">
        <v>0</v>
      </c>
      <c r="AB261" s="93">
        <f>AA261</f>
        <v>0</v>
      </c>
      <c r="AC261" s="99">
        <v>0</v>
      </c>
      <c r="AD261" s="99">
        <v>0</v>
      </c>
      <c r="AE261" s="99">
        <v>0</v>
      </c>
      <c r="AF261" s="99">
        <v>0</v>
      </c>
      <c r="AG261" s="93">
        <f>AF261</f>
        <v>0</v>
      </c>
      <c r="AH261" s="99">
        <v>0</v>
      </c>
      <c r="AI261" s="99">
        <v>0</v>
      </c>
      <c r="AJ261" s="99">
        <v>0</v>
      </c>
      <c r="AK261" s="99">
        <v>0</v>
      </c>
      <c r="AL261" s="93">
        <f>AK261</f>
        <v>0</v>
      </c>
      <c r="AM261" s="99">
        <v>0</v>
      </c>
      <c r="AN261" s="99">
        <v>0</v>
      </c>
      <c r="AO261" s="99">
        <v>0</v>
      </c>
      <c r="AP261" s="99">
        <v>0</v>
      </c>
      <c r="AQ261" s="93">
        <f>AP261</f>
        <v>0</v>
      </c>
      <c r="AR261" s="99">
        <v>0</v>
      </c>
      <c r="AS261" s="99">
        <v>0</v>
      </c>
      <c r="AT261" s="99">
        <v>0</v>
      </c>
      <c r="AU261" s="99">
        <v>0</v>
      </c>
      <c r="AV261" s="93">
        <f>AU261</f>
        <v>0</v>
      </c>
    </row>
    <row r="262" spans="1:48" ht="16.149999999999999" customHeight="1" outlineLevel="1" x14ac:dyDescent="0.4">
      <c r="B262" s="687" t="s">
        <v>302</v>
      </c>
      <c r="C262" s="688"/>
      <c r="D262" s="100">
        <v>449</v>
      </c>
      <c r="E262" s="100">
        <v>460</v>
      </c>
      <c r="F262" s="100">
        <v>678</v>
      </c>
      <c r="G262" s="100">
        <v>707</v>
      </c>
      <c r="H262" s="98">
        <f>G262</f>
        <v>707</v>
      </c>
      <c r="I262" s="100">
        <v>667</v>
      </c>
      <c r="J262" s="100">
        <v>901</v>
      </c>
      <c r="K262" s="100">
        <v>820</v>
      </c>
      <c r="L262" s="100">
        <v>546</v>
      </c>
      <c r="M262" s="98">
        <f>L262</f>
        <v>546</v>
      </c>
      <c r="N262" s="100">
        <v>697</v>
      </c>
      <c r="O262" s="100">
        <v>925</v>
      </c>
      <c r="P262" s="100">
        <v>1592</v>
      </c>
      <c r="Q262" s="100">
        <v>1040</v>
      </c>
      <c r="R262" s="98">
        <f>Q262</f>
        <v>1040</v>
      </c>
      <c r="S262" s="100">
        <v>1033</v>
      </c>
      <c r="T262" s="100">
        <v>1220</v>
      </c>
      <c r="U262" s="100">
        <v>1045</v>
      </c>
      <c r="V262" s="100">
        <v>1098</v>
      </c>
      <c r="W262" s="98">
        <f>V262</f>
        <v>1098</v>
      </c>
      <c r="X262" s="239">
        <f>AVERAGE(S262,T262,U262,V262)</f>
        <v>1099</v>
      </c>
      <c r="Y262" s="239">
        <f>AVERAGE(T262,U262,V262,X262)</f>
        <v>1115.5</v>
      </c>
      <c r="Z262" s="239">
        <f>AVERAGE(U262,V262,X262,Y262)</f>
        <v>1089.375</v>
      </c>
      <c r="AA262" s="239">
        <f>AVERAGE(V262,X262,Y262,Z262)</f>
        <v>1100.46875</v>
      </c>
      <c r="AB262" s="98">
        <f>AA262</f>
        <v>1100.46875</v>
      </c>
      <c r="AC262" s="239">
        <f>AVERAGE(X262,Y262,Z262,AA262)</f>
        <v>1101.0859375</v>
      </c>
      <c r="AD262" s="239">
        <f>AVERAGE(Y262,Z262,AA262,AC262)</f>
        <v>1101.607421875</v>
      </c>
      <c r="AE262" s="239">
        <f>AVERAGE(Z262,AA262,AC262,AD262)</f>
        <v>1098.13427734375</v>
      </c>
      <c r="AF262" s="239">
        <f>AVERAGE(AA262,AC262,AD262,AE262)</f>
        <v>1100.3240966796875</v>
      </c>
      <c r="AG262" s="98">
        <f>AF262</f>
        <v>1100.3240966796875</v>
      </c>
      <c r="AH262" s="239">
        <f>AVERAGE(AC262,AD262,AE262,AF262)</f>
        <v>1100.2879333496094</v>
      </c>
      <c r="AI262" s="239">
        <f>AVERAGE(AD262,AE262,AF262,AH262)</f>
        <v>1100.0884323120117</v>
      </c>
      <c r="AJ262" s="239">
        <f>AVERAGE(AE262,AF262,AH262,AI262)</f>
        <v>1099.7086849212646</v>
      </c>
      <c r="AK262" s="239">
        <f>AVERAGE(AF262,AH262,AI262,AJ262)</f>
        <v>1100.1022868156433</v>
      </c>
      <c r="AL262" s="98">
        <f>AK262</f>
        <v>1100.1022868156433</v>
      </c>
      <c r="AM262" s="239">
        <f>AVERAGE(AH262,AI262,AJ262,AK262)</f>
        <v>1100.0468343496323</v>
      </c>
      <c r="AN262" s="239">
        <f>AVERAGE(AI262,AJ262,AK262,AM262)</f>
        <v>1099.986559599638</v>
      </c>
      <c r="AO262" s="239">
        <f>AVERAGE(AJ262,AK262,AM262,AN262)</f>
        <v>1099.9610914215446</v>
      </c>
      <c r="AP262" s="239">
        <f>AVERAGE(AK262,AM262,AN262,AO262)</f>
        <v>1100.0241930466145</v>
      </c>
      <c r="AQ262" s="98">
        <f>AP262</f>
        <v>1100.0241930466145</v>
      </c>
      <c r="AR262" s="239">
        <f>AVERAGE(AM262,AN262,AO262,AP262)</f>
        <v>1100.0046696043573</v>
      </c>
      <c r="AS262" s="239">
        <f>AVERAGE(AN262,AO262,AP262,AR262)</f>
        <v>1099.9941284180386</v>
      </c>
      <c r="AT262" s="239">
        <f>AVERAGE(AO262,AP262,AR262,AS262)</f>
        <v>1099.9960206226388</v>
      </c>
      <c r="AU262" s="239">
        <f>AVERAGE(AP262,AR262,AS262,AT262)</f>
        <v>1100.0047529229123</v>
      </c>
      <c r="AV262" s="98">
        <f>AU262</f>
        <v>1100.0047529229123</v>
      </c>
    </row>
    <row r="263" spans="1:48" ht="14.45" customHeight="1" outlineLevel="1" x14ac:dyDescent="0.25">
      <c r="B263" s="285" t="s">
        <v>4</v>
      </c>
      <c r="C263" s="286"/>
      <c r="D263" s="108">
        <f t="shared" ref="D263:AQ263" si="198">SUM(D258:D262)</f>
        <v>10703</v>
      </c>
      <c r="E263" s="106">
        <f t="shared" si="198"/>
        <v>11152</v>
      </c>
      <c r="F263" s="108">
        <f t="shared" si="198"/>
        <v>10237</v>
      </c>
      <c r="G263" s="108">
        <f t="shared" si="198"/>
        <v>11989</v>
      </c>
      <c r="H263" s="107">
        <f t="shared" si="198"/>
        <v>11989</v>
      </c>
      <c r="I263" s="106">
        <f t="shared" si="198"/>
        <v>11401</v>
      </c>
      <c r="J263" s="108">
        <f t="shared" si="198"/>
        <v>12052</v>
      </c>
      <c r="K263" s="108">
        <f t="shared" si="198"/>
        <v>11938</v>
      </c>
      <c r="L263" s="108">
        <f t="shared" si="198"/>
        <v>12628</v>
      </c>
      <c r="M263" s="107">
        <f t="shared" si="198"/>
        <v>12628</v>
      </c>
      <c r="N263" s="108">
        <f t="shared" si="198"/>
        <v>12722</v>
      </c>
      <c r="O263" s="106">
        <f t="shared" si="198"/>
        <v>12881</v>
      </c>
      <c r="P263" s="106">
        <f t="shared" si="198"/>
        <v>13575</v>
      </c>
      <c r="Q263" s="108">
        <f t="shared" si="198"/>
        <v>13352.125785999997</v>
      </c>
      <c r="R263" s="107">
        <f t="shared" si="198"/>
        <v>13352.125785999997</v>
      </c>
      <c r="S263" s="108">
        <f t="shared" si="198"/>
        <v>12641.125785999997</v>
      </c>
      <c r="T263" s="108">
        <f t="shared" si="198"/>
        <v>13438.125785999997</v>
      </c>
      <c r="U263" s="108">
        <f t="shared" si="198"/>
        <v>13500.125785999997</v>
      </c>
      <c r="V263" s="106">
        <f t="shared" si="198"/>
        <v>13086.125785999997</v>
      </c>
      <c r="W263" s="107">
        <f t="shared" si="198"/>
        <v>13086.125785999997</v>
      </c>
      <c r="X263" s="106">
        <f t="shared" si="198"/>
        <v>13312.0375950046</v>
      </c>
      <c r="Y263" s="106">
        <f t="shared" si="198"/>
        <v>14625.644512054438</v>
      </c>
      <c r="Z263" s="106">
        <f t="shared" si="198"/>
        <v>14763.219514219196</v>
      </c>
      <c r="AA263" s="106">
        <f t="shared" si="198"/>
        <v>15722.724694201119</v>
      </c>
      <c r="AB263" s="107">
        <f t="shared" si="198"/>
        <v>15722.724694201119</v>
      </c>
      <c r="AC263" s="106">
        <f t="shared" si="198"/>
        <v>16474.054712366138</v>
      </c>
      <c r="AD263" s="106">
        <f t="shared" si="198"/>
        <v>17408.317688798306</v>
      </c>
      <c r="AE263" s="106">
        <f t="shared" si="198"/>
        <v>18004.082728898873</v>
      </c>
      <c r="AF263" s="106">
        <f t="shared" si="198"/>
        <v>19378.791671192696</v>
      </c>
      <c r="AG263" s="107">
        <f t="shared" si="198"/>
        <v>19378.791671192696</v>
      </c>
      <c r="AH263" s="106">
        <f t="shared" si="198"/>
        <v>19857.473944367728</v>
      </c>
      <c r="AI263" s="106">
        <f t="shared" si="198"/>
        <v>20964.646767799819</v>
      </c>
      <c r="AJ263" s="106">
        <f t="shared" si="198"/>
        <v>21403.758148120396</v>
      </c>
      <c r="AK263" s="106">
        <f t="shared" si="198"/>
        <v>23041.160118864082</v>
      </c>
      <c r="AL263" s="107">
        <f t="shared" si="198"/>
        <v>23041.160118864082</v>
      </c>
      <c r="AM263" s="106">
        <f t="shared" si="198"/>
        <v>23332.52449436361</v>
      </c>
      <c r="AN263" s="106">
        <f t="shared" si="198"/>
        <v>24524.594528885744</v>
      </c>
      <c r="AO263" s="106">
        <f t="shared" si="198"/>
        <v>24795.845399654943</v>
      </c>
      <c r="AP263" s="106">
        <f t="shared" si="198"/>
        <v>26522.655865977489</v>
      </c>
      <c r="AQ263" s="107">
        <f t="shared" si="198"/>
        <v>26522.655865977489</v>
      </c>
      <c r="AR263" s="106">
        <f t="shared" ref="AR263:AV263" si="199">SUM(AR258:AR262)</f>
        <v>26564.737315388476</v>
      </c>
      <c r="AS263" s="106">
        <f t="shared" si="199"/>
        <v>27794.791994505435</v>
      </c>
      <c r="AT263" s="106">
        <f t="shared" si="199"/>
        <v>27828.935488776217</v>
      </c>
      <c r="AU263" s="106">
        <f t="shared" si="199"/>
        <v>29590.546897563858</v>
      </c>
      <c r="AV263" s="107">
        <f t="shared" si="199"/>
        <v>29590.546897563858</v>
      </c>
    </row>
    <row r="264" spans="1:48" outlineLevel="1" x14ac:dyDescent="0.25">
      <c r="B264" s="291" t="s">
        <v>298</v>
      </c>
      <c r="C264" s="286"/>
      <c r="D264" s="99">
        <v>43989</v>
      </c>
      <c r="E264" s="99">
        <v>45242</v>
      </c>
      <c r="F264" s="99">
        <v>46032</v>
      </c>
      <c r="G264" s="99">
        <v>47018</v>
      </c>
      <c r="H264" s="93">
        <f>G264</f>
        <v>47018</v>
      </c>
      <c r="I264" s="99">
        <v>48121</v>
      </c>
      <c r="J264" s="99">
        <v>48918</v>
      </c>
      <c r="K264" s="99">
        <v>49752</v>
      </c>
      <c r="L264" s="99">
        <v>50626</v>
      </c>
      <c r="M264" s="93">
        <f>L264</f>
        <v>50626</v>
      </c>
      <c r="N264" s="99">
        <v>51540</v>
      </c>
      <c r="O264" s="99">
        <v>53240</v>
      </c>
      <c r="P264" s="99">
        <v>54377</v>
      </c>
      <c r="Q264" s="99">
        <v>55121</v>
      </c>
      <c r="R264" s="93">
        <f>Q264</f>
        <v>55121</v>
      </c>
      <c r="S264" s="99">
        <v>56326</v>
      </c>
      <c r="T264" s="99">
        <v>57501</v>
      </c>
      <c r="U264" s="99">
        <v>58164</v>
      </c>
      <c r="V264" s="99">
        <v>59511</v>
      </c>
      <c r="W264" s="93">
        <f>V264</f>
        <v>59511</v>
      </c>
      <c r="X264" s="99">
        <f>V264-X336</f>
        <v>60853.838308256505</v>
      </c>
      <c r="Y264" s="99">
        <f>X264-Y336</f>
        <v>62317.681828808098</v>
      </c>
      <c r="Z264" s="99">
        <f>Y264-Z336</f>
        <v>63753.897768810879</v>
      </c>
      <c r="AA264" s="99">
        <f>Z264-AA336</f>
        <v>65410.999999999993</v>
      </c>
      <c r="AB264" s="93">
        <f>AA264</f>
        <v>65410.999999999993</v>
      </c>
      <c r="AC264" s="99">
        <f>AA264-AC336</f>
        <v>66899.470717113203</v>
      </c>
      <c r="AD264" s="99">
        <f>AC264-AD336</f>
        <v>68478.928024490786</v>
      </c>
      <c r="AE264" s="99">
        <f>AD264-AE336</f>
        <v>70035.420740380476</v>
      </c>
      <c r="AF264" s="99">
        <f>AE264-AF336</f>
        <v>71706.001972531143</v>
      </c>
      <c r="AG264" s="93">
        <f>AF264</f>
        <v>71706.001972531143</v>
      </c>
      <c r="AH264" s="99">
        <f>AF264-AH336</f>
        <v>73285.160006442136</v>
      </c>
      <c r="AI264" s="99">
        <f>AH264-AI336</f>
        <v>74949.625044622153</v>
      </c>
      <c r="AJ264" s="99">
        <f>AI264-AJ336</f>
        <v>76581.100870296839</v>
      </c>
      <c r="AK264" s="99">
        <f>AJ264-AK336</f>
        <v>78312.224696527672</v>
      </c>
      <c r="AL264" s="93">
        <f>AK264</f>
        <v>78312.224696527672</v>
      </c>
      <c r="AM264" s="99">
        <f>AK264-AM336</f>
        <v>79963.029441144929</v>
      </c>
      <c r="AN264" s="99">
        <f>AM264-AN336</f>
        <v>81697.205007161945</v>
      </c>
      <c r="AO264" s="99">
        <f>AN264-AO336</f>
        <v>83392.850693091488</v>
      </c>
      <c r="AP264" s="99">
        <f>AO264-AP336</f>
        <v>85187.987980623191</v>
      </c>
      <c r="AQ264" s="93">
        <f>AP264</f>
        <v>85187.987980623191</v>
      </c>
      <c r="AR264" s="99">
        <f>AP264-AR336</f>
        <v>86899.034642110899</v>
      </c>
      <c r="AS264" s="99">
        <f>AR264-AS336</f>
        <v>88693.156475058946</v>
      </c>
      <c r="AT264" s="99">
        <f>AS264-AT336</f>
        <v>90445.024810706804</v>
      </c>
      <c r="AU264" s="99">
        <f>AT264-AU336</f>
        <v>92296.618841212956</v>
      </c>
      <c r="AV264" s="93">
        <f>AU264</f>
        <v>92296.618841212956</v>
      </c>
    </row>
    <row r="265" spans="1:48" ht="17.25" outlineLevel="1" x14ac:dyDescent="0.4">
      <c r="B265" s="122" t="s">
        <v>208</v>
      </c>
      <c r="C265" s="286"/>
      <c r="D265" s="100">
        <v>22506</v>
      </c>
      <c r="E265" s="100">
        <v>22964</v>
      </c>
      <c r="F265" s="100">
        <v>23480</v>
      </c>
      <c r="G265" s="100">
        <v>22734</v>
      </c>
      <c r="H265" s="98">
        <f>G265</f>
        <v>22734</v>
      </c>
      <c r="I265" s="100">
        <v>23317</v>
      </c>
      <c r="J265" s="100">
        <v>23611</v>
      </c>
      <c r="K265" s="100">
        <v>24139</v>
      </c>
      <c r="L265" s="100">
        <v>24645</v>
      </c>
      <c r="M265" s="98">
        <f>L265</f>
        <v>24645</v>
      </c>
      <c r="N265" s="100">
        <v>25305</v>
      </c>
      <c r="O265" s="100">
        <v>25950</v>
      </c>
      <c r="P265" s="100">
        <v>26680</v>
      </c>
      <c r="Q265" s="100">
        <v>26967</v>
      </c>
      <c r="R265" s="98">
        <f>Q265</f>
        <v>26967</v>
      </c>
      <c r="S265" s="100">
        <v>27547</v>
      </c>
      <c r="T265" s="100">
        <v>28114</v>
      </c>
      <c r="U265" s="100">
        <v>28396</v>
      </c>
      <c r="V265" s="100">
        <v>29082</v>
      </c>
      <c r="W265" s="98">
        <f>V265</f>
        <v>29082</v>
      </c>
      <c r="X265" s="100">
        <f>+V265+X321</f>
        <v>29967.795198427448</v>
      </c>
      <c r="Y265" s="100">
        <f>+X265+Y321</f>
        <v>30874.245476215405</v>
      </c>
      <c r="Z265" s="100">
        <f>+Y265+Z321</f>
        <v>31791.265229287343</v>
      </c>
      <c r="AA265" s="100">
        <f>+Z265+AA321</f>
        <v>32731.252809178975</v>
      </c>
      <c r="AB265" s="98">
        <f>AA265</f>
        <v>32731.252809178975</v>
      </c>
      <c r="AC265" s="100">
        <f>+AA265+AC321</f>
        <v>33704.958928924207</v>
      </c>
      <c r="AD265" s="100">
        <f>+AC265+AD321</f>
        <v>34701.242704664415</v>
      </c>
      <c r="AE265" s="100">
        <f>+AD265+AE321</f>
        <v>35708.981102813465</v>
      </c>
      <c r="AF265" s="100">
        <f>+AE265+AF321</f>
        <v>36740.637354161845</v>
      </c>
      <c r="AG265" s="98">
        <f>AF265</f>
        <v>36740.637354161845</v>
      </c>
      <c r="AH265" s="100">
        <f>+AF265+AH321</f>
        <v>37807.663878689491</v>
      </c>
      <c r="AI265" s="100">
        <f>+AH265+AI321</f>
        <v>38898.56104337376</v>
      </c>
      <c r="AJ265" s="100">
        <f>+AI265+AJ321</f>
        <v>40001.464650080845</v>
      </c>
      <c r="AK265" s="100">
        <f>+AJ265+AK321</f>
        <v>41129.357251532601</v>
      </c>
      <c r="AL265" s="98">
        <f>AK265</f>
        <v>41129.357251532601</v>
      </c>
      <c r="AM265" s="100">
        <f>+AK265+AM321</f>
        <v>42294.144760206698</v>
      </c>
      <c r="AN265" s="100">
        <f>+AM265+AN321</f>
        <v>43483.843192602988</v>
      </c>
      <c r="AO265" s="100">
        <f>+AN265+AO321</f>
        <v>44686.020309205909</v>
      </c>
      <c r="AP265" s="100">
        <f>+AO265+AP321</f>
        <v>45914.170529111769</v>
      </c>
      <c r="AQ265" s="98">
        <f>AP265</f>
        <v>45914.170529111769</v>
      </c>
      <c r="AR265" s="100">
        <f>+AP265+AR321</f>
        <v>47180.602325086169</v>
      </c>
      <c r="AS265" s="100">
        <f>+AR265+AS321</f>
        <v>48472.82953993613</v>
      </c>
      <c r="AT265" s="100">
        <f>+AS265+AT321</f>
        <v>49777.949195650086</v>
      </c>
      <c r="AU265" s="100">
        <f>+AT265+AU321</f>
        <v>51109.898593771111</v>
      </c>
      <c r="AV265" s="98">
        <f>AU265</f>
        <v>51109.898593771111</v>
      </c>
    </row>
    <row r="266" spans="1:48" s="55" customFormat="1" outlineLevel="1" x14ac:dyDescent="0.25">
      <c r="B266" s="285" t="s">
        <v>299</v>
      </c>
      <c r="C266" s="286"/>
      <c r="D266" s="108">
        <f t="shared" ref="D266:AQ266" si="200">+D264-D265</f>
        <v>21483</v>
      </c>
      <c r="E266" s="108">
        <f t="shared" si="200"/>
        <v>22278</v>
      </c>
      <c r="F266" s="108">
        <f t="shared" si="200"/>
        <v>22552</v>
      </c>
      <c r="G266" s="108">
        <f t="shared" si="200"/>
        <v>24284</v>
      </c>
      <c r="H266" s="107">
        <f t="shared" si="200"/>
        <v>24284</v>
      </c>
      <c r="I266" s="108">
        <f t="shared" si="200"/>
        <v>24804</v>
      </c>
      <c r="J266" s="108">
        <f t="shared" si="200"/>
        <v>25307</v>
      </c>
      <c r="K266" s="108">
        <f t="shared" si="200"/>
        <v>25613</v>
      </c>
      <c r="L266" s="108">
        <f t="shared" si="200"/>
        <v>25981</v>
      </c>
      <c r="M266" s="107">
        <f t="shared" si="200"/>
        <v>25981</v>
      </c>
      <c r="N266" s="108">
        <f t="shared" si="200"/>
        <v>26235</v>
      </c>
      <c r="O266" s="108">
        <f t="shared" si="200"/>
        <v>27290</v>
      </c>
      <c r="P266" s="108">
        <f t="shared" si="200"/>
        <v>27697</v>
      </c>
      <c r="Q266" s="108">
        <f t="shared" si="200"/>
        <v>28154</v>
      </c>
      <c r="R266" s="107">
        <f t="shared" si="200"/>
        <v>28154</v>
      </c>
      <c r="S266" s="108">
        <f t="shared" si="200"/>
        <v>28779</v>
      </c>
      <c r="T266" s="108">
        <f t="shared" si="200"/>
        <v>29387</v>
      </c>
      <c r="U266" s="108">
        <f t="shared" si="200"/>
        <v>29768</v>
      </c>
      <c r="V266" s="108">
        <f t="shared" si="200"/>
        <v>30429</v>
      </c>
      <c r="W266" s="107">
        <f t="shared" si="200"/>
        <v>30429</v>
      </c>
      <c r="X266" s="108">
        <f t="shared" si="200"/>
        <v>30886.043109829057</v>
      </c>
      <c r="Y266" s="108">
        <f t="shared" si="200"/>
        <v>31443.436352592693</v>
      </c>
      <c r="Z266" s="108">
        <f t="shared" si="200"/>
        <v>31962.632539523536</v>
      </c>
      <c r="AA266" s="108">
        <f t="shared" si="200"/>
        <v>32679.747190821017</v>
      </c>
      <c r="AB266" s="107">
        <f t="shared" si="200"/>
        <v>32679.747190821017</v>
      </c>
      <c r="AC266" s="108">
        <f t="shared" si="200"/>
        <v>33194.511788188996</v>
      </c>
      <c r="AD266" s="108">
        <f t="shared" si="200"/>
        <v>33777.685319826371</v>
      </c>
      <c r="AE266" s="108">
        <f t="shared" si="200"/>
        <v>34326.439637567011</v>
      </c>
      <c r="AF266" s="108">
        <f t="shared" si="200"/>
        <v>34965.364618369298</v>
      </c>
      <c r="AG266" s="107">
        <f t="shared" si="200"/>
        <v>34965.364618369298</v>
      </c>
      <c r="AH266" s="108">
        <f t="shared" si="200"/>
        <v>35477.496127752645</v>
      </c>
      <c r="AI266" s="108">
        <f t="shared" si="200"/>
        <v>36051.064001248393</v>
      </c>
      <c r="AJ266" s="108">
        <f t="shared" si="200"/>
        <v>36579.636220215994</v>
      </c>
      <c r="AK266" s="108">
        <f t="shared" si="200"/>
        <v>37182.86744499507</v>
      </c>
      <c r="AL266" s="107">
        <f t="shared" si="200"/>
        <v>37182.86744499507</v>
      </c>
      <c r="AM266" s="108">
        <f t="shared" si="200"/>
        <v>37668.88468093823</v>
      </c>
      <c r="AN266" s="108">
        <f t="shared" si="200"/>
        <v>38213.361814558957</v>
      </c>
      <c r="AO266" s="108">
        <f t="shared" si="200"/>
        <v>38706.830383885579</v>
      </c>
      <c r="AP266" s="108">
        <f t="shared" si="200"/>
        <v>39273.817451511422</v>
      </c>
      <c r="AQ266" s="107">
        <f t="shared" si="200"/>
        <v>39273.817451511422</v>
      </c>
      <c r="AR266" s="108">
        <f t="shared" ref="AR266:AV266" si="201">+AR264-AR265</f>
        <v>39718.43231702473</v>
      </c>
      <c r="AS266" s="108">
        <f t="shared" si="201"/>
        <v>40220.326935122815</v>
      </c>
      <c r="AT266" s="108">
        <f t="shared" si="201"/>
        <v>40667.075615056718</v>
      </c>
      <c r="AU266" s="108">
        <f t="shared" si="201"/>
        <v>41186.720247441845</v>
      </c>
      <c r="AV266" s="107">
        <f t="shared" si="201"/>
        <v>41186.720247441845</v>
      </c>
    </row>
    <row r="267" spans="1:48" outlineLevel="1" x14ac:dyDescent="0.25">
      <c r="B267" s="687" t="s">
        <v>44</v>
      </c>
      <c r="C267" s="688"/>
      <c r="D267" s="99">
        <v>3792</v>
      </c>
      <c r="E267" s="99">
        <v>3806</v>
      </c>
      <c r="F267" s="99">
        <v>3764</v>
      </c>
      <c r="G267" s="99">
        <v>6747</v>
      </c>
      <c r="H267" s="93">
        <f>G267</f>
        <v>6747</v>
      </c>
      <c r="I267" s="99">
        <v>6783</v>
      </c>
      <c r="J267" s="99">
        <v>6921</v>
      </c>
      <c r="K267" s="99">
        <v>7000</v>
      </c>
      <c r="L267" s="99">
        <v>7154</v>
      </c>
      <c r="M267" s="93">
        <f>L267</f>
        <v>7154</v>
      </c>
      <c r="N267" s="99">
        <v>7382</v>
      </c>
      <c r="O267" s="99">
        <v>7325</v>
      </c>
      <c r="P267" s="99">
        <v>7464</v>
      </c>
      <c r="Q267" s="99">
        <v>6973</v>
      </c>
      <c r="R267" s="93">
        <f>+Q267</f>
        <v>6973</v>
      </c>
      <c r="S267" s="99">
        <v>6869</v>
      </c>
      <c r="T267" s="99">
        <v>6908</v>
      </c>
      <c r="U267" s="99">
        <v>6916</v>
      </c>
      <c r="V267" s="99">
        <v>6884</v>
      </c>
      <c r="W267" s="93">
        <f>V267</f>
        <v>6884</v>
      </c>
      <c r="X267" s="241">
        <f>V267*(1+(2%/4))</f>
        <v>6918.4199999999992</v>
      </c>
      <c r="Y267" s="241">
        <f>X267*(1+(2%/4))</f>
        <v>6953.0120999999981</v>
      </c>
      <c r="Z267" s="241">
        <f>Y267*(1+(2%/4))</f>
        <v>6987.7771604999971</v>
      </c>
      <c r="AA267" s="241">
        <f>Z267*(1+(2%/4))</f>
        <v>7022.7160463024966</v>
      </c>
      <c r="AB267" s="93">
        <f>AA267</f>
        <v>7022.7160463024966</v>
      </c>
      <c r="AC267" s="241">
        <f>AA267*(1+(2%/4))</f>
        <v>7057.8296265340086</v>
      </c>
      <c r="AD267" s="241">
        <f>AC267*(1+(2%/4))</f>
        <v>7093.1187746666783</v>
      </c>
      <c r="AE267" s="241">
        <f>AD267*(1+(2%/4))</f>
        <v>7128.5843685400105</v>
      </c>
      <c r="AF267" s="241">
        <f>AE267*(1+(2%/4))</f>
        <v>7164.2272903827097</v>
      </c>
      <c r="AG267" s="93">
        <f>AF267</f>
        <v>7164.2272903827097</v>
      </c>
      <c r="AH267" s="241">
        <f>AF267*(1+(2%/4))</f>
        <v>7200.0484268346227</v>
      </c>
      <c r="AI267" s="241">
        <f>AH267*(1+(2%/4))</f>
        <v>7236.048668968795</v>
      </c>
      <c r="AJ267" s="241">
        <f>AI267*(1+(2%/4))</f>
        <v>7272.2289123136379</v>
      </c>
      <c r="AK267" s="241">
        <f>AJ267*(1+(2%/4))</f>
        <v>7308.5900568752049</v>
      </c>
      <c r="AL267" s="93">
        <f>AK267</f>
        <v>7308.5900568752049</v>
      </c>
      <c r="AM267" s="241">
        <f>AK267*(1+(2%/4))</f>
        <v>7345.1330071595803</v>
      </c>
      <c r="AN267" s="241">
        <f>AM267*(1+(2%/4))</f>
        <v>7381.858672195377</v>
      </c>
      <c r="AO267" s="241">
        <f>AN267*(1+(2%/4))</f>
        <v>7418.7679655563534</v>
      </c>
      <c r="AP267" s="241">
        <f>AO267*(1+(2%/4))</f>
        <v>7455.8618053841346</v>
      </c>
      <c r="AQ267" s="93">
        <f>AP267</f>
        <v>7455.8618053841346</v>
      </c>
      <c r="AR267" s="241">
        <f>AP267*(1+(2%/4))</f>
        <v>7493.1411144110543</v>
      </c>
      <c r="AS267" s="241">
        <f>AR267*(1+(2%/4))</f>
        <v>7530.6068199831088</v>
      </c>
      <c r="AT267" s="241">
        <f>AS267*(1+(2%/4))</f>
        <v>7568.2598540830231</v>
      </c>
      <c r="AU267" s="241">
        <f>AT267*(1+(2%/4))</f>
        <v>7606.1011533534374</v>
      </c>
      <c r="AV267" s="93">
        <f>AU267</f>
        <v>7606.1011533534374</v>
      </c>
    </row>
    <row r="268" spans="1:48" ht="17.25" outlineLevel="1" x14ac:dyDescent="0.4">
      <c r="B268" s="687" t="s">
        <v>209</v>
      </c>
      <c r="C268" s="688"/>
      <c r="D268" s="100">
        <v>1267</v>
      </c>
      <c r="E268" s="100">
        <v>1135</v>
      </c>
      <c r="F268" s="100">
        <v>1266</v>
      </c>
      <c r="G268" s="100">
        <v>2939</v>
      </c>
      <c r="H268" s="98">
        <f>G268</f>
        <v>2939</v>
      </c>
      <c r="I268" s="100">
        <v>2587</v>
      </c>
      <c r="J268" s="100">
        <v>2068</v>
      </c>
      <c r="K268" s="100">
        <v>2230</v>
      </c>
      <c r="L268" s="100">
        <v>2789</v>
      </c>
      <c r="M268" s="98">
        <f>L268</f>
        <v>2789</v>
      </c>
      <c r="N268" s="100">
        <v>3011</v>
      </c>
      <c r="O268" s="100">
        <v>2785</v>
      </c>
      <c r="P268" s="100">
        <v>3115</v>
      </c>
      <c r="Q268" s="100">
        <v>3821</v>
      </c>
      <c r="R268" s="98">
        <f>Q268</f>
        <v>3821</v>
      </c>
      <c r="S268" s="100">
        <v>3612</v>
      </c>
      <c r="T268" s="100">
        <v>3556</v>
      </c>
      <c r="U268" s="100">
        <v>4280</v>
      </c>
      <c r="V268" s="100">
        <v>4004</v>
      </c>
      <c r="W268" s="98">
        <f>V268</f>
        <v>4004</v>
      </c>
      <c r="X268" s="239">
        <f>V268*(1+(5%/4))</f>
        <v>4054.0499999999997</v>
      </c>
      <c r="Y268" s="239">
        <f>X268*(1+(5%/4))</f>
        <v>4104.7256249999991</v>
      </c>
      <c r="Z268" s="239">
        <f>Y268*(1+(5%/4))</f>
        <v>4156.034695312499</v>
      </c>
      <c r="AA268" s="239">
        <f>Z268*(1+(5%/4))</f>
        <v>4207.9851290039051</v>
      </c>
      <c r="AB268" s="98">
        <f>AA268</f>
        <v>4207.9851290039051</v>
      </c>
      <c r="AC268" s="239">
        <f>AA268*(1+(5%/4))</f>
        <v>4260.5849431164534</v>
      </c>
      <c r="AD268" s="239">
        <f>AC268*(1+(5%/4))</f>
        <v>4313.8422549054085</v>
      </c>
      <c r="AE268" s="239">
        <f>AD268*(1+(5%/4))</f>
        <v>4367.7652830917259</v>
      </c>
      <c r="AF268" s="239">
        <f>AE268*(1+(5%/4))</f>
        <v>4422.3623491303724</v>
      </c>
      <c r="AG268" s="98">
        <f>AF268</f>
        <v>4422.3623491303724</v>
      </c>
      <c r="AH268" s="239">
        <f>AF268*(1+(5%/4))</f>
        <v>4477.6418784945017</v>
      </c>
      <c r="AI268" s="239">
        <f>AH268*(1+(5%/4))</f>
        <v>4533.6124019756826</v>
      </c>
      <c r="AJ268" s="239">
        <f>AI268*(1+(5%/4))</f>
        <v>4590.2825570003788</v>
      </c>
      <c r="AK268" s="239">
        <f>AJ268*(1+(5%/4))</f>
        <v>4647.6610889628837</v>
      </c>
      <c r="AL268" s="98">
        <f>AK268</f>
        <v>4647.6610889628837</v>
      </c>
      <c r="AM268" s="239">
        <f>AK268*(1+(5%/4))</f>
        <v>4705.7568525749193</v>
      </c>
      <c r="AN268" s="239">
        <f>AM268*(1+(5%/4))</f>
        <v>4764.5788132321059</v>
      </c>
      <c r="AO268" s="239">
        <f>AN268*(1+(5%/4))</f>
        <v>4824.1360483975068</v>
      </c>
      <c r="AP268" s="239">
        <f>AO268*(1+(5%/4))</f>
        <v>4884.4377490024754</v>
      </c>
      <c r="AQ268" s="98">
        <f>AP268</f>
        <v>4884.4377490024754</v>
      </c>
      <c r="AR268" s="239">
        <f>AP268*(1+(5%/4))</f>
        <v>4945.4932208650062</v>
      </c>
      <c r="AS268" s="239">
        <f>AR268*(1+(5%/4))</f>
        <v>5007.3118861258181</v>
      </c>
      <c r="AT268" s="239">
        <f>AS268*(1+(5%/4))</f>
        <v>5069.9032847023909</v>
      </c>
      <c r="AU268" s="239">
        <f>AT268*(1+(5%/4))</f>
        <v>5133.2770757611706</v>
      </c>
      <c r="AV268" s="98">
        <f>AU268</f>
        <v>5133.2770757611706</v>
      </c>
    </row>
    <row r="269" spans="1:48" outlineLevel="1" x14ac:dyDescent="0.25">
      <c r="B269" s="705" t="s">
        <v>5</v>
      </c>
      <c r="C269" s="706"/>
      <c r="D269" s="108">
        <f t="shared" ref="D269:AQ269" si="202">+D263+D266+D267+D268</f>
        <v>37245</v>
      </c>
      <c r="E269" s="106">
        <f t="shared" si="202"/>
        <v>38371</v>
      </c>
      <c r="F269" s="108">
        <f t="shared" si="202"/>
        <v>37819</v>
      </c>
      <c r="G269" s="108">
        <f t="shared" si="202"/>
        <v>45959</v>
      </c>
      <c r="H269" s="107">
        <f t="shared" si="202"/>
        <v>45959</v>
      </c>
      <c r="I269" s="106">
        <f t="shared" si="202"/>
        <v>45575</v>
      </c>
      <c r="J269" s="108">
        <f t="shared" si="202"/>
        <v>46348</v>
      </c>
      <c r="K269" s="108">
        <f t="shared" si="202"/>
        <v>46781</v>
      </c>
      <c r="L269" s="108">
        <f t="shared" si="202"/>
        <v>48552</v>
      </c>
      <c r="M269" s="107">
        <f t="shared" si="202"/>
        <v>48552</v>
      </c>
      <c r="N269" s="108">
        <f t="shared" si="202"/>
        <v>49350</v>
      </c>
      <c r="O269" s="106">
        <f t="shared" si="202"/>
        <v>50281</v>
      </c>
      <c r="P269" s="106">
        <f t="shared" si="202"/>
        <v>51851</v>
      </c>
      <c r="Q269" s="106">
        <f t="shared" si="202"/>
        <v>52300.125785999997</v>
      </c>
      <c r="R269" s="107">
        <f t="shared" si="202"/>
        <v>52300.125785999997</v>
      </c>
      <c r="S269" s="108">
        <f t="shared" si="202"/>
        <v>51901.125785999997</v>
      </c>
      <c r="T269" s="106">
        <f t="shared" si="202"/>
        <v>53289.125785999997</v>
      </c>
      <c r="U269" s="106">
        <f t="shared" si="202"/>
        <v>54464.125785999997</v>
      </c>
      <c r="V269" s="106">
        <f t="shared" si="202"/>
        <v>54403.125785999997</v>
      </c>
      <c r="W269" s="107">
        <f t="shared" si="202"/>
        <v>54403.125785999997</v>
      </c>
      <c r="X269" s="106">
        <f t="shared" si="202"/>
        <v>55170.550704833659</v>
      </c>
      <c r="Y269" s="106">
        <f t="shared" si="202"/>
        <v>57126.818589647126</v>
      </c>
      <c r="Z269" s="106">
        <f t="shared" si="202"/>
        <v>57869.663909555224</v>
      </c>
      <c r="AA269" s="106">
        <f t="shared" si="202"/>
        <v>59633.173060328547</v>
      </c>
      <c r="AB269" s="107">
        <f t="shared" si="202"/>
        <v>59633.173060328547</v>
      </c>
      <c r="AC269" s="106">
        <f t="shared" si="202"/>
        <v>60986.981070205598</v>
      </c>
      <c r="AD269" s="106">
        <f t="shared" si="202"/>
        <v>62592.964038196762</v>
      </c>
      <c r="AE269" s="106">
        <f t="shared" si="202"/>
        <v>63826.872018097623</v>
      </c>
      <c r="AF269" s="106">
        <f t="shared" si="202"/>
        <v>65930.74592907507</v>
      </c>
      <c r="AG269" s="107">
        <f t="shared" si="202"/>
        <v>65930.74592907507</v>
      </c>
      <c r="AH269" s="106">
        <f t="shared" si="202"/>
        <v>67012.660377449487</v>
      </c>
      <c r="AI269" s="106">
        <f t="shared" si="202"/>
        <v>68785.371839992687</v>
      </c>
      <c r="AJ269" s="106">
        <f t="shared" si="202"/>
        <v>69845.905837650411</v>
      </c>
      <c r="AK269" s="106">
        <f t="shared" si="202"/>
        <v>72180.278709697246</v>
      </c>
      <c r="AL269" s="107">
        <f t="shared" si="202"/>
        <v>72180.278709697246</v>
      </c>
      <c r="AM269" s="106">
        <f t="shared" si="202"/>
        <v>73052.29903503634</v>
      </c>
      <c r="AN269" s="106">
        <f t="shared" si="202"/>
        <v>74884.393828872184</v>
      </c>
      <c r="AO269" s="106">
        <f t="shared" si="202"/>
        <v>75745.579797494371</v>
      </c>
      <c r="AP269" s="106">
        <f t="shared" si="202"/>
        <v>78136.772871875524</v>
      </c>
      <c r="AQ269" s="107">
        <f t="shared" si="202"/>
        <v>78136.772871875524</v>
      </c>
      <c r="AR269" s="106">
        <f t="shared" ref="AR269:AV269" si="203">+AR263+AR266+AR267+AR268</f>
        <v>78721.80396768928</v>
      </c>
      <c r="AS269" s="106">
        <f t="shared" si="203"/>
        <v>80553.037635737172</v>
      </c>
      <c r="AT269" s="106">
        <f t="shared" si="203"/>
        <v>81134.174242618348</v>
      </c>
      <c r="AU269" s="106">
        <f t="shared" si="203"/>
        <v>83516.6453741203</v>
      </c>
      <c r="AV269" s="107">
        <f t="shared" si="203"/>
        <v>83516.6453741203</v>
      </c>
    </row>
    <row r="270" spans="1:48" ht="15.75" x14ac:dyDescent="0.25">
      <c r="B270" s="691" t="s">
        <v>7</v>
      </c>
      <c r="C270" s="692"/>
      <c r="D270" s="89" t="s">
        <v>69</v>
      </c>
      <c r="E270" s="89" t="s">
        <v>72</v>
      </c>
      <c r="F270" s="89" t="s">
        <v>73</v>
      </c>
      <c r="G270" s="89" t="s">
        <v>76</v>
      </c>
      <c r="H270" s="396" t="s">
        <v>77</v>
      </c>
      <c r="I270" s="89" t="s">
        <v>78</v>
      </c>
      <c r="J270" s="89" t="s">
        <v>89</v>
      </c>
      <c r="K270" s="89" t="s">
        <v>105</v>
      </c>
      <c r="L270" s="89" t="s">
        <v>109</v>
      </c>
      <c r="M270" s="396" t="s">
        <v>110</v>
      </c>
      <c r="N270" s="89" t="s">
        <v>111</v>
      </c>
      <c r="O270" s="89" t="s">
        <v>112</v>
      </c>
      <c r="P270" s="89" t="s">
        <v>113</v>
      </c>
      <c r="Q270" s="89" t="s">
        <v>114</v>
      </c>
      <c r="R270" s="396" t="s">
        <v>115</v>
      </c>
      <c r="S270" s="89" t="s">
        <v>492</v>
      </c>
      <c r="T270" s="89" t="s">
        <v>734</v>
      </c>
      <c r="U270" s="89" t="s">
        <v>753</v>
      </c>
      <c r="V270" s="89" t="s">
        <v>771</v>
      </c>
      <c r="W270" s="396" t="s">
        <v>773</v>
      </c>
      <c r="X270" s="91" t="s">
        <v>371</v>
      </c>
      <c r="Y270" s="91" t="s">
        <v>372</v>
      </c>
      <c r="Z270" s="91" t="s">
        <v>373</v>
      </c>
      <c r="AA270" s="91" t="s">
        <v>374</v>
      </c>
      <c r="AB270" s="400" t="s">
        <v>375</v>
      </c>
      <c r="AC270" s="91" t="s">
        <v>376</v>
      </c>
      <c r="AD270" s="91" t="s">
        <v>377</v>
      </c>
      <c r="AE270" s="91" t="s">
        <v>378</v>
      </c>
      <c r="AF270" s="91" t="s">
        <v>379</v>
      </c>
      <c r="AG270" s="400" t="s">
        <v>380</v>
      </c>
      <c r="AH270" s="91" t="s">
        <v>381</v>
      </c>
      <c r="AI270" s="91" t="s">
        <v>382</v>
      </c>
      <c r="AJ270" s="91" t="s">
        <v>383</v>
      </c>
      <c r="AK270" s="91" t="s">
        <v>384</v>
      </c>
      <c r="AL270" s="400" t="s">
        <v>385</v>
      </c>
      <c r="AM270" s="91" t="s">
        <v>386</v>
      </c>
      <c r="AN270" s="91" t="s">
        <v>387</v>
      </c>
      <c r="AO270" s="91" t="s">
        <v>388</v>
      </c>
      <c r="AP270" s="91" t="s">
        <v>389</v>
      </c>
      <c r="AQ270" s="400" t="s">
        <v>390</v>
      </c>
      <c r="AR270" s="91" t="s">
        <v>781</v>
      </c>
      <c r="AS270" s="91" t="s">
        <v>782</v>
      </c>
      <c r="AT270" s="91" t="s">
        <v>783</v>
      </c>
      <c r="AU270" s="91" t="s">
        <v>784</v>
      </c>
      <c r="AV270" s="400" t="s">
        <v>785</v>
      </c>
    </row>
    <row r="271" spans="1:48" outlineLevel="1" x14ac:dyDescent="0.25">
      <c r="B271" s="177" t="s">
        <v>210</v>
      </c>
      <c r="C271" s="290"/>
      <c r="D271" s="370"/>
      <c r="E271" s="370"/>
      <c r="F271" s="370"/>
      <c r="G271" s="370"/>
      <c r="H271" s="371"/>
      <c r="I271" s="370"/>
      <c r="J271" s="370"/>
      <c r="K271" s="370"/>
      <c r="L271" s="370"/>
      <c r="M271" s="371"/>
      <c r="N271" s="370">
        <v>0</v>
      </c>
      <c r="O271" s="370">
        <v>250</v>
      </c>
      <c r="P271" s="370">
        <v>799</v>
      </c>
      <c r="Q271" s="370">
        <v>0</v>
      </c>
      <c r="R271" s="371">
        <f>Q271</f>
        <v>0</v>
      </c>
      <c r="S271" s="370">
        <v>299</v>
      </c>
      <c r="T271" s="370">
        <v>250</v>
      </c>
      <c r="U271" s="370">
        <v>225</v>
      </c>
      <c r="V271" s="370">
        <v>0</v>
      </c>
      <c r="W271" s="371">
        <f>V271</f>
        <v>0</v>
      </c>
      <c r="X271" s="370">
        <f>+X297*X312*X313</f>
        <v>198.90635954534375</v>
      </c>
      <c r="Y271" s="370">
        <f>+Y297*Y312*Y313</f>
        <v>174.23965047665854</v>
      </c>
      <c r="Z271" s="370">
        <f>+Z297*Z312*Z313</f>
        <v>154.27214888392396</v>
      </c>
      <c r="AA271" s="370">
        <f>+AA297*AA312*AA313</f>
        <v>142.13731665262316</v>
      </c>
      <c r="AB271" s="371">
        <f>AA271</f>
        <v>142.13731665262316</v>
      </c>
      <c r="AC271" s="370">
        <f>+AC297*AC312*AC313</f>
        <v>181.7140093351224</v>
      </c>
      <c r="AD271" s="370">
        <f>+AD297*AD312*AD313</f>
        <v>175.92649536353278</v>
      </c>
      <c r="AE271" s="370">
        <f>+AE297*AE312*AE313</f>
        <v>174.30410951793169</v>
      </c>
      <c r="AF271" s="370">
        <f>+AF297*AF312*AF313</f>
        <v>183.72405974087155</v>
      </c>
      <c r="AG271" s="371">
        <f>AF271</f>
        <v>183.72405974087155</v>
      </c>
      <c r="AH271" s="370">
        <f>+AH297*AH312*AH313</f>
        <v>192.29209935172165</v>
      </c>
      <c r="AI271" s="370">
        <f>+AI297*AI312*AI313</f>
        <v>193.47806881527609</v>
      </c>
      <c r="AJ271" s="370">
        <f>+AJ297*AJ312*AJ313</f>
        <v>195.63202308578477</v>
      </c>
      <c r="AK271" s="370">
        <f>+AK297*AK312*AK313</f>
        <v>205.42091984640751</v>
      </c>
      <c r="AL271" s="371">
        <f>AK271</f>
        <v>205.42091984640751</v>
      </c>
      <c r="AM271" s="370">
        <f>+AM297*AM312*AM313</f>
        <v>208.42442157428155</v>
      </c>
      <c r="AN271" s="370">
        <f>+AN297*AN312*AN313</f>
        <v>211.36202600173053</v>
      </c>
      <c r="AO271" s="370">
        <f>+AO297*AO312*AO313</f>
        <v>213.65530492731324</v>
      </c>
      <c r="AP271" s="370">
        <f>+AP297*AP312*AP313</f>
        <v>222.61137082164575</v>
      </c>
      <c r="AQ271" s="371">
        <f>AP271</f>
        <v>222.61137082164575</v>
      </c>
      <c r="AR271" s="370">
        <f>+AR297*AR312*AR313</f>
        <v>224.25355770501685</v>
      </c>
      <c r="AS271" s="370">
        <f>+AS297*AS312*AS313</f>
        <v>227.03074495224379</v>
      </c>
      <c r="AT271" s="370">
        <f>+AT297*AT312*AT313</f>
        <v>228.64950521441762</v>
      </c>
      <c r="AU271" s="370">
        <f>+AU297*AU312*AU313</f>
        <v>236.8092656406989</v>
      </c>
      <c r="AV271" s="371">
        <f>AU271</f>
        <v>236.8092656406989</v>
      </c>
    </row>
    <row r="272" spans="1:48" outlineLevel="1" x14ac:dyDescent="0.25">
      <c r="B272" s="695" t="s">
        <v>211</v>
      </c>
      <c r="C272" s="696"/>
      <c r="D272" s="370">
        <v>14</v>
      </c>
      <c r="E272" s="370">
        <v>14</v>
      </c>
      <c r="F272" s="370">
        <v>11</v>
      </c>
      <c r="G272" s="370">
        <v>29</v>
      </c>
      <c r="H272" s="371">
        <f>G272</f>
        <v>29</v>
      </c>
      <c r="I272" s="370">
        <v>47</v>
      </c>
      <c r="J272" s="370">
        <v>43</v>
      </c>
      <c r="K272" s="370">
        <v>45</v>
      </c>
      <c r="L272" s="370">
        <v>22</v>
      </c>
      <c r="M272" s="371">
        <f>L272</f>
        <v>22</v>
      </c>
      <c r="N272" s="370">
        <v>19</v>
      </c>
      <c r="O272" s="370">
        <v>11</v>
      </c>
      <c r="P272" s="370">
        <v>764</v>
      </c>
      <c r="Q272" s="370">
        <v>1342</v>
      </c>
      <c r="R272" s="371">
        <f>Q272</f>
        <v>1342</v>
      </c>
      <c r="S272" s="370">
        <v>1404</v>
      </c>
      <c r="T272" s="370">
        <v>642</v>
      </c>
      <c r="U272" s="370">
        <v>973</v>
      </c>
      <c r="V272" s="370">
        <v>964</v>
      </c>
      <c r="W272" s="371">
        <f>V272</f>
        <v>964</v>
      </c>
      <c r="X272" s="370">
        <f>+X297*X312*X314</f>
        <v>1021.6591258455812</v>
      </c>
      <c r="Y272" s="370">
        <f>+Y297*Y312*Y314</f>
        <v>930.8521758786776</v>
      </c>
      <c r="Z272" s="370">
        <f>+Z297*Z312*Z314</f>
        <v>1013.2069567403357</v>
      </c>
      <c r="AA272" s="370">
        <f>+AA297*AA312*AA314</f>
        <v>1069.2227761501217</v>
      </c>
      <c r="AB272" s="371">
        <f>AA272</f>
        <v>1069.2227761501217</v>
      </c>
      <c r="AC272" s="370">
        <f>+AC297*AC312*AC314</f>
        <v>1089.2420977963229</v>
      </c>
      <c r="AD272" s="370">
        <f>+AD297*AD312*AD314</f>
        <v>1104.0721072027525</v>
      </c>
      <c r="AE272" s="370">
        <f>+AE297*AE312*AE314</f>
        <v>1140.7491739047196</v>
      </c>
      <c r="AF272" s="370">
        <f>+AF297*AF312*AF314</f>
        <v>1201.3407838197882</v>
      </c>
      <c r="AG272" s="371">
        <f>AF272</f>
        <v>1201.3407838197882</v>
      </c>
      <c r="AH272" s="370">
        <f>+AH297*AH312*AH314</f>
        <v>1217.2099995811247</v>
      </c>
      <c r="AI272" s="370">
        <f>+AI297*AI312*AI314</f>
        <v>1242.2248554798189</v>
      </c>
      <c r="AJ272" s="370">
        <f>+AJ297*AJ312*AJ314</f>
        <v>1263.2633784617465</v>
      </c>
      <c r="AK272" s="370">
        <f>+AK297*AK312*AK314</f>
        <v>1322.0581493343445</v>
      </c>
      <c r="AL272" s="371">
        <f>AK272</f>
        <v>1322.0581493343445</v>
      </c>
      <c r="AM272" s="370">
        <f>+AM297*AM312*AM314</f>
        <v>1336.1175084216168</v>
      </c>
      <c r="AN272" s="370">
        <f>+AN297*AN312*AN314</f>
        <v>1359.2740665272818</v>
      </c>
      <c r="AO272" s="370">
        <f>+AO297*AO312*AO314</f>
        <v>1374.5848615161894</v>
      </c>
      <c r="AP272" s="370">
        <f>+AP297*AP312*AP314</f>
        <v>1430.8920114541359</v>
      </c>
      <c r="AQ272" s="371">
        <f>AP272</f>
        <v>1430.8920114541359</v>
      </c>
      <c r="AR272" s="370">
        <f>+AR297*AR312*AR314</f>
        <v>1440.9945365043268</v>
      </c>
      <c r="AS272" s="370">
        <f>+AS297*AS312*AS314</f>
        <v>1459.7038270873124</v>
      </c>
      <c r="AT272" s="370">
        <f>+AT297*AT312*AT314</f>
        <v>1470.0271232142616</v>
      </c>
      <c r="AU272" s="370">
        <f>+AU297*AU312*AU314</f>
        <v>1522.2223581122537</v>
      </c>
      <c r="AV272" s="371">
        <f>AU272</f>
        <v>1522.2223581122537</v>
      </c>
    </row>
    <row r="273" spans="2:48" outlineLevel="1" x14ac:dyDescent="0.25">
      <c r="B273" s="177" t="s">
        <v>212</v>
      </c>
      <c r="C273" s="127"/>
      <c r="D273" s="370">
        <v>1355</v>
      </c>
      <c r="E273" s="370">
        <v>1510</v>
      </c>
      <c r="F273" s="370">
        <v>1451</v>
      </c>
      <c r="G273" s="370">
        <v>1972</v>
      </c>
      <c r="H273" s="371">
        <f>G273</f>
        <v>1972</v>
      </c>
      <c r="I273" s="370">
        <v>1603</v>
      </c>
      <c r="J273" s="370">
        <v>1765</v>
      </c>
      <c r="K273" s="370">
        <v>1690</v>
      </c>
      <c r="L273" s="370">
        <v>1914</v>
      </c>
      <c r="M273" s="371">
        <f>L273</f>
        <v>1914</v>
      </c>
      <c r="N273" s="370">
        <v>1656</v>
      </c>
      <c r="O273" s="370">
        <v>1912</v>
      </c>
      <c r="P273" s="370">
        <v>1945</v>
      </c>
      <c r="Q273" s="370">
        <v>2177</v>
      </c>
      <c r="R273" s="371">
        <f>Q273</f>
        <v>2177</v>
      </c>
      <c r="S273" s="167">
        <v>1686</v>
      </c>
      <c r="T273" s="370">
        <v>1850</v>
      </c>
      <c r="U273" s="370">
        <v>1659</v>
      </c>
      <c r="V273" s="370">
        <v>1741</v>
      </c>
      <c r="W273" s="371">
        <f>V273</f>
        <v>1741</v>
      </c>
      <c r="X273" s="139">
        <f>(X15*(X306)+V273)/2</f>
        <v>1850.3929004944714</v>
      </c>
      <c r="Y273" s="139">
        <f>(Y15*(Y306)+W273)/2</f>
        <v>1776.5255343106026</v>
      </c>
      <c r="Z273" s="139">
        <f>(Z15*(Z306)+X273)/2</f>
        <v>1843.1340861495387</v>
      </c>
      <c r="AA273" s="139">
        <f>(AA15*(AA306)+Y273)/2</f>
        <v>1756.5187760800964</v>
      </c>
      <c r="AB273" s="371">
        <f>AA273</f>
        <v>1756.5187760800964</v>
      </c>
      <c r="AC273" s="139">
        <f>(AC15*(AC306)+AA273)/2</f>
        <v>1898.3261653182485</v>
      </c>
      <c r="AD273" s="139">
        <f>(AD15*(AD306)+AB273)/2</f>
        <v>1811.5438322594473</v>
      </c>
      <c r="AE273" s="139">
        <f>(AE15*(AE306)+AC273)/2</f>
        <v>1888.2985235280812</v>
      </c>
      <c r="AF273" s="139">
        <f>(AF15*(AF306)+AD273)/2</f>
        <v>1822.877496702813</v>
      </c>
      <c r="AG273" s="371">
        <f>AF273</f>
        <v>1822.877496702813</v>
      </c>
      <c r="AH273" s="139">
        <f>(AH15*(AH306)+AF273)/2</f>
        <v>1965.7485567427668</v>
      </c>
      <c r="AI273" s="139">
        <f>(AI15*(AI306)+AG273)/2</f>
        <v>1875.8874862690582</v>
      </c>
      <c r="AJ273" s="139">
        <f>(AJ15*(AJ306)+AH273)/2</f>
        <v>1954.1794029921973</v>
      </c>
      <c r="AK273" s="139">
        <f>(AK15*(AK306)+AI273)/2</f>
        <v>1883.3675741111806</v>
      </c>
      <c r="AL273" s="371">
        <f>AK273</f>
        <v>1883.3675741111806</v>
      </c>
      <c r="AM273" s="139">
        <f>(AM15*(AM306)+AK273)/2</f>
        <v>2034.5274658387077</v>
      </c>
      <c r="AN273" s="139">
        <f>(AN15*(AN306)+AL273)/2</f>
        <v>1941.198164687532</v>
      </c>
      <c r="AO273" s="139">
        <f>(AO15*(AO306)+AM273)/2</f>
        <v>2023.0892968071626</v>
      </c>
      <c r="AP273" s="139">
        <f>(AP15*(AP306)+AN273)/2</f>
        <v>1947.6492009541776</v>
      </c>
      <c r="AQ273" s="371">
        <f>AP273</f>
        <v>1947.6492009541776</v>
      </c>
      <c r="AR273" s="139">
        <f>(AR15*(AR306)+AP273)/2</f>
        <v>2100.7238017299378</v>
      </c>
      <c r="AS273" s="139">
        <f>(AS15*(AS306)+AQ273)/2</f>
        <v>2003.5690711895552</v>
      </c>
      <c r="AT273" s="139">
        <f>(AT15*(AT306)+AR273)/2</f>
        <v>2085.4067061212882</v>
      </c>
      <c r="AU273" s="139">
        <f>(AU15*(AU306)+AS273)/2</f>
        <v>2005.30626080092</v>
      </c>
      <c r="AV273" s="371">
        <f>AU273</f>
        <v>2005.30626080092</v>
      </c>
    </row>
    <row r="274" spans="2:48" s="110" customFormat="1" outlineLevel="1" x14ac:dyDescent="0.25">
      <c r="B274" s="695" t="s">
        <v>45</v>
      </c>
      <c r="C274" s="696"/>
      <c r="D274" s="370">
        <v>2049</v>
      </c>
      <c r="E274" s="370">
        <v>2129</v>
      </c>
      <c r="F274" s="370">
        <v>2024</v>
      </c>
      <c r="G274" s="370">
        <v>2944</v>
      </c>
      <c r="H274" s="371">
        <f>G274</f>
        <v>2944</v>
      </c>
      <c r="I274" s="370">
        <v>2851</v>
      </c>
      <c r="J274" s="370">
        <v>2954</v>
      </c>
      <c r="K274" s="370">
        <v>2707</v>
      </c>
      <c r="L274" s="370">
        <v>2752</v>
      </c>
      <c r="M274" s="371">
        <f>L274</f>
        <v>2752</v>
      </c>
      <c r="N274" s="370">
        <v>2938</v>
      </c>
      <c r="O274" s="370">
        <v>3147</v>
      </c>
      <c r="P274" s="370">
        <v>3102</v>
      </c>
      <c r="Q274" s="370">
        <v>2996</v>
      </c>
      <c r="R274" s="371">
        <f>Q274</f>
        <v>2996</v>
      </c>
      <c r="S274" s="370">
        <v>3066</v>
      </c>
      <c r="T274" s="370">
        <v>3400</v>
      </c>
      <c r="U274" s="370">
        <v>3156</v>
      </c>
      <c r="V274" s="370">
        <v>3030</v>
      </c>
      <c r="W274" s="371">
        <f>V274</f>
        <v>3030</v>
      </c>
      <c r="X274" s="370">
        <f>(X23/X307*2)-V274</f>
        <v>3120.7747996867574</v>
      </c>
      <c r="Y274" s="370">
        <f>(Y23/Y307*2)-X274</f>
        <v>3506.3305225444165</v>
      </c>
      <c r="Z274" s="370">
        <f>(Z23/Z307*2)-Y274</f>
        <v>3353.7425934151152</v>
      </c>
      <c r="AA274" s="370">
        <f>(AA23/AA307*2)-Z274</f>
        <v>2965.118196242277</v>
      </c>
      <c r="AB274" s="371">
        <f>AA274</f>
        <v>2965.118196242277</v>
      </c>
      <c r="AC274" s="370">
        <f>(AC23/AC307*2)-AA274</f>
        <v>3437.8274976334169</v>
      </c>
      <c r="AD274" s="370">
        <f>(AD23/AD307*2)-AC274</f>
        <v>3388.6625660799709</v>
      </c>
      <c r="AE274" s="370">
        <f>(AE23/AE307*2)-AD274</f>
        <v>3629.8292553356796</v>
      </c>
      <c r="AF274" s="370">
        <f>(AF23/AF307*2)-AE274</f>
        <v>3044.5414757527096</v>
      </c>
      <c r="AG274" s="371">
        <f>AF274</f>
        <v>3044.5414757527096</v>
      </c>
      <c r="AH274" s="370">
        <f>(AH23/AH307*2)-AF274</f>
        <v>3573.3472723378181</v>
      </c>
      <c r="AI274" s="370">
        <f>(AI23/AI307*2)-AH274</f>
        <v>3481.0933830643708</v>
      </c>
      <c r="AJ274" s="370">
        <f>(AJ23/AJ307*2)-AI274</f>
        <v>3777.8138805595154</v>
      </c>
      <c r="AK274" s="370">
        <f>(AK23/AK307*2)-AJ274</f>
        <v>3102.6470822893871</v>
      </c>
      <c r="AL274" s="371">
        <f>AK274</f>
        <v>3102.6470822893871</v>
      </c>
      <c r="AM274" s="370">
        <f>(AM23/AM307*2)-AK274</f>
        <v>3757.1182615193193</v>
      </c>
      <c r="AN274" s="370">
        <f>(AN23/AN307*2)-AM274</f>
        <v>3553.8093015668055</v>
      </c>
      <c r="AO274" s="370">
        <f>(AO23/AO307*2)-AN274</f>
        <v>3963.0814329427085</v>
      </c>
      <c r="AP274" s="370">
        <f>(AP23/AP307*2)-AO274</f>
        <v>3147.544489085536</v>
      </c>
      <c r="AQ274" s="371">
        <f>AP274</f>
        <v>3147.544489085536</v>
      </c>
      <c r="AR274" s="370">
        <f>(AR23/AR307*2)-AP274</f>
        <v>3925.986919658726</v>
      </c>
      <c r="AS274" s="370">
        <f>(AS23/AS307*2)-AR274</f>
        <v>3606.058043720016</v>
      </c>
      <c r="AT274" s="370">
        <f>(AT23/AT307*2)-AS274</f>
        <v>4129.1984319259527</v>
      </c>
      <c r="AU274" s="370">
        <f>(AU23/AU307*2)-AT274</f>
        <v>3174.0784999860452</v>
      </c>
      <c r="AV274" s="371">
        <f>AU274</f>
        <v>3174.0784999860452</v>
      </c>
    </row>
    <row r="275" spans="2:48" ht="17.25" outlineLevel="1" x14ac:dyDescent="0.4">
      <c r="B275" s="695" t="s">
        <v>46</v>
      </c>
      <c r="C275" s="696"/>
      <c r="D275" s="372">
        <v>2426</v>
      </c>
      <c r="E275" s="372">
        <v>2298</v>
      </c>
      <c r="F275" s="372">
        <v>2453</v>
      </c>
      <c r="G275" s="372">
        <v>3063</v>
      </c>
      <c r="H275" s="373">
        <f>G275</f>
        <v>3063</v>
      </c>
      <c r="I275" s="372">
        <v>2973</v>
      </c>
      <c r="J275" s="372">
        <v>3045</v>
      </c>
      <c r="K275" s="372">
        <v>3008</v>
      </c>
      <c r="L275" s="372">
        <v>3230</v>
      </c>
      <c r="M275" s="373">
        <f>L275</f>
        <v>3230</v>
      </c>
      <c r="N275" s="372">
        <v>3177</v>
      </c>
      <c r="O275" s="372">
        <v>2907</v>
      </c>
      <c r="P275" s="372">
        <v>2893</v>
      </c>
      <c r="Q275" s="372">
        <v>3082</v>
      </c>
      <c r="R275" s="373">
        <f>Q275</f>
        <v>3082</v>
      </c>
      <c r="S275" s="372">
        <v>3151</v>
      </c>
      <c r="T275" s="372">
        <v>3354</v>
      </c>
      <c r="U275" s="372">
        <v>3243</v>
      </c>
      <c r="V275" s="372">
        <v>3278</v>
      </c>
      <c r="W275" s="373">
        <f>V275</f>
        <v>3278</v>
      </c>
      <c r="X275" s="239">
        <f>(X13*X309+V275)/2</f>
        <v>3201.6363476425054</v>
      </c>
      <c r="Y275" s="239">
        <f>(Y13*Y309+X275)/2</f>
        <v>3252.2502317207145</v>
      </c>
      <c r="Z275" s="239">
        <f>(Z13*Z309+Y275)/2</f>
        <v>3351.9716767069181</v>
      </c>
      <c r="AA275" s="239">
        <f>(AA13*AA309+Z275)/2</f>
        <v>3351.3705185354102</v>
      </c>
      <c r="AB275" s="373">
        <f>AA275</f>
        <v>3351.3705185354102</v>
      </c>
      <c r="AC275" s="239">
        <f>(AC13*AC309+AA275)/2</f>
        <v>3321.207666256576</v>
      </c>
      <c r="AD275" s="239">
        <f>(AD13*AD309+AC275)/2</f>
        <v>3382.4645835499723</v>
      </c>
      <c r="AE275" s="239">
        <f>(AE13*AE309+AD275)/2</f>
        <v>3479.3518991255387</v>
      </c>
      <c r="AF275" s="239">
        <f>(AF13*AF309+AE275)/2</f>
        <v>3532.135431839527</v>
      </c>
      <c r="AG275" s="373">
        <f>AF275</f>
        <v>3532.135431839527</v>
      </c>
      <c r="AH275" s="239">
        <f>(AH13*AH309+AF275)/2</f>
        <v>3483.608106279295</v>
      </c>
      <c r="AI275" s="239">
        <f>(AI13*AI309+AH275)/2</f>
        <v>3542.0163782967988</v>
      </c>
      <c r="AJ275" s="239">
        <f>(AJ13*AJ309+AI275)/2</f>
        <v>3642.438729340086</v>
      </c>
      <c r="AK275" s="239">
        <f>(AK13*AK309+AJ275)/2</f>
        <v>3695.5168754734468</v>
      </c>
      <c r="AL275" s="373">
        <f>AK275</f>
        <v>3695.5168754734468</v>
      </c>
      <c r="AM275" s="239">
        <f>(AM13*AM309+AK275)/2</f>
        <v>3635.8600876052542</v>
      </c>
      <c r="AN275" s="239">
        <f>(AN13*AN309+AM275)/2</f>
        <v>3691.4779799124422</v>
      </c>
      <c r="AO275" s="239">
        <f>(AO13*AO309+AN275)/2</f>
        <v>3791.9398223875787</v>
      </c>
      <c r="AP275" s="239">
        <f>(AP13*AP309+AO275)/2</f>
        <v>3841.7617462892731</v>
      </c>
      <c r="AQ275" s="373">
        <f>AP275</f>
        <v>3841.7617462892731</v>
      </c>
      <c r="AR275" s="239">
        <f>(AR13*AR309+AP275)/2</f>
        <v>3772.6254770850514</v>
      </c>
      <c r="AS275" s="239">
        <f>(AS13*AS309+AR275)/2</f>
        <v>3824.5066555486619</v>
      </c>
      <c r="AT275" s="239">
        <f>(AT13*AT309+AS275)/2</f>
        <v>3923.383531524139</v>
      </c>
      <c r="AU275" s="239">
        <f>(AU13*AU309+AT275)/2</f>
        <v>3968.8763660429167</v>
      </c>
      <c r="AV275" s="373">
        <f>AU275</f>
        <v>3968.8763660429167</v>
      </c>
    </row>
    <row r="276" spans="2:48" outlineLevel="1" x14ac:dyDescent="0.25">
      <c r="B276" s="693" t="s">
        <v>8</v>
      </c>
      <c r="C276" s="694"/>
      <c r="D276" s="357">
        <f t="shared" ref="D276:AQ276" si="204">SUM(D271:D275)</f>
        <v>5844</v>
      </c>
      <c r="E276" s="357">
        <f t="shared" si="204"/>
        <v>5951</v>
      </c>
      <c r="F276" s="357">
        <f t="shared" si="204"/>
        <v>5939</v>
      </c>
      <c r="G276" s="357">
        <f t="shared" si="204"/>
        <v>8008</v>
      </c>
      <c r="H276" s="358">
        <f t="shared" si="204"/>
        <v>8008</v>
      </c>
      <c r="I276" s="357">
        <f t="shared" si="204"/>
        <v>7474</v>
      </c>
      <c r="J276" s="357">
        <f t="shared" si="204"/>
        <v>7807</v>
      </c>
      <c r="K276" s="357">
        <f t="shared" si="204"/>
        <v>7450</v>
      </c>
      <c r="L276" s="357">
        <f t="shared" si="204"/>
        <v>7918</v>
      </c>
      <c r="M276" s="358">
        <f t="shared" si="204"/>
        <v>7918</v>
      </c>
      <c r="N276" s="357">
        <f t="shared" si="204"/>
        <v>7790</v>
      </c>
      <c r="O276" s="357">
        <f t="shared" si="204"/>
        <v>8227</v>
      </c>
      <c r="P276" s="357">
        <f t="shared" si="204"/>
        <v>9503</v>
      </c>
      <c r="Q276" s="357">
        <f t="shared" si="204"/>
        <v>9597</v>
      </c>
      <c r="R276" s="358">
        <f t="shared" si="204"/>
        <v>9597</v>
      </c>
      <c r="S276" s="357">
        <f t="shared" si="204"/>
        <v>9606</v>
      </c>
      <c r="T276" s="357">
        <f t="shared" si="204"/>
        <v>9496</v>
      </c>
      <c r="U276" s="357">
        <f>SUM(U271:U275)</f>
        <v>9256</v>
      </c>
      <c r="V276" s="357">
        <f t="shared" si="204"/>
        <v>9013</v>
      </c>
      <c r="W276" s="358">
        <f t="shared" si="204"/>
        <v>9013</v>
      </c>
      <c r="X276" s="357">
        <f t="shared" si="204"/>
        <v>9393.3695332146599</v>
      </c>
      <c r="Y276" s="357">
        <f t="shared" si="204"/>
        <v>9640.1981149310704</v>
      </c>
      <c r="Z276" s="357">
        <f t="shared" si="204"/>
        <v>9716.3274618958312</v>
      </c>
      <c r="AA276" s="357">
        <f t="shared" si="204"/>
        <v>9284.3675836605289</v>
      </c>
      <c r="AB276" s="358">
        <f t="shared" si="204"/>
        <v>9284.3675836605289</v>
      </c>
      <c r="AC276" s="357">
        <f t="shared" si="204"/>
        <v>9928.3174363396865</v>
      </c>
      <c r="AD276" s="357">
        <f t="shared" si="204"/>
        <v>9862.6695844556762</v>
      </c>
      <c r="AE276" s="357">
        <f t="shared" si="204"/>
        <v>10312.532961411951</v>
      </c>
      <c r="AF276" s="357">
        <f t="shared" si="204"/>
        <v>9784.6192478557095</v>
      </c>
      <c r="AG276" s="358">
        <f t="shared" si="204"/>
        <v>9784.6192478557095</v>
      </c>
      <c r="AH276" s="357">
        <f t="shared" si="204"/>
        <v>10432.206034292727</v>
      </c>
      <c r="AI276" s="357">
        <f t="shared" si="204"/>
        <v>10334.700171925322</v>
      </c>
      <c r="AJ276" s="357">
        <f t="shared" si="204"/>
        <v>10833.327414439329</v>
      </c>
      <c r="AK276" s="357">
        <f t="shared" si="204"/>
        <v>10209.010601054768</v>
      </c>
      <c r="AL276" s="358">
        <f t="shared" si="204"/>
        <v>10209.010601054768</v>
      </c>
      <c r="AM276" s="357">
        <f t="shared" si="204"/>
        <v>10972.047744959178</v>
      </c>
      <c r="AN276" s="357">
        <f t="shared" si="204"/>
        <v>10757.121538695792</v>
      </c>
      <c r="AO276" s="357">
        <f t="shared" si="204"/>
        <v>11366.350718580952</v>
      </c>
      <c r="AP276" s="357">
        <f t="shared" si="204"/>
        <v>10590.458818604769</v>
      </c>
      <c r="AQ276" s="358">
        <f t="shared" si="204"/>
        <v>10590.458818604769</v>
      </c>
      <c r="AR276" s="357">
        <f t="shared" ref="AR276:AV276" si="205">SUM(AR271:AR275)</f>
        <v>11464.584292683059</v>
      </c>
      <c r="AS276" s="357">
        <f t="shared" si="205"/>
        <v>11120.86834249779</v>
      </c>
      <c r="AT276" s="357">
        <f t="shared" si="205"/>
        <v>11836.66529800006</v>
      </c>
      <c r="AU276" s="357">
        <f t="shared" si="205"/>
        <v>10907.292750582834</v>
      </c>
      <c r="AV276" s="358">
        <f t="shared" si="205"/>
        <v>10907.292750582834</v>
      </c>
    </row>
    <row r="277" spans="2:48" ht="15.75" customHeight="1" outlineLevel="1" x14ac:dyDescent="0.25">
      <c r="B277" s="703" t="s">
        <v>213</v>
      </c>
      <c r="C277" s="704"/>
      <c r="D277" s="370">
        <v>7244</v>
      </c>
      <c r="E277" s="370">
        <v>8481</v>
      </c>
      <c r="F277" s="370">
        <v>8477</v>
      </c>
      <c r="G277" s="370">
        <v>13733</v>
      </c>
      <c r="H277" s="371">
        <f t="shared" ref="H277:H283" si="206">G277</f>
        <v>13733</v>
      </c>
      <c r="I277" s="370">
        <v>13735</v>
      </c>
      <c r="J277" s="370">
        <v>13553</v>
      </c>
      <c r="K277" s="370">
        <v>14713</v>
      </c>
      <c r="L277" s="370">
        <v>14909</v>
      </c>
      <c r="M277" s="371">
        <f t="shared" ref="M277:M283" si="207">L277</f>
        <v>14909</v>
      </c>
      <c r="N277" s="370">
        <v>15137</v>
      </c>
      <c r="O277" s="370">
        <v>15180</v>
      </c>
      <c r="P277" s="370">
        <v>16017</v>
      </c>
      <c r="Q277" s="370">
        <v>15243</v>
      </c>
      <c r="R277" s="371">
        <f t="shared" ref="R277:R283" si="208">Q277</f>
        <v>15243</v>
      </c>
      <c r="S277" s="370">
        <v>15241</v>
      </c>
      <c r="T277" s="370">
        <v>16399</v>
      </c>
      <c r="U277" s="370">
        <v>17218</v>
      </c>
      <c r="V277" s="370">
        <v>16617</v>
      </c>
      <c r="W277" s="371">
        <f>V277</f>
        <v>16617</v>
      </c>
      <c r="X277" s="370">
        <f>+X297*X312*(1-(X313+X314))</f>
        <v>16730.303963996746</v>
      </c>
      <c r="Y277" s="370">
        <f>+Y297*Y312*(1-(Y313+Y314))</f>
        <v>17354.149079425129</v>
      </c>
      <c r="Z277" s="370">
        <f>+Z297*Z312*(1-(Z313+Z314))</f>
        <v>17682.178515595493</v>
      </c>
      <c r="AA277" s="370">
        <f>+AA297*AA312*(1-(AA313+AA314))</f>
        <v>18595.888698939798</v>
      </c>
      <c r="AB277" s="371">
        <f>AA277</f>
        <v>18595.888698939798</v>
      </c>
      <c r="AC277" s="370">
        <f>+AC297*AC312*(1-(AC313+AC314))</f>
        <v>18986.944782567796</v>
      </c>
      <c r="AD277" s="370">
        <f>+AD297*AD312*(1-(AD313+AD314))</f>
        <v>19558.471923378082</v>
      </c>
      <c r="AE277" s="370">
        <f>+AE297*AE312*(1-(AE313+AE314))</f>
        <v>19959.19121513694</v>
      </c>
      <c r="AF277" s="370">
        <f>+AF297*AF312*(1-(AF313+AF314))</f>
        <v>21032.853242846246</v>
      </c>
      <c r="AG277" s="371">
        <f>AF277</f>
        <v>21032.853242846246</v>
      </c>
      <c r="AH277" s="370">
        <f>+AH297*AH312*(1-(AH313+AH314))</f>
        <v>21346.264968703759</v>
      </c>
      <c r="AI277" s="370">
        <f>+AI297*AI312*(1-(AI313+AI314))</f>
        <v>21817.993827640188</v>
      </c>
      <c r="AJ277" s="370">
        <f>+AJ297*AJ312*(1-(AJ313+AJ314))</f>
        <v>22140.241878053595</v>
      </c>
      <c r="AK277" s="370">
        <f>+AK297*AK312*(1-(AK313+AK314))</f>
        <v>23180.517560794167</v>
      </c>
      <c r="AL277" s="371">
        <f>AK277</f>
        <v>23180.517560794167</v>
      </c>
      <c r="AM277" s="370">
        <f>+AM297*AM312*(1-(AM313+AM314))</f>
        <v>23435.678506844499</v>
      </c>
      <c r="AN277" s="370">
        <f>+AN297*AN312*(1-(AN313+AN314))</f>
        <v>23842.897410758684</v>
      </c>
      <c r="AO277" s="370">
        <f>+AO297*AO312*(1-(AO313+AO314))</f>
        <v>24103.660830498477</v>
      </c>
      <c r="AP277" s="370">
        <f>+AP297*AP312*(1-(AP313+AP314))</f>
        <v>25094.241711199575</v>
      </c>
      <c r="AQ277" s="371">
        <f>AP277</f>
        <v>25094.241711199575</v>
      </c>
      <c r="AR277" s="370">
        <f>+AR297*AR312*(1-(AR313+AR314))</f>
        <v>25272.791640656513</v>
      </c>
      <c r="AS277" s="370">
        <f>+AS297*AS312*(1-(AS313+AS314))</f>
        <v>25600.304538359007</v>
      </c>
      <c r="AT277" s="370">
        <f>+AT297*AT312*(1-(AT313+AT314))</f>
        <v>25780.291934623925</v>
      </c>
      <c r="AU277" s="370">
        <f>+AU297*AU312*(1-(AU313+AU314))</f>
        <v>26696.439195245428</v>
      </c>
      <c r="AV277" s="371">
        <f>AU277</f>
        <v>26696.439195245428</v>
      </c>
    </row>
    <row r="278" spans="2:48" ht="15.75" customHeight="1" outlineLevel="1" x14ac:dyDescent="0.25">
      <c r="B278" s="374" t="s">
        <v>207</v>
      </c>
      <c r="C278" s="375"/>
      <c r="D278" s="370">
        <v>1781</v>
      </c>
      <c r="E278" s="370">
        <v>1759</v>
      </c>
      <c r="F278" s="370">
        <v>2046</v>
      </c>
      <c r="G278" s="370">
        <v>1567</v>
      </c>
      <c r="H278" s="371">
        <f t="shared" si="206"/>
        <v>1567</v>
      </c>
      <c r="I278" s="370">
        <v>1762</v>
      </c>
      <c r="J278" s="370">
        <v>2148</v>
      </c>
      <c r="K278" s="370">
        <v>2299</v>
      </c>
      <c r="L278" s="370">
        <v>2485</v>
      </c>
      <c r="M278" s="371">
        <f t="shared" si="207"/>
        <v>2485</v>
      </c>
      <c r="N278" s="370">
        <v>2730</v>
      </c>
      <c r="O278" s="370">
        <v>3088</v>
      </c>
      <c r="P278" s="370">
        <v>2401</v>
      </c>
      <c r="Q278" s="370">
        <v>2867</v>
      </c>
      <c r="R278" s="371">
        <f t="shared" si="208"/>
        <v>2867</v>
      </c>
      <c r="S278" s="370">
        <v>2948</v>
      </c>
      <c r="T278" s="370">
        <v>3253</v>
      </c>
      <c r="U278" s="370">
        <v>3211</v>
      </c>
      <c r="V278" s="370">
        <v>2821</v>
      </c>
      <c r="W278" s="371">
        <f>+V278</f>
        <v>2821</v>
      </c>
      <c r="X278" s="241">
        <f>V278*1.038</f>
        <v>2928.1980000000003</v>
      </c>
      <c r="Y278" s="241">
        <f>+X278*1.038</f>
        <v>3039.4695240000005</v>
      </c>
      <c r="Z278" s="241">
        <f>+Y278*1.038</f>
        <v>3154.9693659120007</v>
      </c>
      <c r="AA278" s="241">
        <f>+Z278*1.038</f>
        <v>3274.8582018166567</v>
      </c>
      <c r="AB278" s="371">
        <f>+AA278</f>
        <v>3274.8582018166567</v>
      </c>
      <c r="AC278" s="241">
        <f>AA278*1.038</f>
        <v>3399.3028134856895</v>
      </c>
      <c r="AD278" s="241">
        <f>+AC278*1.038</f>
        <v>3528.4763203981456</v>
      </c>
      <c r="AE278" s="241">
        <f>+AD278*1.038</f>
        <v>3662.5584205732753</v>
      </c>
      <c r="AF278" s="241">
        <f>+AE278*1.038</f>
        <v>3801.7356405550599</v>
      </c>
      <c r="AG278" s="371">
        <f>+AF278</f>
        <v>3801.7356405550599</v>
      </c>
      <c r="AH278" s="241">
        <f>AF278*1.038</f>
        <v>3946.2015948961525</v>
      </c>
      <c r="AI278" s="241">
        <f>+AH278*1.038</f>
        <v>4096.1572555022067</v>
      </c>
      <c r="AJ278" s="241">
        <f>+AI278*1.038</f>
        <v>4251.8112312112908</v>
      </c>
      <c r="AK278" s="241">
        <f>+AJ278*1.038</f>
        <v>4413.3800579973204</v>
      </c>
      <c r="AL278" s="371">
        <f>+AK278</f>
        <v>4413.3800579973204</v>
      </c>
      <c r="AM278" s="241">
        <f>AK278*1.038</f>
        <v>4581.0885002012183</v>
      </c>
      <c r="AN278" s="241">
        <f>+AM278*1.038</f>
        <v>4755.1698632088646</v>
      </c>
      <c r="AO278" s="241">
        <f>+AN278*1.038</f>
        <v>4935.8663180108015</v>
      </c>
      <c r="AP278" s="241">
        <f>+AO278*1.038</f>
        <v>5123.429238095212</v>
      </c>
      <c r="AQ278" s="371">
        <f>+AP278</f>
        <v>5123.429238095212</v>
      </c>
      <c r="AR278" s="241">
        <f>AP278*1.038</f>
        <v>5318.1195491428298</v>
      </c>
      <c r="AS278" s="241">
        <f>+AR278*1.038</f>
        <v>5520.2080920102571</v>
      </c>
      <c r="AT278" s="241">
        <f>+AS278*1.038</f>
        <v>5729.975999506647</v>
      </c>
      <c r="AU278" s="241">
        <f>+AT278*1.038</f>
        <v>5947.7150874878998</v>
      </c>
      <c r="AV278" s="371">
        <f>+AU278</f>
        <v>5947.7150874878998</v>
      </c>
    </row>
    <row r="279" spans="2:48" ht="15.75" customHeight="1" outlineLevel="1" x14ac:dyDescent="0.25">
      <c r="B279" s="374" t="s">
        <v>214</v>
      </c>
      <c r="C279" s="375"/>
      <c r="D279" s="370">
        <v>4806</v>
      </c>
      <c r="E279" s="370">
        <v>4702</v>
      </c>
      <c r="F279" s="370">
        <v>4628</v>
      </c>
      <c r="G279" s="370">
        <v>6227</v>
      </c>
      <c r="H279" s="371">
        <f t="shared" si="206"/>
        <v>6227</v>
      </c>
      <c r="I279" s="370">
        <v>6063</v>
      </c>
      <c r="J279" s="370">
        <v>5845</v>
      </c>
      <c r="K279" s="370">
        <v>4670</v>
      </c>
      <c r="L279" s="370">
        <v>4487</v>
      </c>
      <c r="M279" s="371">
        <f t="shared" si="207"/>
        <v>4487</v>
      </c>
      <c r="N279" s="370">
        <v>4313</v>
      </c>
      <c r="O279" s="370">
        <v>3868</v>
      </c>
      <c r="P279" s="370">
        <v>2181</v>
      </c>
      <c r="Q279" s="370">
        <v>2187</v>
      </c>
      <c r="R279" s="371">
        <f t="shared" si="208"/>
        <v>2187</v>
      </c>
      <c r="S279" s="370">
        <v>1963</v>
      </c>
      <c r="T279" s="370">
        <v>1735</v>
      </c>
      <c r="U279" s="370">
        <v>1847</v>
      </c>
      <c r="V279" s="370">
        <v>5095</v>
      </c>
      <c r="W279" s="371">
        <f>V279</f>
        <v>5095</v>
      </c>
      <c r="X279" s="370">
        <f>+(AB279-V279)/4+V279</f>
        <v>5140.4075000000003</v>
      </c>
      <c r="Y279" s="370">
        <f>+(AB279-W279)/4+X279</f>
        <v>5185.8150000000005</v>
      </c>
      <c r="Z279" s="370">
        <f>+(AB279-W279)/4+Y279</f>
        <v>5231.2225000000008</v>
      </c>
      <c r="AA279" s="822">
        <f>+(AB279-W279)/4+Z279</f>
        <v>5276.630000000001</v>
      </c>
      <c r="AB279" s="371">
        <f>-(AB194+AB197+AB198-AB200)</f>
        <v>5276.630000000001</v>
      </c>
      <c r="AC279" s="370">
        <f>+(AG279-AA279)/4+AA279</f>
        <v>5275.8760250000005</v>
      </c>
      <c r="AD279" s="370">
        <f>+(AG279-AB279)/4+AC279</f>
        <v>5275.1220499999999</v>
      </c>
      <c r="AE279" s="370">
        <f>+(AG279-AB279)/4+AD279</f>
        <v>5274.3680749999994</v>
      </c>
      <c r="AF279" s="370">
        <f>+(AG279-AB279)/4+AE279</f>
        <v>5273.6140999999989</v>
      </c>
      <c r="AG279" s="371">
        <f>-(AG194+AG197+AG198-AG200)</f>
        <v>5273.6140999999989</v>
      </c>
      <c r="AH279" s="370">
        <f>+(AL279-AF279)/4+AF279</f>
        <v>5278.8198467499988</v>
      </c>
      <c r="AI279" s="370">
        <f>+(AL279-AG279)/4+AH279</f>
        <v>5284.0255934999986</v>
      </c>
      <c r="AJ279" s="370">
        <f>+(AL279-AG279)/4+AI279</f>
        <v>5289.2313402499985</v>
      </c>
      <c r="AK279" s="370">
        <f>+(AL279-AG279)/4+AJ279</f>
        <v>5294.4370869999984</v>
      </c>
      <c r="AL279" s="371">
        <f>-(AL194+AL197+AL198-AL200)</f>
        <v>5294.4370869999984</v>
      </c>
      <c r="AM279" s="370">
        <f>+(AQ279-AK279)/4+AK279</f>
        <v>5305.879736022498</v>
      </c>
      <c r="AN279" s="370">
        <f>+(AQ279-AL279)/4+AM279</f>
        <v>5317.3223850449976</v>
      </c>
      <c r="AO279" s="370">
        <f>+(AQ279-AL279)/4+AN279</f>
        <v>5328.7650340674973</v>
      </c>
      <c r="AP279" s="370">
        <f>+(AQ279-AL279)/4+AO279</f>
        <v>5340.2076830899969</v>
      </c>
      <c r="AQ279" s="371">
        <f>-(AQ194+AQ197+AQ198-AQ200)</f>
        <v>5340.2076830899969</v>
      </c>
      <c r="AR279" s="370">
        <f>+(AV279-AP279)/4+AP279</f>
        <v>5333.3763175440718</v>
      </c>
      <c r="AS279" s="370">
        <f>+(AV279-AQ279)/4+AR279</f>
        <v>5326.5449519981466</v>
      </c>
      <c r="AT279" s="370">
        <f>+(AV279-AQ279)/4+AS279</f>
        <v>5319.7135864522215</v>
      </c>
      <c r="AU279" s="370">
        <f>+(AV279-AQ279)/4+AT279</f>
        <v>5312.8822209062964</v>
      </c>
      <c r="AV279" s="371">
        <f>-(AV194+AV197+AV198-AV200)</f>
        <v>5312.8822209062964</v>
      </c>
    </row>
    <row r="280" spans="2:48" ht="15.75" customHeight="1" outlineLevel="1" x14ac:dyDescent="0.25">
      <c r="B280" s="374" t="s">
        <v>215</v>
      </c>
      <c r="C280" s="375"/>
      <c r="D280" s="370">
        <v>1186</v>
      </c>
      <c r="E280" s="370">
        <v>1265</v>
      </c>
      <c r="F280" s="370">
        <v>1282</v>
      </c>
      <c r="G280" s="370">
        <v>1314</v>
      </c>
      <c r="H280" s="371">
        <f t="shared" si="206"/>
        <v>1314</v>
      </c>
      <c r="I280" s="370">
        <v>1338</v>
      </c>
      <c r="J280" s="370">
        <v>1349</v>
      </c>
      <c r="K280" s="370">
        <v>1376</v>
      </c>
      <c r="L280" s="370">
        <v>1494</v>
      </c>
      <c r="M280" s="371">
        <f t="shared" si="207"/>
        <v>1494</v>
      </c>
      <c r="N280" s="370">
        <v>1603</v>
      </c>
      <c r="O280" s="370">
        <v>1651</v>
      </c>
      <c r="P280" s="370">
        <v>1715</v>
      </c>
      <c r="Q280" s="370">
        <v>1784</v>
      </c>
      <c r="R280" s="371">
        <f t="shared" si="208"/>
        <v>1784</v>
      </c>
      <c r="S280" s="370">
        <v>1809</v>
      </c>
      <c r="T280" s="370">
        <v>1844</v>
      </c>
      <c r="U280" s="370">
        <v>1861</v>
      </c>
      <c r="V280" s="370">
        <v>1899</v>
      </c>
      <c r="W280" s="371">
        <f>V280</f>
        <v>1899</v>
      </c>
      <c r="X280" s="241">
        <f>(X13*X310)*2-V280</f>
        <v>1704.1140042223788</v>
      </c>
      <c r="Y280" s="241">
        <f>(Y13*Y310)*2-X280</f>
        <v>2005.451749817119</v>
      </c>
      <c r="Z280" s="241">
        <f>(Z13*Z310)*2-Y280</f>
        <v>1871.6205605885248</v>
      </c>
      <c r="AA280" s="241">
        <f>(AA13*AA310)*2-Z280</f>
        <v>1992.4778276857501</v>
      </c>
      <c r="AB280" s="371">
        <f>AA280</f>
        <v>1992.4778276857501</v>
      </c>
      <c r="AC280" s="241">
        <f>(AC13*AC310)*2-AA280</f>
        <v>1801.7541686633681</v>
      </c>
      <c r="AD280" s="241">
        <f>(AD13*AD310)*2-AC280</f>
        <v>2066.0135923145945</v>
      </c>
      <c r="AE280" s="241">
        <f>(AE13*AE310)*2-AD280</f>
        <v>1950.9536020063379</v>
      </c>
      <c r="AF280" s="241">
        <f>(AF13*AF310)*2-AE280</f>
        <v>2183.1654922188482</v>
      </c>
      <c r="AG280" s="371">
        <f>AF280</f>
        <v>2183.1654922188482</v>
      </c>
      <c r="AH280" s="241">
        <f>(AH13*AH310)*2-AF280</f>
        <v>1777.1249762950592</v>
      </c>
      <c r="AI280" s="241">
        <f>(AI13*AI310)*2-AH280</f>
        <v>2266.641740875777</v>
      </c>
      <c r="AJ280" s="241">
        <f>(AJ13*AJ310)*2-AI280</f>
        <v>1937.4814371810362</v>
      </c>
      <c r="AK280" s="241">
        <f>(AK13*AK310)*2-AJ280</f>
        <v>2385.3884543207569</v>
      </c>
      <c r="AL280" s="371">
        <f>AK280</f>
        <v>2385.3884543207569</v>
      </c>
      <c r="AM280" s="241">
        <f>(AM13*AM310)*2-AK280</f>
        <v>1737.6015844904941</v>
      </c>
      <c r="AN280" s="241">
        <f>(AN13*AN310)*2-AM280</f>
        <v>2470.8968693813913</v>
      </c>
      <c r="AO280" s="241">
        <f>(AO13*AO310)*2-AN280</f>
        <v>1901.1959510874167</v>
      </c>
      <c r="AP280" s="241">
        <f>(AP13*AP310)*2-AO280</f>
        <v>2586.568072810157</v>
      </c>
      <c r="AQ280" s="371">
        <f>AP280</f>
        <v>2586.568072810157</v>
      </c>
      <c r="AR280" s="241">
        <f>(AR13*AR310)*2-AP280</f>
        <v>1683.169364672859</v>
      </c>
      <c r="AS280" s="241">
        <f>(AS13*AS310)*2-AR280</f>
        <v>2670.5415523592173</v>
      </c>
      <c r="AT280" s="241">
        <f>(AT13*AT310)*2-AS280</f>
        <v>1847.413521094194</v>
      </c>
      <c r="AU280" s="241">
        <f>(AU13*AU310)*2-AT280</f>
        <v>2781.9464525638259</v>
      </c>
      <c r="AV280" s="371">
        <f>AU280</f>
        <v>2781.9464525638259</v>
      </c>
    </row>
    <row r="281" spans="2:48" ht="15.75" customHeight="1" outlineLevel="1" x14ac:dyDescent="0.25">
      <c r="B281" s="374" t="s">
        <v>216</v>
      </c>
      <c r="C281" s="375"/>
      <c r="D281" s="370">
        <v>766</v>
      </c>
      <c r="E281" s="370">
        <v>840</v>
      </c>
      <c r="F281" s="370">
        <v>723</v>
      </c>
      <c r="G281" s="370">
        <v>400</v>
      </c>
      <c r="H281" s="371">
        <f t="shared" si="206"/>
        <v>400</v>
      </c>
      <c r="I281" s="370">
        <v>457</v>
      </c>
      <c r="J281" s="370">
        <v>547</v>
      </c>
      <c r="K281" s="370">
        <v>456</v>
      </c>
      <c r="L281" s="370">
        <v>531</v>
      </c>
      <c r="M281" s="371">
        <f t="shared" si="207"/>
        <v>531</v>
      </c>
      <c r="N281" s="370">
        <v>575</v>
      </c>
      <c r="O281" s="370">
        <v>633</v>
      </c>
      <c r="P281" s="370">
        <v>532</v>
      </c>
      <c r="Q281" s="370">
        <v>551</v>
      </c>
      <c r="R281" s="371">
        <f t="shared" si="208"/>
        <v>551</v>
      </c>
      <c r="S281" s="370">
        <v>557</v>
      </c>
      <c r="T281" s="370">
        <v>605</v>
      </c>
      <c r="U281" s="370">
        <v>512</v>
      </c>
      <c r="V281" s="370">
        <v>531</v>
      </c>
      <c r="W281" s="371">
        <f>V281</f>
        <v>531</v>
      </c>
      <c r="X281" s="370">
        <f>V281*(S281/Q281)</f>
        <v>536.78221415607993</v>
      </c>
      <c r="Y281" s="370">
        <f t="shared" ref="Y281:AA283" si="209">X281*(T281/S281)</f>
        <v>583.0399274047187</v>
      </c>
      <c r="Z281" s="370">
        <f t="shared" si="209"/>
        <v>493.41560798548096</v>
      </c>
      <c r="AA281" s="370">
        <f t="shared" si="209"/>
        <v>511.72595281306718</v>
      </c>
      <c r="AB281" s="371">
        <f>AA281</f>
        <v>511.72595281306718</v>
      </c>
      <c r="AC281" s="370">
        <f>AA281*(X281/V281)</f>
        <v>517.29828623752894</v>
      </c>
      <c r="AD281" s="370">
        <f t="shared" ref="AD281:AF283" si="210">AC281*(Y281/X281)</f>
        <v>561.87695363322257</v>
      </c>
      <c r="AE281" s="370">
        <f t="shared" si="210"/>
        <v>475.50578555406605</v>
      </c>
      <c r="AF281" s="370">
        <f t="shared" si="210"/>
        <v>493.15150806486145</v>
      </c>
      <c r="AG281" s="371">
        <f>AF281</f>
        <v>493.15150806486145</v>
      </c>
      <c r="AH281" s="370">
        <f>AF281*(AC281/AA281)</f>
        <v>498.5215789330814</v>
      </c>
      <c r="AI281" s="370">
        <f t="shared" ref="AI281:AK283" si="211">AH281*(AD281/AC281)</f>
        <v>541.48214587884058</v>
      </c>
      <c r="AJ281" s="370">
        <f t="shared" si="211"/>
        <v>458.24604742143202</v>
      </c>
      <c r="AK281" s="370">
        <f t="shared" si="211"/>
        <v>475.25127183746173</v>
      </c>
      <c r="AL281" s="371">
        <f>AK281</f>
        <v>475.25127183746173</v>
      </c>
      <c r="AM281" s="370">
        <f>AK281*(AH281/AF281)</f>
        <v>480.42642180302397</v>
      </c>
      <c r="AN281" s="370">
        <f t="shared" ref="AN281:AP283" si="212">AM281*(AI281/AH281)</f>
        <v>521.8276215275215</v>
      </c>
      <c r="AO281" s="370">
        <f t="shared" si="212"/>
        <v>441.61279706130745</v>
      </c>
      <c r="AP281" s="370">
        <f t="shared" si="212"/>
        <v>458.00077195225441</v>
      </c>
      <c r="AQ281" s="371">
        <f>AP281</f>
        <v>458.00077195225441</v>
      </c>
      <c r="AR281" s="370">
        <f>AP281*(AM281/AK281)</f>
        <v>462.98807618403941</v>
      </c>
      <c r="AS281" s="370">
        <f t="shared" ref="AS281:AS283" si="213">AR281*(AN281/AM281)</f>
        <v>502.88651003831927</v>
      </c>
      <c r="AT281" s="370">
        <f t="shared" ref="AT281:AT283" si="214">AS281*(AO281/AN281)</f>
        <v>425.58329444565203</v>
      </c>
      <c r="AU281" s="370">
        <f t="shared" ref="AU281:AU283" si="215">AT281*(AP281/AO281)</f>
        <v>441.37642451297114</v>
      </c>
      <c r="AV281" s="371">
        <f>AU281</f>
        <v>441.37642451297114</v>
      </c>
    </row>
    <row r="282" spans="2:48" ht="15.75" customHeight="1" outlineLevel="1" x14ac:dyDescent="0.25">
      <c r="B282" s="374" t="s">
        <v>217</v>
      </c>
      <c r="C282" s="375"/>
      <c r="D282" s="370">
        <v>174</v>
      </c>
      <c r="E282" s="370">
        <v>167</v>
      </c>
      <c r="F282" s="370">
        <v>161</v>
      </c>
      <c r="G282" s="370">
        <v>155</v>
      </c>
      <c r="H282" s="371">
        <f t="shared" si="206"/>
        <v>155</v>
      </c>
      <c r="I282" s="370">
        <v>150</v>
      </c>
      <c r="J282" s="370">
        <v>145</v>
      </c>
      <c r="K282" s="370">
        <v>142</v>
      </c>
      <c r="L282" s="370">
        <v>137</v>
      </c>
      <c r="M282" s="371">
        <f t="shared" si="207"/>
        <v>137</v>
      </c>
      <c r="N282" s="370">
        <v>126</v>
      </c>
      <c r="O282" s="370">
        <v>122</v>
      </c>
      <c r="P282" s="370">
        <v>124</v>
      </c>
      <c r="Q282" s="370">
        <v>121</v>
      </c>
      <c r="R282" s="371">
        <f t="shared" si="208"/>
        <v>121</v>
      </c>
      <c r="S282" s="370">
        <v>156</v>
      </c>
      <c r="T282" s="370">
        <v>137</v>
      </c>
      <c r="U282" s="370">
        <v>118</v>
      </c>
      <c r="V282" s="370">
        <v>99</v>
      </c>
      <c r="W282" s="371">
        <f>V282</f>
        <v>99</v>
      </c>
      <c r="X282" s="370">
        <f>V282*(S282/Q282)</f>
        <v>127.63636363636363</v>
      </c>
      <c r="Y282" s="370">
        <f t="shared" si="209"/>
        <v>112.09090909090908</v>
      </c>
      <c r="Z282" s="370">
        <f t="shared" si="209"/>
        <v>96.545454545454533</v>
      </c>
      <c r="AA282" s="370">
        <f t="shared" si="209"/>
        <v>80.999999999999986</v>
      </c>
      <c r="AB282" s="371">
        <f>AA282</f>
        <v>80.999999999999986</v>
      </c>
      <c r="AC282" s="370">
        <f>AA282*(X282/V282)</f>
        <v>104.42975206611568</v>
      </c>
      <c r="AD282" s="370">
        <f t="shared" si="210"/>
        <v>91.710743801652868</v>
      </c>
      <c r="AE282" s="370">
        <f t="shared" si="210"/>
        <v>78.991735537190053</v>
      </c>
      <c r="AF282" s="370">
        <f t="shared" si="210"/>
        <v>66.272727272727252</v>
      </c>
      <c r="AG282" s="371">
        <f>AF282</f>
        <v>66.272727272727252</v>
      </c>
      <c r="AH282" s="370">
        <f>AF282*(AC282/AA282)</f>
        <v>85.442524417730993</v>
      </c>
      <c r="AI282" s="370">
        <f t="shared" si="211"/>
        <v>75.036063110443237</v>
      </c>
      <c r="AJ282" s="370">
        <f t="shared" si="211"/>
        <v>64.629601803155481</v>
      </c>
      <c r="AK282" s="370">
        <f t="shared" si="211"/>
        <v>54.223140495867739</v>
      </c>
      <c r="AL282" s="371">
        <f>AK282</f>
        <v>54.223140495867739</v>
      </c>
      <c r="AM282" s="370">
        <f>AK282*(AH282/AF282)</f>
        <v>69.907519978143526</v>
      </c>
      <c r="AN282" s="370">
        <f t="shared" si="212"/>
        <v>61.393142544908088</v>
      </c>
      <c r="AO282" s="370">
        <f t="shared" si="212"/>
        <v>52.878765111672656</v>
      </c>
      <c r="AP282" s="370">
        <f t="shared" si="212"/>
        <v>44.364387678437232</v>
      </c>
      <c r="AQ282" s="371">
        <f>AP282</f>
        <v>44.364387678437232</v>
      </c>
      <c r="AR282" s="370">
        <f>AP282*(AM282/AK282)</f>
        <v>57.197061800299238</v>
      </c>
      <c r="AS282" s="370">
        <f t="shared" si="213"/>
        <v>50.230752991288426</v>
      </c>
      <c r="AT282" s="370">
        <f t="shared" si="214"/>
        <v>43.264444182277622</v>
      </c>
      <c r="AU282" s="370">
        <f t="shared" si="215"/>
        <v>36.298135373266824</v>
      </c>
      <c r="AV282" s="371">
        <f>AU282</f>
        <v>36.298135373266824</v>
      </c>
    </row>
    <row r="283" spans="2:48" ht="15.75" customHeight="1" outlineLevel="1" x14ac:dyDescent="0.4">
      <c r="B283" s="703" t="s">
        <v>47</v>
      </c>
      <c r="C283" s="704"/>
      <c r="D283" s="372">
        <v>161</v>
      </c>
      <c r="E283" s="372">
        <v>216</v>
      </c>
      <c r="F283" s="372">
        <v>236</v>
      </c>
      <c r="G283" s="372">
        <v>771</v>
      </c>
      <c r="H283" s="373">
        <f t="shared" si="206"/>
        <v>771</v>
      </c>
      <c r="I283" s="372">
        <v>454</v>
      </c>
      <c r="J283" s="372">
        <v>423</v>
      </c>
      <c r="K283" s="372">
        <v>491</v>
      </c>
      <c r="L283" s="372">
        <v>518</v>
      </c>
      <c r="M283" s="373">
        <f t="shared" si="207"/>
        <v>518</v>
      </c>
      <c r="N283" s="372">
        <v>458</v>
      </c>
      <c r="O283" s="372">
        <v>457</v>
      </c>
      <c r="P283" s="372">
        <v>484</v>
      </c>
      <c r="Q283" s="372">
        <v>534</v>
      </c>
      <c r="R283" s="373">
        <f t="shared" si="208"/>
        <v>534</v>
      </c>
      <c r="S283" s="372">
        <v>448</v>
      </c>
      <c r="T283" s="372">
        <v>526</v>
      </c>
      <c r="U283" s="372">
        <v>547</v>
      </c>
      <c r="V283" s="372">
        <v>571</v>
      </c>
      <c r="W283" s="373">
        <f>V283</f>
        <v>571</v>
      </c>
      <c r="X283" s="372">
        <f>V283*(S283/Q283)</f>
        <v>479.04119850187271</v>
      </c>
      <c r="Y283" s="372">
        <f t="shared" si="209"/>
        <v>562.44569288389516</v>
      </c>
      <c r="Z283" s="372">
        <f t="shared" si="209"/>
        <v>584.90074906367045</v>
      </c>
      <c r="AA283" s="372">
        <f t="shared" si="209"/>
        <v>610.56367041198507</v>
      </c>
      <c r="AB283" s="373">
        <f>AA283</f>
        <v>610.56367041198507</v>
      </c>
      <c r="AC283" s="372">
        <f>AA283*(X283/V283)</f>
        <v>512.23319165649684</v>
      </c>
      <c r="AD283" s="372">
        <f t="shared" si="210"/>
        <v>601.4166491324047</v>
      </c>
      <c r="AE283" s="372">
        <f t="shared" si="210"/>
        <v>625.42757999130299</v>
      </c>
      <c r="AF283" s="372">
        <f t="shared" si="210"/>
        <v>652.86864383004388</v>
      </c>
      <c r="AG283" s="373">
        <f>AF283</f>
        <v>652.86864383004388</v>
      </c>
      <c r="AH283" s="372">
        <f>AF283*(AC283/AA283)</f>
        <v>547.725004561535</v>
      </c>
      <c r="AI283" s="372">
        <f t="shared" si="211"/>
        <v>643.08784017715936</v>
      </c>
      <c r="AJ283" s="372">
        <f t="shared" si="211"/>
        <v>668.76244976598127</v>
      </c>
      <c r="AK283" s="372">
        <f t="shared" si="211"/>
        <v>698.10486072463493</v>
      </c>
      <c r="AL283" s="373">
        <f>AK283</f>
        <v>698.10486072463493</v>
      </c>
      <c r="AM283" s="372">
        <f>AK283*(AH283/AF283)</f>
        <v>585.67598802366376</v>
      </c>
      <c r="AN283" s="372">
        <f t="shared" si="212"/>
        <v>687.64636093849799</v>
      </c>
      <c r="AO283" s="372">
        <f t="shared" si="212"/>
        <v>715.09992287710725</v>
      </c>
      <c r="AP283" s="372">
        <f t="shared" si="212"/>
        <v>746.47542223551773</v>
      </c>
      <c r="AQ283" s="373">
        <f>AP283</f>
        <v>746.47542223551773</v>
      </c>
      <c r="AR283" s="372">
        <f>AP283*(AM283/AK283)</f>
        <v>626.25653401032207</v>
      </c>
      <c r="AS283" s="372">
        <f t="shared" si="213"/>
        <v>735.29226984247634</v>
      </c>
      <c r="AT283" s="372">
        <f t="shared" si="214"/>
        <v>764.6480448742102</v>
      </c>
      <c r="AU283" s="372">
        <f t="shared" si="215"/>
        <v>798.19750205333457</v>
      </c>
      <c r="AV283" s="373">
        <f>AU283</f>
        <v>798.19750205333457</v>
      </c>
    </row>
    <row r="284" spans="2:48" outlineLevel="1" x14ac:dyDescent="0.25">
      <c r="B284" s="693" t="s">
        <v>10</v>
      </c>
      <c r="C284" s="694"/>
      <c r="D284" s="357">
        <f t="shared" ref="D284:AQ284" si="216">SUM(D276:D283)</f>
        <v>21962</v>
      </c>
      <c r="E284" s="357">
        <f t="shared" si="216"/>
        <v>23381</v>
      </c>
      <c r="F284" s="357">
        <f t="shared" si="216"/>
        <v>23492</v>
      </c>
      <c r="G284" s="357">
        <f t="shared" si="216"/>
        <v>32175</v>
      </c>
      <c r="H284" s="358">
        <f t="shared" si="216"/>
        <v>32175</v>
      </c>
      <c r="I284" s="357">
        <f t="shared" si="216"/>
        <v>31433</v>
      </c>
      <c r="J284" s="357">
        <f t="shared" si="216"/>
        <v>31817</v>
      </c>
      <c r="K284" s="357">
        <f t="shared" si="216"/>
        <v>31597</v>
      </c>
      <c r="L284" s="357">
        <f t="shared" si="216"/>
        <v>32479</v>
      </c>
      <c r="M284" s="358">
        <f t="shared" si="216"/>
        <v>32479</v>
      </c>
      <c r="N284" s="357">
        <f t="shared" si="216"/>
        <v>32732</v>
      </c>
      <c r="O284" s="357">
        <f t="shared" si="216"/>
        <v>33226</v>
      </c>
      <c r="P284" s="357">
        <f t="shared" si="216"/>
        <v>32957</v>
      </c>
      <c r="Q284" s="357">
        <f t="shared" si="216"/>
        <v>32884</v>
      </c>
      <c r="R284" s="358">
        <f t="shared" si="216"/>
        <v>32884</v>
      </c>
      <c r="S284" s="357">
        <f t="shared" si="216"/>
        <v>32728</v>
      </c>
      <c r="T284" s="357">
        <f t="shared" si="216"/>
        <v>33995</v>
      </c>
      <c r="U284" s="357">
        <f t="shared" si="216"/>
        <v>34570</v>
      </c>
      <c r="V284" s="357">
        <f>SUM(V276:V283)</f>
        <v>36646</v>
      </c>
      <c r="W284" s="358">
        <f t="shared" si="216"/>
        <v>36646</v>
      </c>
      <c r="X284" s="357">
        <f t="shared" si="216"/>
        <v>37039.852777728098</v>
      </c>
      <c r="Y284" s="357">
        <f t="shared" si="216"/>
        <v>38482.659997552837</v>
      </c>
      <c r="Z284" s="357">
        <f t="shared" si="216"/>
        <v>38831.180215586464</v>
      </c>
      <c r="AA284" s="357">
        <f t="shared" si="216"/>
        <v>39627.511935327777</v>
      </c>
      <c r="AB284" s="358">
        <f t="shared" si="216"/>
        <v>39627.511935327777</v>
      </c>
      <c r="AC284" s="357">
        <f t="shared" si="216"/>
        <v>40526.156456016681</v>
      </c>
      <c r="AD284" s="357">
        <f t="shared" si="216"/>
        <v>41545.757817113779</v>
      </c>
      <c r="AE284" s="357">
        <f t="shared" si="216"/>
        <v>42339.529375211059</v>
      </c>
      <c r="AF284" s="357">
        <f t="shared" si="216"/>
        <v>43288.280602643492</v>
      </c>
      <c r="AG284" s="358">
        <f t="shared" si="216"/>
        <v>43288.280602643492</v>
      </c>
      <c r="AH284" s="357">
        <f t="shared" si="216"/>
        <v>43912.306528850051</v>
      </c>
      <c r="AI284" s="357">
        <f t="shared" si="216"/>
        <v>45059.124638609937</v>
      </c>
      <c r="AJ284" s="357">
        <f t="shared" si="216"/>
        <v>45643.73140012582</v>
      </c>
      <c r="AK284" s="357">
        <f t="shared" si="216"/>
        <v>46710.313034224971</v>
      </c>
      <c r="AL284" s="358">
        <f t="shared" si="216"/>
        <v>46710.313034224971</v>
      </c>
      <c r="AM284" s="357">
        <f t="shared" si="216"/>
        <v>47168.306002322715</v>
      </c>
      <c r="AN284" s="357">
        <f t="shared" si="216"/>
        <v>48414.275192100657</v>
      </c>
      <c r="AO284" s="357">
        <f t="shared" si="216"/>
        <v>48845.430337295227</v>
      </c>
      <c r="AP284" s="357">
        <f t="shared" si="216"/>
        <v>49983.746105665923</v>
      </c>
      <c r="AQ284" s="358">
        <f t="shared" si="216"/>
        <v>49983.746105665923</v>
      </c>
      <c r="AR284" s="357">
        <f t="shared" ref="AR284:AV284" si="217">SUM(AR276:AR283)</f>
        <v>50218.482836693991</v>
      </c>
      <c r="AS284" s="357">
        <f t="shared" si="217"/>
        <v>51526.877010096505</v>
      </c>
      <c r="AT284" s="357">
        <f t="shared" si="217"/>
        <v>51747.556123179187</v>
      </c>
      <c r="AU284" s="357">
        <f t="shared" si="217"/>
        <v>52922.147768725852</v>
      </c>
      <c r="AV284" s="358">
        <f t="shared" si="217"/>
        <v>52922.147768725852</v>
      </c>
    </row>
    <row r="285" spans="2:48" ht="6.75" customHeight="1" outlineLevel="1" x14ac:dyDescent="0.25">
      <c r="B285" s="745"/>
      <c r="C285" s="746"/>
      <c r="D285" s="370"/>
      <c r="E285" s="370"/>
      <c r="F285" s="370"/>
      <c r="G285" s="370"/>
      <c r="H285" s="371"/>
      <c r="I285" s="370"/>
      <c r="J285" s="370"/>
      <c r="K285" s="370"/>
      <c r="L285" s="370"/>
      <c r="M285" s="371"/>
      <c r="N285" s="370"/>
      <c r="O285" s="370"/>
      <c r="P285" s="370"/>
      <c r="Q285" s="376"/>
      <c r="R285" s="377"/>
      <c r="S285" s="376"/>
      <c r="T285" s="376"/>
      <c r="U285" s="376"/>
      <c r="V285" s="376"/>
      <c r="W285" s="377"/>
      <c r="X285" s="376"/>
      <c r="Y285" s="376"/>
      <c r="Z285" s="376"/>
      <c r="AA285" s="376"/>
      <c r="AB285" s="377"/>
      <c r="AC285" s="376"/>
      <c r="AD285" s="376"/>
      <c r="AE285" s="376"/>
      <c r="AF285" s="376"/>
      <c r="AG285" s="377"/>
      <c r="AH285" s="376"/>
      <c r="AI285" s="376"/>
      <c r="AJ285" s="376"/>
      <c r="AK285" s="376"/>
      <c r="AL285" s="377"/>
      <c r="AM285" s="376"/>
      <c r="AN285" s="376"/>
      <c r="AO285" s="376"/>
      <c r="AP285" s="376"/>
      <c r="AQ285" s="377"/>
      <c r="AR285" s="376"/>
      <c r="AS285" s="376"/>
      <c r="AT285" s="376"/>
      <c r="AU285" s="376"/>
      <c r="AV285" s="377"/>
    </row>
    <row r="286" spans="2:48" ht="14.25" customHeight="1" outlineLevel="1" x14ac:dyDescent="0.25">
      <c r="B286" s="729" t="s">
        <v>48</v>
      </c>
      <c r="C286" s="730"/>
      <c r="D286" s="378">
        <v>0</v>
      </c>
      <c r="E286" s="378">
        <f t="shared" ref="E286:AQ286" si="218">D286</f>
        <v>0</v>
      </c>
      <c r="F286" s="378">
        <f t="shared" si="218"/>
        <v>0</v>
      </c>
      <c r="G286" s="378">
        <f t="shared" si="218"/>
        <v>0</v>
      </c>
      <c r="H286" s="379">
        <f t="shared" si="218"/>
        <v>0</v>
      </c>
      <c r="I286" s="378">
        <f t="shared" si="218"/>
        <v>0</v>
      </c>
      <c r="J286" s="378">
        <f t="shared" si="218"/>
        <v>0</v>
      </c>
      <c r="K286" s="378">
        <f t="shared" si="218"/>
        <v>0</v>
      </c>
      <c r="L286" s="378">
        <f t="shared" si="218"/>
        <v>0</v>
      </c>
      <c r="M286" s="379">
        <f t="shared" si="218"/>
        <v>0</v>
      </c>
      <c r="N286" s="378">
        <f t="shared" si="218"/>
        <v>0</v>
      </c>
      <c r="O286" s="378">
        <f t="shared" si="218"/>
        <v>0</v>
      </c>
      <c r="P286" s="378">
        <f t="shared" si="218"/>
        <v>0</v>
      </c>
      <c r="Q286" s="378">
        <f t="shared" si="218"/>
        <v>0</v>
      </c>
      <c r="R286" s="379">
        <f t="shared" si="218"/>
        <v>0</v>
      </c>
      <c r="S286" s="378">
        <f t="shared" si="218"/>
        <v>0</v>
      </c>
      <c r="T286" s="378">
        <f t="shared" si="218"/>
        <v>0</v>
      </c>
      <c r="U286" s="378">
        <f t="shared" si="218"/>
        <v>0</v>
      </c>
      <c r="V286" s="378">
        <f t="shared" si="218"/>
        <v>0</v>
      </c>
      <c r="W286" s="379">
        <f t="shared" si="218"/>
        <v>0</v>
      </c>
      <c r="X286" s="378">
        <f t="shared" si="218"/>
        <v>0</v>
      </c>
      <c r="Y286" s="378">
        <f t="shared" si="218"/>
        <v>0</v>
      </c>
      <c r="Z286" s="378">
        <f t="shared" si="218"/>
        <v>0</v>
      </c>
      <c r="AA286" s="378">
        <f t="shared" si="218"/>
        <v>0</v>
      </c>
      <c r="AB286" s="379">
        <f t="shared" si="218"/>
        <v>0</v>
      </c>
      <c r="AC286" s="378">
        <f t="shared" si="218"/>
        <v>0</v>
      </c>
      <c r="AD286" s="378">
        <f t="shared" si="218"/>
        <v>0</v>
      </c>
      <c r="AE286" s="378">
        <f t="shared" si="218"/>
        <v>0</v>
      </c>
      <c r="AF286" s="378">
        <f t="shared" si="218"/>
        <v>0</v>
      </c>
      <c r="AG286" s="379">
        <f t="shared" si="218"/>
        <v>0</v>
      </c>
      <c r="AH286" s="378">
        <f t="shared" si="218"/>
        <v>0</v>
      </c>
      <c r="AI286" s="378">
        <f t="shared" si="218"/>
        <v>0</v>
      </c>
      <c r="AJ286" s="378">
        <f t="shared" si="218"/>
        <v>0</v>
      </c>
      <c r="AK286" s="378">
        <f t="shared" si="218"/>
        <v>0</v>
      </c>
      <c r="AL286" s="379">
        <f t="shared" si="218"/>
        <v>0</v>
      </c>
      <c r="AM286" s="378">
        <f t="shared" si="218"/>
        <v>0</v>
      </c>
      <c r="AN286" s="378">
        <f t="shared" si="218"/>
        <v>0</v>
      </c>
      <c r="AO286" s="378">
        <f t="shared" si="218"/>
        <v>0</v>
      </c>
      <c r="AP286" s="378">
        <f t="shared" si="218"/>
        <v>0</v>
      </c>
      <c r="AQ286" s="379">
        <f t="shared" si="218"/>
        <v>0</v>
      </c>
      <c r="AR286" s="378">
        <f t="shared" ref="AR286" si="219">AQ286</f>
        <v>0</v>
      </c>
      <c r="AS286" s="378">
        <f t="shared" ref="AS286" si="220">AR286</f>
        <v>0</v>
      </c>
      <c r="AT286" s="378">
        <f t="shared" ref="AT286" si="221">AS286</f>
        <v>0</v>
      </c>
      <c r="AU286" s="378">
        <f t="shared" ref="AU286" si="222">AT286</f>
        <v>0</v>
      </c>
      <c r="AV286" s="379">
        <f t="shared" ref="AV286" si="223">AU286</f>
        <v>0</v>
      </c>
    </row>
    <row r="287" spans="2:48" ht="15.75" x14ac:dyDescent="0.25">
      <c r="B287" s="691" t="s">
        <v>395</v>
      </c>
      <c r="C287" s="692"/>
      <c r="D287" s="89" t="s">
        <v>69</v>
      </c>
      <c r="E287" s="89" t="s">
        <v>72</v>
      </c>
      <c r="F287" s="89" t="s">
        <v>73</v>
      </c>
      <c r="G287" s="89" t="s">
        <v>76</v>
      </c>
      <c r="H287" s="396" t="s">
        <v>77</v>
      </c>
      <c r="I287" s="89" t="s">
        <v>78</v>
      </c>
      <c r="J287" s="89" t="s">
        <v>89</v>
      </c>
      <c r="K287" s="89" t="s">
        <v>105</v>
      </c>
      <c r="L287" s="89" t="s">
        <v>109</v>
      </c>
      <c r="M287" s="396" t="s">
        <v>110</v>
      </c>
      <c r="N287" s="89" t="s">
        <v>111</v>
      </c>
      <c r="O287" s="89" t="s">
        <v>112</v>
      </c>
      <c r="P287" s="89" t="s">
        <v>113</v>
      </c>
      <c r="Q287" s="89" t="s">
        <v>114</v>
      </c>
      <c r="R287" s="396" t="s">
        <v>115</v>
      </c>
      <c r="S287" s="89" t="s">
        <v>492</v>
      </c>
      <c r="T287" s="89" t="s">
        <v>734</v>
      </c>
      <c r="U287" s="89" t="s">
        <v>753</v>
      </c>
      <c r="V287" s="89" t="s">
        <v>771</v>
      </c>
      <c r="W287" s="396" t="s">
        <v>773</v>
      </c>
      <c r="X287" s="91" t="s">
        <v>371</v>
      </c>
      <c r="Y287" s="91" t="s">
        <v>372</v>
      </c>
      <c r="Z287" s="91" t="s">
        <v>373</v>
      </c>
      <c r="AA287" s="91" t="s">
        <v>374</v>
      </c>
      <c r="AB287" s="400" t="s">
        <v>375</v>
      </c>
      <c r="AC287" s="91" t="s">
        <v>376</v>
      </c>
      <c r="AD287" s="91" t="s">
        <v>377</v>
      </c>
      <c r="AE287" s="91" t="s">
        <v>378</v>
      </c>
      <c r="AF287" s="91" t="s">
        <v>379</v>
      </c>
      <c r="AG287" s="400" t="s">
        <v>380</v>
      </c>
      <c r="AH287" s="91" t="s">
        <v>381</v>
      </c>
      <c r="AI287" s="91" t="s">
        <v>382</v>
      </c>
      <c r="AJ287" s="91" t="s">
        <v>383</v>
      </c>
      <c r="AK287" s="91" t="s">
        <v>384</v>
      </c>
      <c r="AL287" s="400" t="s">
        <v>385</v>
      </c>
      <c r="AM287" s="91" t="s">
        <v>386</v>
      </c>
      <c r="AN287" s="91" t="s">
        <v>387</v>
      </c>
      <c r="AO287" s="91" t="s">
        <v>388</v>
      </c>
      <c r="AP287" s="91" t="s">
        <v>389</v>
      </c>
      <c r="AQ287" s="400" t="s">
        <v>390</v>
      </c>
      <c r="AR287" s="91" t="s">
        <v>781</v>
      </c>
      <c r="AS287" s="91" t="s">
        <v>782</v>
      </c>
      <c r="AT287" s="91" t="s">
        <v>783</v>
      </c>
      <c r="AU287" s="91" t="s">
        <v>784</v>
      </c>
      <c r="AV287" s="400" t="s">
        <v>785</v>
      </c>
    </row>
    <row r="288" spans="2:48" outlineLevel="1" x14ac:dyDescent="0.25">
      <c r="B288" s="701" t="s">
        <v>11</v>
      </c>
      <c r="C288" s="702"/>
      <c r="D288" s="99">
        <v>32</v>
      </c>
      <c r="E288" s="92">
        <v>32</v>
      </c>
      <c r="F288" s="92">
        <v>32</v>
      </c>
      <c r="G288" s="92">
        <v>32</v>
      </c>
      <c r="H288" s="93">
        <f>G288</f>
        <v>32</v>
      </c>
      <c r="I288" s="92">
        <v>32</v>
      </c>
      <c r="J288" s="99">
        <v>32</v>
      </c>
      <c r="K288" s="92">
        <v>32</v>
      </c>
      <c r="L288" s="92">
        <v>32</v>
      </c>
      <c r="M288" s="93">
        <f>L288</f>
        <v>32</v>
      </c>
      <c r="N288" s="92">
        <v>32</v>
      </c>
      <c r="O288" s="92">
        <v>32</v>
      </c>
      <c r="P288" s="92">
        <v>32</v>
      </c>
      <c r="Q288" s="92">
        <v>32</v>
      </c>
      <c r="R288" s="93">
        <f>Q288</f>
        <v>32</v>
      </c>
      <c r="S288" s="99">
        <v>32</v>
      </c>
      <c r="T288" s="92">
        <v>32</v>
      </c>
      <c r="U288" s="92">
        <v>32</v>
      </c>
      <c r="V288" s="92">
        <v>32</v>
      </c>
      <c r="W288" s="93">
        <f>V288</f>
        <v>32</v>
      </c>
      <c r="X288" s="92">
        <f>V288</f>
        <v>32</v>
      </c>
      <c r="Y288" s="92">
        <f>X288</f>
        <v>32</v>
      </c>
      <c r="Z288" s="92">
        <f>Y288</f>
        <v>32</v>
      </c>
      <c r="AA288" s="92">
        <f>Z288</f>
        <v>32</v>
      </c>
      <c r="AB288" s="93">
        <f>AA288</f>
        <v>32</v>
      </c>
      <c r="AC288" s="92">
        <f>AA288</f>
        <v>32</v>
      </c>
      <c r="AD288" s="92">
        <f>AC288</f>
        <v>32</v>
      </c>
      <c r="AE288" s="92">
        <f>AD288</f>
        <v>32</v>
      </c>
      <c r="AF288" s="92">
        <f>AE288</f>
        <v>32</v>
      </c>
      <c r="AG288" s="93">
        <f>AF288</f>
        <v>32</v>
      </c>
      <c r="AH288" s="92">
        <f>AF288</f>
        <v>32</v>
      </c>
      <c r="AI288" s="92">
        <f>AH288</f>
        <v>32</v>
      </c>
      <c r="AJ288" s="92">
        <f>AI288</f>
        <v>32</v>
      </c>
      <c r="AK288" s="92">
        <f>AJ288</f>
        <v>32</v>
      </c>
      <c r="AL288" s="93">
        <f>AK288</f>
        <v>32</v>
      </c>
      <c r="AM288" s="92">
        <f>AK288</f>
        <v>32</v>
      </c>
      <c r="AN288" s="92">
        <f>AM288</f>
        <v>32</v>
      </c>
      <c r="AO288" s="92">
        <f>AN288</f>
        <v>32</v>
      </c>
      <c r="AP288" s="92">
        <f>AO288</f>
        <v>32</v>
      </c>
      <c r="AQ288" s="93">
        <f>AP288</f>
        <v>32</v>
      </c>
      <c r="AR288" s="92">
        <f>AP288</f>
        <v>32</v>
      </c>
      <c r="AS288" s="92">
        <f>AR288</f>
        <v>32</v>
      </c>
      <c r="AT288" s="92">
        <f>AS288</f>
        <v>32</v>
      </c>
      <c r="AU288" s="92">
        <f>AT288</f>
        <v>32</v>
      </c>
      <c r="AV288" s="93">
        <f>AU288</f>
        <v>32</v>
      </c>
    </row>
    <row r="289" spans="2:48" outlineLevel="1" x14ac:dyDescent="0.25">
      <c r="B289" s="282" t="s">
        <v>218</v>
      </c>
      <c r="C289" s="283"/>
      <c r="D289" s="99">
        <v>2814</v>
      </c>
      <c r="E289" s="92">
        <v>2839</v>
      </c>
      <c r="F289" s="92">
        <v>2869</v>
      </c>
      <c r="G289" s="92">
        <v>2892</v>
      </c>
      <c r="H289" s="93">
        <f>G289</f>
        <v>2892</v>
      </c>
      <c r="I289" s="92">
        <v>2918</v>
      </c>
      <c r="J289" s="99">
        <v>2946</v>
      </c>
      <c r="K289" s="92">
        <v>2976</v>
      </c>
      <c r="L289" s="92">
        <v>3005</v>
      </c>
      <c r="M289" s="93">
        <f>L289</f>
        <v>3005</v>
      </c>
      <c r="N289" s="92">
        <v>3030</v>
      </c>
      <c r="O289" s="92">
        <v>3055</v>
      </c>
      <c r="P289" s="92">
        <v>3085</v>
      </c>
      <c r="Q289" s="92">
        <v>3117</v>
      </c>
      <c r="R289" s="93">
        <f>Q289</f>
        <v>3117</v>
      </c>
      <c r="S289" s="99">
        <v>3154</v>
      </c>
      <c r="T289" s="92">
        <v>3185</v>
      </c>
      <c r="U289" s="92">
        <v>3209</v>
      </c>
      <c r="V289" s="92">
        <v>3231</v>
      </c>
      <c r="W289" s="93">
        <f>V289</f>
        <v>3231</v>
      </c>
      <c r="X289" s="92">
        <f>+X323+V289</f>
        <v>3273.8577567509992</v>
      </c>
      <c r="Y289" s="92">
        <f>+Y323+X289</f>
        <v>3312.5180255166829</v>
      </c>
      <c r="Z289" s="92">
        <f>+Z323+Y289</f>
        <v>3350.0558540456323</v>
      </c>
      <c r="AA289" s="92">
        <f>+AA323+Z289</f>
        <v>3389.4205200632136</v>
      </c>
      <c r="AB289" s="93">
        <f>AA289</f>
        <v>3389.4205200632136</v>
      </c>
      <c r="AC289" s="92">
        <f>+AC323+AA289</f>
        <v>3429.495918912633</v>
      </c>
      <c r="AD289" s="92">
        <f>+AD323+AC289</f>
        <v>3470.1715415305212</v>
      </c>
      <c r="AE289" s="92">
        <f>+AE323+AD289</f>
        <v>3510.0107016423967</v>
      </c>
      <c r="AF289" s="92">
        <f>+AF323+AE289</f>
        <v>3552.556291521214</v>
      </c>
      <c r="AG289" s="93">
        <f>AF289</f>
        <v>3552.556291521214</v>
      </c>
      <c r="AH289" s="92">
        <f>+AH323+AF289</f>
        <v>3593.5021631441937</v>
      </c>
      <c r="AI289" s="92">
        <f>+AI323+AH289</f>
        <v>3636.2542765768922</v>
      </c>
      <c r="AJ289" s="92">
        <f>+AJ323+AI289</f>
        <v>3678.1317095165809</v>
      </c>
      <c r="AK289" s="92">
        <f>+AK323+AJ289</f>
        <v>3722.598470218285</v>
      </c>
      <c r="AL289" s="93">
        <f>AK289</f>
        <v>3722.598470218285</v>
      </c>
      <c r="AM289" s="92">
        <f>+AM323+AK289</f>
        <v>3765.0935581748681</v>
      </c>
      <c r="AN289" s="92">
        <f>+AN323+AM289</f>
        <v>3809.6541748044292</v>
      </c>
      <c r="AO289" s="92">
        <f>+AO323+AN289</f>
        <v>3853.2291322501496</v>
      </c>
      <c r="AP289" s="92">
        <f>+AP323+AO289</f>
        <v>3899.374184989405</v>
      </c>
      <c r="AQ289" s="93">
        <f>AP289</f>
        <v>3899.374184989405</v>
      </c>
      <c r="AR289" s="92">
        <f>+AR323+AP289</f>
        <v>3943.3657525408189</v>
      </c>
      <c r="AS289" s="92">
        <f>+AS323+AR289</f>
        <v>3989.4789989200463</v>
      </c>
      <c r="AT289" s="92">
        <f>+AT323+AS289</f>
        <v>4034.5092254542096</v>
      </c>
      <c r="AU289" s="92">
        <f>+AU323+AT289</f>
        <v>4082.1055749605862</v>
      </c>
      <c r="AV289" s="93">
        <f>AU289</f>
        <v>4082.1055749605862</v>
      </c>
    </row>
    <row r="290" spans="2:48" outlineLevel="1" x14ac:dyDescent="0.25">
      <c r="B290" s="709" t="s">
        <v>49</v>
      </c>
      <c r="C290" s="710"/>
      <c r="D290" s="99">
        <v>17434</v>
      </c>
      <c r="E290" s="92">
        <v>18048</v>
      </c>
      <c r="F290" s="92">
        <v>18481</v>
      </c>
      <c r="G290" s="92">
        <v>18371</v>
      </c>
      <c r="H290" s="93">
        <f>G290</f>
        <v>18371</v>
      </c>
      <c r="I290" s="92">
        <v>18862</v>
      </c>
      <c r="J290" s="99">
        <v>19410</v>
      </c>
      <c r="K290" s="92">
        <v>19830</v>
      </c>
      <c r="L290" s="92">
        <v>20833</v>
      </c>
      <c r="M290" s="93">
        <f>L290</f>
        <v>20833</v>
      </c>
      <c r="N290" s="92">
        <v>21156</v>
      </c>
      <c r="O290" s="92">
        <v>21785</v>
      </c>
      <c r="P290" s="92">
        <v>23710</v>
      </c>
      <c r="Q290" s="92">
        <v>24823</v>
      </c>
      <c r="R290" s="93">
        <f>Q290</f>
        <v>24823</v>
      </c>
      <c r="S290" s="99">
        <v>25315</v>
      </c>
      <c r="T290" s="92">
        <v>26080</v>
      </c>
      <c r="U290" s="92">
        <v>26650</v>
      </c>
      <c r="V290" s="92">
        <v>24648</v>
      </c>
      <c r="W290" s="93">
        <f>V290</f>
        <v>24648</v>
      </c>
      <c r="X290" s="92">
        <f>V290+X320+X345</f>
        <v>25101.71438435456</v>
      </c>
      <c r="Y290" s="92">
        <f>X290+Y320+Y345</f>
        <v>25699.514780577607</v>
      </c>
      <c r="Z290" s="92">
        <f>Y290+Z320+Z345</f>
        <v>26179.302053923147</v>
      </c>
      <c r="AA290" s="92">
        <f>Z290+AA320+AA345</f>
        <v>27230.114818937545</v>
      </c>
      <c r="AB290" s="93">
        <f>AA290</f>
        <v>27230.114818937545</v>
      </c>
      <c r="AC290" s="92">
        <f>AA290+AC320+AC345</f>
        <v>27768.20290927629</v>
      </c>
      <c r="AD290" s="92">
        <f>AC290+AD320+AD345</f>
        <v>28436.908893552471</v>
      </c>
      <c r="AE290" s="92">
        <f>AD290+AE320+AE345</f>
        <v>28960.206155244163</v>
      </c>
      <c r="AF290" s="92">
        <f>AE290+AF320+AF345</f>
        <v>30195.783248910357</v>
      </c>
      <c r="AG290" s="93">
        <f>AF290</f>
        <v>30195.783248910357</v>
      </c>
      <c r="AH290" s="92">
        <f>AF290+AH320+AH345</f>
        <v>30735.725899455269</v>
      </c>
      <c r="AI290" s="92">
        <f>AH290+AI320+AI345</f>
        <v>31441.867138805865</v>
      </c>
      <c r="AJ290" s="92">
        <f>AI290+AJ320+AJ345</f>
        <v>31998.916942008018</v>
      </c>
      <c r="AK290" s="92">
        <f>AJ290+AK320+AK345</f>
        <v>33345.24141925398</v>
      </c>
      <c r="AL290" s="93">
        <f>AK290</f>
        <v>33345.24141925398</v>
      </c>
      <c r="AM290" s="92">
        <f>AK290+AM320+AM345</f>
        <v>33839.773688538757</v>
      </c>
      <c r="AN290" s="92">
        <f>AM290+AN320+AN345</f>
        <v>34504.338675967098</v>
      </c>
      <c r="AO290" s="92">
        <f>AN290+AO320+AO345</f>
        <v>35013.794541948999</v>
      </c>
      <c r="AP290" s="92">
        <f>AO290+AP320+AP345</f>
        <v>36343.526795220205</v>
      </c>
      <c r="AQ290" s="93">
        <f>AP290</f>
        <v>36343.526795220205</v>
      </c>
      <c r="AR290" s="92">
        <f>AP290+AR320+AR345</f>
        <v>36772.829592454436</v>
      </c>
      <c r="AS290" s="92">
        <f>AR290+AS320+AS345</f>
        <v>37372.555840720604</v>
      </c>
      <c r="AT290" s="92">
        <f>AS290+AT320+AT345</f>
        <v>37810.983107984925</v>
      </c>
      <c r="AU290" s="92">
        <f>AT290+AU320+AU345</f>
        <v>39094.266244433842</v>
      </c>
      <c r="AV290" s="93">
        <f>AU290</f>
        <v>39094.266244433842</v>
      </c>
    </row>
    <row r="291" spans="2:48" outlineLevel="1" x14ac:dyDescent="0.25">
      <c r="B291" s="246" t="s">
        <v>308</v>
      </c>
      <c r="C291" s="294"/>
      <c r="D291" s="99"/>
      <c r="E291" s="92"/>
      <c r="F291" s="92"/>
      <c r="G291" s="92"/>
      <c r="H291" s="93"/>
      <c r="I291" s="92"/>
      <c r="J291" s="99"/>
      <c r="K291" s="92"/>
      <c r="L291" s="92"/>
      <c r="M291" s="93"/>
      <c r="N291" s="92"/>
      <c r="O291" s="92"/>
      <c r="P291" s="92"/>
      <c r="Q291" s="71"/>
      <c r="R291" s="93"/>
      <c r="S291" s="41"/>
      <c r="T291" s="71"/>
      <c r="U291" s="71"/>
      <c r="V291" s="71"/>
      <c r="W291" s="43"/>
      <c r="X291" s="71"/>
      <c r="Y291" s="71"/>
      <c r="Z291" s="71"/>
      <c r="AA291" s="71"/>
      <c r="AB291" s="43"/>
      <c r="AC291" s="71"/>
      <c r="AD291" s="71"/>
      <c r="AE291" s="71"/>
      <c r="AF291" s="71"/>
      <c r="AG291" s="43"/>
      <c r="AH291" s="71"/>
      <c r="AI291" s="71"/>
      <c r="AJ291" s="71"/>
      <c r="AK291" s="71"/>
      <c r="AL291" s="43"/>
      <c r="AM291" s="71"/>
      <c r="AN291" s="71"/>
      <c r="AO291" s="71"/>
      <c r="AP291" s="71"/>
      <c r="AQ291" s="43"/>
      <c r="AR291" s="71"/>
      <c r="AS291" s="71"/>
      <c r="AT291" s="71"/>
      <c r="AU291" s="71"/>
      <c r="AV291" s="43"/>
    </row>
    <row r="292" spans="2:48" outlineLevel="1" x14ac:dyDescent="0.25">
      <c r="B292" s="247" t="s">
        <v>311</v>
      </c>
      <c r="C292" s="294"/>
      <c r="D292" s="99"/>
      <c r="E292" s="92"/>
      <c r="F292" s="92"/>
      <c r="G292" s="92"/>
      <c r="H292" s="93">
        <v>-514</v>
      </c>
      <c r="I292" s="92"/>
      <c r="J292" s="99"/>
      <c r="K292" s="92"/>
      <c r="L292" s="92"/>
      <c r="M292" s="93">
        <v>-685</v>
      </c>
      <c r="N292" s="92"/>
      <c r="O292" s="92"/>
      <c r="P292" s="92"/>
      <c r="Q292" s="99"/>
      <c r="R292" s="111">
        <v>-759</v>
      </c>
      <c r="S292" s="99">
        <v>-921</v>
      </c>
      <c r="T292" s="99">
        <f>-921-31</f>
        <v>-952</v>
      </c>
      <c r="U292" s="99">
        <f>-952+103</f>
        <v>-849</v>
      </c>
      <c r="V292" s="99">
        <v>-954</v>
      </c>
      <c r="W292" s="111">
        <f>+V292</f>
        <v>-954</v>
      </c>
      <c r="X292" s="99">
        <f>+W292-X350</f>
        <v>-954</v>
      </c>
      <c r="Y292" s="99">
        <f>+X292-Y350</f>
        <v>-954</v>
      </c>
      <c r="Z292" s="99">
        <f>+Y292-Z350</f>
        <v>-954</v>
      </c>
      <c r="AA292" s="99">
        <f>+Z292-AA350</f>
        <v>-954</v>
      </c>
      <c r="AB292" s="111">
        <f>+AA292</f>
        <v>-954</v>
      </c>
      <c r="AC292" s="99">
        <f>+AB292-AC350</f>
        <v>-954</v>
      </c>
      <c r="AD292" s="99">
        <f>+AC292-AD350</f>
        <v>-954</v>
      </c>
      <c r="AE292" s="99">
        <f>+AD292-AE350</f>
        <v>-954</v>
      </c>
      <c r="AF292" s="99">
        <f>+AE292-AF350</f>
        <v>-954</v>
      </c>
      <c r="AG292" s="111">
        <f>+AF292</f>
        <v>-954</v>
      </c>
      <c r="AH292" s="99">
        <f>+AG292-AH350</f>
        <v>-954</v>
      </c>
      <c r="AI292" s="99">
        <f>+AH292-AI350</f>
        <v>-954</v>
      </c>
      <c r="AJ292" s="99">
        <f>+AI292-AJ350</f>
        <v>-954</v>
      </c>
      <c r="AK292" s="99">
        <f>+AJ292-AK350</f>
        <v>-954</v>
      </c>
      <c r="AL292" s="111">
        <f>+AK292</f>
        <v>-954</v>
      </c>
      <c r="AM292" s="99">
        <f>+AL292-AM350</f>
        <v>-954</v>
      </c>
      <c r="AN292" s="99">
        <f>+AM292-AN350</f>
        <v>-954</v>
      </c>
      <c r="AO292" s="99">
        <f>+AN292-AO350</f>
        <v>-954</v>
      </c>
      <c r="AP292" s="99">
        <f>+AO292-AP350</f>
        <v>-954</v>
      </c>
      <c r="AQ292" s="111">
        <f>+AP292</f>
        <v>-954</v>
      </c>
      <c r="AR292" s="99">
        <f>+AQ292-AR350</f>
        <v>-954</v>
      </c>
      <c r="AS292" s="99">
        <f>+AR292-AS350</f>
        <v>-954</v>
      </c>
      <c r="AT292" s="99">
        <f>+AS292-AT350</f>
        <v>-954</v>
      </c>
      <c r="AU292" s="99">
        <f>+AT292-AU350</f>
        <v>-954</v>
      </c>
      <c r="AV292" s="111">
        <f>+AU292</f>
        <v>-954</v>
      </c>
    </row>
    <row r="293" spans="2:48" outlineLevel="1" x14ac:dyDescent="0.25">
      <c r="B293" s="247" t="s">
        <v>312</v>
      </c>
      <c r="C293" s="294"/>
      <c r="D293" s="99"/>
      <c r="E293" s="92"/>
      <c r="F293" s="92"/>
      <c r="G293" s="92"/>
      <c r="H293" s="93">
        <v>345</v>
      </c>
      <c r="I293" s="92"/>
      <c r="J293" s="99"/>
      <c r="K293" s="92"/>
      <c r="L293" s="92"/>
      <c r="M293" s="93">
        <f>H293+(M197+M198)</f>
        <v>270</v>
      </c>
      <c r="N293" s="92"/>
      <c r="O293" s="92"/>
      <c r="P293" s="92"/>
      <c r="Q293" s="71"/>
      <c r="R293" s="111">
        <v>181</v>
      </c>
      <c r="S293" s="99">
        <v>158</v>
      </c>
      <c r="T293" s="92">
        <f>158-23</f>
        <v>135</v>
      </c>
      <c r="U293" s="92">
        <f>135-23</f>
        <v>112</v>
      </c>
      <c r="V293" s="92">
        <v>89</v>
      </c>
      <c r="W293" s="93">
        <f>+V293</f>
        <v>89</v>
      </c>
      <c r="X293" s="92">
        <f>+W293+X199</f>
        <v>66</v>
      </c>
      <c r="Y293" s="92">
        <f>+X293+Y199</f>
        <v>43</v>
      </c>
      <c r="Z293" s="92">
        <f>+Y293+Z199</f>
        <v>20</v>
      </c>
      <c r="AA293" s="92">
        <f>+Z293+AA199</f>
        <v>-3</v>
      </c>
      <c r="AB293" s="93">
        <f>+AA293</f>
        <v>-3</v>
      </c>
      <c r="AC293" s="92">
        <f>+AB293+AC199</f>
        <v>-26</v>
      </c>
      <c r="AD293" s="92">
        <f>+AC293+AD199</f>
        <v>-49</v>
      </c>
      <c r="AE293" s="92">
        <f>+AD293+AE199</f>
        <v>-72</v>
      </c>
      <c r="AF293" s="92">
        <f>+AE293+AF199</f>
        <v>-95</v>
      </c>
      <c r="AG293" s="93">
        <f>+AF293</f>
        <v>-95</v>
      </c>
      <c r="AH293" s="92">
        <f>+AG293+AH199</f>
        <v>-118</v>
      </c>
      <c r="AI293" s="92">
        <f>+AH293+AI199</f>
        <v>-141</v>
      </c>
      <c r="AJ293" s="92">
        <f>+AI293+AJ199</f>
        <v>-164</v>
      </c>
      <c r="AK293" s="92">
        <f>+AJ293+AK199</f>
        <v>-187</v>
      </c>
      <c r="AL293" s="93">
        <f>+AK293</f>
        <v>-187</v>
      </c>
      <c r="AM293" s="92">
        <f>+AL293+AM199</f>
        <v>-210</v>
      </c>
      <c r="AN293" s="92">
        <f>+AM293+AN199</f>
        <v>-233</v>
      </c>
      <c r="AO293" s="92">
        <f>+AN293+AO199</f>
        <v>-256</v>
      </c>
      <c r="AP293" s="92">
        <f>+AO293+AP199</f>
        <v>-279</v>
      </c>
      <c r="AQ293" s="93">
        <f>+AP293</f>
        <v>-279</v>
      </c>
      <c r="AR293" s="92">
        <f>+AQ293+AR199</f>
        <v>-302</v>
      </c>
      <c r="AS293" s="92">
        <f>+AR293+AS199</f>
        <v>-325</v>
      </c>
      <c r="AT293" s="92">
        <f>+AS293+AT199</f>
        <v>-348</v>
      </c>
      <c r="AU293" s="92">
        <f>+AT293+AU199</f>
        <v>-371</v>
      </c>
      <c r="AV293" s="93">
        <f>+AU293</f>
        <v>-371</v>
      </c>
    </row>
    <row r="294" spans="2:48" ht="17.25" outlineLevel="1" x14ac:dyDescent="0.4">
      <c r="B294" s="247" t="s">
        <v>310</v>
      </c>
      <c r="C294" s="294"/>
      <c r="D294" s="99"/>
      <c r="E294" s="92"/>
      <c r="F294" s="92"/>
      <c r="G294" s="92"/>
      <c r="H294" s="98">
        <v>0</v>
      </c>
      <c r="I294" s="92"/>
      <c r="J294" s="99"/>
      <c r="K294" s="92"/>
      <c r="L294" s="92"/>
      <c r="M294" s="98">
        <v>0</v>
      </c>
      <c r="N294" s="92"/>
      <c r="O294" s="92"/>
      <c r="P294" s="92"/>
      <c r="Q294" s="305"/>
      <c r="R294" s="152">
        <f>+M294</f>
        <v>0</v>
      </c>
      <c r="S294" s="100">
        <v>0</v>
      </c>
      <c r="T294" s="97">
        <v>0</v>
      </c>
      <c r="U294" s="97">
        <v>0</v>
      </c>
      <c r="V294" s="97">
        <v>0</v>
      </c>
      <c r="W294" s="98">
        <f>+R294</f>
        <v>0</v>
      </c>
      <c r="X294" s="97">
        <v>0</v>
      </c>
      <c r="Y294" s="97">
        <v>0</v>
      </c>
      <c r="Z294" s="97">
        <v>0</v>
      </c>
      <c r="AA294" s="97">
        <v>0</v>
      </c>
      <c r="AB294" s="98">
        <f>+W294</f>
        <v>0</v>
      </c>
      <c r="AC294" s="97">
        <v>0</v>
      </c>
      <c r="AD294" s="97">
        <v>0</v>
      </c>
      <c r="AE294" s="97">
        <v>0</v>
      </c>
      <c r="AF294" s="97">
        <v>0</v>
      </c>
      <c r="AG294" s="98">
        <f>+AB294</f>
        <v>0</v>
      </c>
      <c r="AH294" s="97">
        <v>0</v>
      </c>
      <c r="AI294" s="97">
        <v>0</v>
      </c>
      <c r="AJ294" s="97">
        <v>0</v>
      </c>
      <c r="AK294" s="97">
        <v>0</v>
      </c>
      <c r="AL294" s="98">
        <f>+AG294</f>
        <v>0</v>
      </c>
      <c r="AM294" s="97">
        <v>0</v>
      </c>
      <c r="AN294" s="97">
        <v>0</v>
      </c>
      <c r="AO294" s="97">
        <v>0</v>
      </c>
      <c r="AP294" s="97">
        <v>0</v>
      </c>
      <c r="AQ294" s="98">
        <f>+AL294</f>
        <v>0</v>
      </c>
      <c r="AR294" s="97">
        <v>0</v>
      </c>
      <c r="AS294" s="97">
        <v>0</v>
      </c>
      <c r="AT294" s="97">
        <v>0</v>
      </c>
      <c r="AU294" s="97">
        <v>0</v>
      </c>
      <c r="AV294" s="98">
        <f>+AQ294</f>
        <v>0</v>
      </c>
    </row>
    <row r="295" spans="2:48" s="55" customFormat="1" outlineLevel="1" x14ac:dyDescent="0.25">
      <c r="B295" s="707" t="s">
        <v>309</v>
      </c>
      <c r="C295" s="708"/>
      <c r="D295" s="106">
        <v>10</v>
      </c>
      <c r="E295" s="106">
        <v>-41</v>
      </c>
      <c r="F295" s="106">
        <v>-159</v>
      </c>
      <c r="G295" s="106">
        <v>-169</v>
      </c>
      <c r="H295" s="107">
        <f>+SUM(H292:H294)</f>
        <v>-169</v>
      </c>
      <c r="I295" s="106">
        <v>-176</v>
      </c>
      <c r="J295" s="108">
        <v>-425</v>
      </c>
      <c r="K295" s="106">
        <v>-334</v>
      </c>
      <c r="L295" s="106">
        <v>-415</v>
      </c>
      <c r="M295" s="107">
        <f>+SUM(M292:M294)</f>
        <v>-415</v>
      </c>
      <c r="N295" s="106">
        <v>-325</v>
      </c>
      <c r="O295" s="106">
        <v>-434</v>
      </c>
      <c r="P295" s="106">
        <v>-357</v>
      </c>
      <c r="Q295" s="106">
        <v>-578</v>
      </c>
      <c r="R295" s="107">
        <f t="shared" ref="R295:AQ295" si="224">+SUM(R292:R294)</f>
        <v>-578</v>
      </c>
      <c r="S295" s="108">
        <f t="shared" si="224"/>
        <v>-763</v>
      </c>
      <c r="T295" s="106">
        <f t="shared" si="224"/>
        <v>-817</v>
      </c>
      <c r="U295" s="106">
        <f t="shared" si="224"/>
        <v>-737</v>
      </c>
      <c r="V295" s="106">
        <f>+SUM(V292:V294)</f>
        <v>-865</v>
      </c>
      <c r="W295" s="107">
        <f>+SUM(W292:W294)</f>
        <v>-865</v>
      </c>
      <c r="X295" s="106">
        <f t="shared" si="224"/>
        <v>-888</v>
      </c>
      <c r="Y295" s="106">
        <f t="shared" si="224"/>
        <v>-911</v>
      </c>
      <c r="Z295" s="106">
        <f t="shared" si="224"/>
        <v>-934</v>
      </c>
      <c r="AA295" s="106">
        <f t="shared" si="224"/>
        <v>-957</v>
      </c>
      <c r="AB295" s="107">
        <f t="shared" si="224"/>
        <v>-957</v>
      </c>
      <c r="AC295" s="106">
        <f t="shared" si="224"/>
        <v>-980</v>
      </c>
      <c r="AD295" s="106">
        <f t="shared" si="224"/>
        <v>-1003</v>
      </c>
      <c r="AE295" s="106">
        <f t="shared" si="224"/>
        <v>-1026</v>
      </c>
      <c r="AF295" s="106">
        <f t="shared" si="224"/>
        <v>-1049</v>
      </c>
      <c r="AG295" s="107">
        <f t="shared" si="224"/>
        <v>-1049</v>
      </c>
      <c r="AH295" s="106">
        <f t="shared" si="224"/>
        <v>-1072</v>
      </c>
      <c r="AI295" s="106">
        <f t="shared" si="224"/>
        <v>-1095</v>
      </c>
      <c r="AJ295" s="106">
        <f t="shared" si="224"/>
        <v>-1118</v>
      </c>
      <c r="AK295" s="106">
        <f t="shared" si="224"/>
        <v>-1141</v>
      </c>
      <c r="AL295" s="107">
        <f t="shared" si="224"/>
        <v>-1141</v>
      </c>
      <c r="AM295" s="106">
        <f t="shared" si="224"/>
        <v>-1164</v>
      </c>
      <c r="AN295" s="106">
        <f t="shared" si="224"/>
        <v>-1187</v>
      </c>
      <c r="AO295" s="106">
        <f t="shared" si="224"/>
        <v>-1210</v>
      </c>
      <c r="AP295" s="106">
        <f t="shared" si="224"/>
        <v>-1233</v>
      </c>
      <c r="AQ295" s="107">
        <f t="shared" si="224"/>
        <v>-1233</v>
      </c>
      <c r="AR295" s="106">
        <f t="shared" ref="AR295:AV295" si="225">+SUM(AR292:AR294)</f>
        <v>-1256</v>
      </c>
      <c r="AS295" s="106">
        <f t="shared" si="225"/>
        <v>-1279</v>
      </c>
      <c r="AT295" s="106">
        <f t="shared" si="225"/>
        <v>-1302</v>
      </c>
      <c r="AU295" s="106">
        <f t="shared" si="225"/>
        <v>-1325</v>
      </c>
      <c r="AV295" s="107">
        <f t="shared" si="225"/>
        <v>-1325</v>
      </c>
    </row>
    <row r="296" spans="2:48" ht="17.25" outlineLevel="1" x14ac:dyDescent="0.4">
      <c r="B296" s="150" t="s">
        <v>219</v>
      </c>
      <c r="C296" s="151"/>
      <c r="D296" s="97">
        <v>-5007</v>
      </c>
      <c r="E296" s="97">
        <v>-5888</v>
      </c>
      <c r="F296" s="97">
        <v>-6896</v>
      </c>
      <c r="G296" s="97">
        <v>-7342</v>
      </c>
      <c r="H296" s="98">
        <f>G296</f>
        <v>-7342</v>
      </c>
      <c r="I296" s="97">
        <v>-7494</v>
      </c>
      <c r="J296" s="100">
        <v>-7432</v>
      </c>
      <c r="K296" s="97">
        <v>-7320</v>
      </c>
      <c r="L296" s="97">
        <v>-7382</v>
      </c>
      <c r="M296" s="98">
        <f>L296</f>
        <v>-7382</v>
      </c>
      <c r="N296" s="97">
        <v>-7275</v>
      </c>
      <c r="O296" s="97">
        <v>-7383</v>
      </c>
      <c r="P296" s="97">
        <v>-7576</v>
      </c>
      <c r="Q296" s="97">
        <v>-7978</v>
      </c>
      <c r="R296" s="98">
        <f>Q296</f>
        <v>-7978</v>
      </c>
      <c r="S296" s="100">
        <v>-8565</v>
      </c>
      <c r="T296" s="100">
        <v>-9186</v>
      </c>
      <c r="U296" s="100">
        <v>-9260</v>
      </c>
      <c r="V296" s="100">
        <v>-9289</v>
      </c>
      <c r="W296" s="152">
        <f>V296</f>
        <v>-9289</v>
      </c>
      <c r="X296" s="100">
        <f>+V296-X236</f>
        <v>-9389</v>
      </c>
      <c r="Y296" s="100">
        <f>+X296-Y236</f>
        <v>-9489</v>
      </c>
      <c r="Z296" s="100">
        <f>+Y296-Z236</f>
        <v>-9589</v>
      </c>
      <c r="AA296" s="100">
        <f>+Z296-AA236</f>
        <v>-9689</v>
      </c>
      <c r="AB296" s="152">
        <f>AA296</f>
        <v>-9689</v>
      </c>
      <c r="AC296" s="100">
        <f>+AA296-AC236</f>
        <v>-9789</v>
      </c>
      <c r="AD296" s="100">
        <f>+AC296-AD236</f>
        <v>-9889</v>
      </c>
      <c r="AE296" s="100">
        <f>+AD296-AE236</f>
        <v>-9989</v>
      </c>
      <c r="AF296" s="100">
        <f>+AE296-AF236</f>
        <v>-10089</v>
      </c>
      <c r="AG296" s="152">
        <f>AF296</f>
        <v>-10089</v>
      </c>
      <c r="AH296" s="100">
        <f>+AF296-AH236</f>
        <v>-10189</v>
      </c>
      <c r="AI296" s="100">
        <f>+AH296-AI236</f>
        <v>-10289</v>
      </c>
      <c r="AJ296" s="100">
        <f>+AI296-AJ236</f>
        <v>-10389</v>
      </c>
      <c r="AK296" s="100">
        <f>+AJ296-AK236</f>
        <v>-10489</v>
      </c>
      <c r="AL296" s="152">
        <f>AK296</f>
        <v>-10489</v>
      </c>
      <c r="AM296" s="100">
        <f>+AK296-AM236</f>
        <v>-10589</v>
      </c>
      <c r="AN296" s="100">
        <f>+AM296-AN236</f>
        <v>-10689</v>
      </c>
      <c r="AO296" s="100">
        <f>+AN296-AO236</f>
        <v>-10789</v>
      </c>
      <c r="AP296" s="100">
        <f>+AO296-AP236</f>
        <v>-10889</v>
      </c>
      <c r="AQ296" s="152">
        <f>AP296</f>
        <v>-10889</v>
      </c>
      <c r="AR296" s="100">
        <f>+AP296-AR236</f>
        <v>-10989</v>
      </c>
      <c r="AS296" s="100">
        <f>+AR296-AS236</f>
        <v>-11089</v>
      </c>
      <c r="AT296" s="100">
        <f>+AS296-AT236</f>
        <v>-11189</v>
      </c>
      <c r="AU296" s="100">
        <f>+AT296-AU236</f>
        <v>-11289</v>
      </c>
      <c r="AV296" s="152">
        <f>AU296</f>
        <v>-11289</v>
      </c>
    </row>
    <row r="297" spans="2:48" outlineLevel="1" x14ac:dyDescent="0.25">
      <c r="B297" s="705" t="s">
        <v>50</v>
      </c>
      <c r="C297" s="706"/>
      <c r="D297" s="106">
        <f>SUM(D288:D296)</f>
        <v>15283</v>
      </c>
      <c r="E297" s="106">
        <f>SUM(E288:E296)</f>
        <v>14990</v>
      </c>
      <c r="F297" s="106">
        <f>SUM(F288:F296)</f>
        <v>14327</v>
      </c>
      <c r="G297" s="106">
        <f>SUM(G288:G296)</f>
        <v>13784</v>
      </c>
      <c r="H297" s="107">
        <f>SUM(H288:H290)+H296+H295</f>
        <v>13784</v>
      </c>
      <c r="I297" s="106">
        <f>SUM(I288:I296)</f>
        <v>14142</v>
      </c>
      <c r="J297" s="108">
        <f>SUM(J288:J296)</f>
        <v>14531</v>
      </c>
      <c r="K297" s="106">
        <f>SUM(K288:K296)</f>
        <v>15184</v>
      </c>
      <c r="L297" s="106">
        <f>SUM(L288:L296)</f>
        <v>16073</v>
      </c>
      <c r="M297" s="107">
        <f>SUM(M288:M290)+M296+M295</f>
        <v>16073</v>
      </c>
      <c r="N297" s="106">
        <f>SUM(N288:N296)</f>
        <v>16618</v>
      </c>
      <c r="O297" s="106">
        <f>SUM(O288:O296)</f>
        <v>17055</v>
      </c>
      <c r="P297" s="106">
        <f>SUM(P288:P296)</f>
        <v>18894</v>
      </c>
      <c r="Q297" s="106">
        <f>SUM(Q288:Q296)</f>
        <v>19416</v>
      </c>
      <c r="R297" s="107">
        <f t="shared" ref="R297:AQ297" si="226">SUM(R288:R290)+R296+R295</f>
        <v>19416</v>
      </c>
      <c r="S297" s="106">
        <f t="shared" si="226"/>
        <v>19173</v>
      </c>
      <c r="T297" s="106">
        <f t="shared" si="226"/>
        <v>19294</v>
      </c>
      <c r="U297" s="106">
        <f t="shared" si="226"/>
        <v>19894</v>
      </c>
      <c r="V297" s="106">
        <f>SUM(V288:V290)+V296+V295</f>
        <v>17757</v>
      </c>
      <c r="W297" s="107">
        <f t="shared" si="226"/>
        <v>17757</v>
      </c>
      <c r="X297" s="106">
        <f t="shared" si="226"/>
        <v>18130.57214110556</v>
      </c>
      <c r="Y297" s="106">
        <f t="shared" si="226"/>
        <v>18644.032806094288</v>
      </c>
      <c r="Z297" s="106">
        <f t="shared" si="226"/>
        <v>19038.357907968781</v>
      </c>
      <c r="AA297" s="106">
        <f t="shared" si="226"/>
        <v>20005.535339000759</v>
      </c>
      <c r="AB297" s="107">
        <f t="shared" si="226"/>
        <v>20005.535339000759</v>
      </c>
      <c r="AC297" s="106">
        <f t="shared" si="226"/>
        <v>20460.698828188921</v>
      </c>
      <c r="AD297" s="106">
        <f t="shared" si="226"/>
        <v>21047.080435082993</v>
      </c>
      <c r="AE297" s="106">
        <f t="shared" si="226"/>
        <v>21487.21685688656</v>
      </c>
      <c r="AF297" s="106">
        <f t="shared" si="226"/>
        <v>22642.339540431567</v>
      </c>
      <c r="AG297" s="107">
        <f t="shared" si="226"/>
        <v>22642.339540431567</v>
      </c>
      <c r="AH297" s="106">
        <f t="shared" si="226"/>
        <v>23100.228062599461</v>
      </c>
      <c r="AI297" s="106">
        <f t="shared" si="226"/>
        <v>23726.12141538276</v>
      </c>
      <c r="AJ297" s="106">
        <f t="shared" si="226"/>
        <v>24202.048651524601</v>
      </c>
      <c r="AK297" s="106">
        <f t="shared" si="226"/>
        <v>25469.839889472263</v>
      </c>
      <c r="AL297" s="107">
        <f t="shared" si="226"/>
        <v>25469.839889472263</v>
      </c>
      <c r="AM297" s="106">
        <f t="shared" si="226"/>
        <v>25883.867246713628</v>
      </c>
      <c r="AN297" s="106">
        <f t="shared" si="226"/>
        <v>26469.992850771523</v>
      </c>
      <c r="AO297" s="106">
        <f t="shared" si="226"/>
        <v>26900.023674199147</v>
      </c>
      <c r="AP297" s="106">
        <f t="shared" si="226"/>
        <v>28152.900980209612</v>
      </c>
      <c r="AQ297" s="107">
        <f t="shared" si="226"/>
        <v>28152.900980209612</v>
      </c>
      <c r="AR297" s="106">
        <f t="shared" ref="AR297:AV297" si="227">SUM(AR288:AR290)+AR296+AR295</f>
        <v>28503.195344995256</v>
      </c>
      <c r="AS297" s="106">
        <f t="shared" si="227"/>
        <v>29026.034839640648</v>
      </c>
      <c r="AT297" s="106">
        <f t="shared" si="227"/>
        <v>29386.492333439135</v>
      </c>
      <c r="AU297" s="106">
        <f t="shared" si="227"/>
        <v>30594.37181939443</v>
      </c>
      <c r="AV297" s="107">
        <f t="shared" si="227"/>
        <v>30594.37181939443</v>
      </c>
    </row>
    <row r="298" spans="2:48" outlineLevel="1" x14ac:dyDescent="0.25">
      <c r="B298" s="759" t="s">
        <v>12</v>
      </c>
      <c r="C298" s="760"/>
      <c r="D298" s="153">
        <f t="shared" ref="D298:AQ298" si="228">D297+D284</f>
        <v>37245</v>
      </c>
      <c r="E298" s="153">
        <f t="shared" si="228"/>
        <v>38371</v>
      </c>
      <c r="F298" s="153">
        <f t="shared" si="228"/>
        <v>37819</v>
      </c>
      <c r="G298" s="153">
        <f t="shared" si="228"/>
        <v>45959</v>
      </c>
      <c r="H298" s="154">
        <f t="shared" si="228"/>
        <v>45959</v>
      </c>
      <c r="I298" s="153">
        <f t="shared" si="228"/>
        <v>45575</v>
      </c>
      <c r="J298" s="155">
        <f t="shared" si="228"/>
        <v>46348</v>
      </c>
      <c r="K298" s="153">
        <f t="shared" si="228"/>
        <v>46781</v>
      </c>
      <c r="L298" s="153">
        <f t="shared" si="228"/>
        <v>48552</v>
      </c>
      <c r="M298" s="154">
        <f t="shared" si="228"/>
        <v>48552</v>
      </c>
      <c r="N298" s="153">
        <f t="shared" si="228"/>
        <v>49350</v>
      </c>
      <c r="O298" s="153">
        <f t="shared" si="228"/>
        <v>50281</v>
      </c>
      <c r="P298" s="153">
        <f t="shared" si="228"/>
        <v>51851</v>
      </c>
      <c r="Q298" s="153">
        <f t="shared" si="228"/>
        <v>52300</v>
      </c>
      <c r="R298" s="154">
        <f t="shared" si="228"/>
        <v>52300</v>
      </c>
      <c r="S298" s="153">
        <f t="shared" si="228"/>
        <v>51901</v>
      </c>
      <c r="T298" s="153">
        <f t="shared" si="228"/>
        <v>53289</v>
      </c>
      <c r="U298" s="153">
        <f t="shared" si="228"/>
        <v>54464</v>
      </c>
      <c r="V298" s="153">
        <f t="shared" si="228"/>
        <v>54403</v>
      </c>
      <c r="W298" s="154">
        <f>W297+W284</f>
        <v>54403</v>
      </c>
      <c r="X298" s="153">
        <f t="shared" si="228"/>
        <v>55170.424918833654</v>
      </c>
      <c r="Y298" s="153">
        <f t="shared" si="228"/>
        <v>57126.692803647122</v>
      </c>
      <c r="Z298" s="153">
        <f t="shared" si="228"/>
        <v>57869.538123555249</v>
      </c>
      <c r="AA298" s="153">
        <f t="shared" si="228"/>
        <v>59633.047274328535</v>
      </c>
      <c r="AB298" s="154">
        <f t="shared" si="228"/>
        <v>59633.047274328535</v>
      </c>
      <c r="AC298" s="153">
        <f t="shared" si="228"/>
        <v>60986.855284205601</v>
      </c>
      <c r="AD298" s="153">
        <f t="shared" si="228"/>
        <v>62592.838252196772</v>
      </c>
      <c r="AE298" s="153">
        <f t="shared" si="228"/>
        <v>63826.746232097619</v>
      </c>
      <c r="AF298" s="153">
        <f t="shared" si="228"/>
        <v>65930.620143075066</v>
      </c>
      <c r="AG298" s="154">
        <f t="shared" si="228"/>
        <v>65930.620143075066</v>
      </c>
      <c r="AH298" s="153">
        <f t="shared" si="228"/>
        <v>67012.534591449512</v>
      </c>
      <c r="AI298" s="153">
        <f t="shared" si="228"/>
        <v>68785.246053992698</v>
      </c>
      <c r="AJ298" s="153">
        <f t="shared" si="228"/>
        <v>69845.780051650421</v>
      </c>
      <c r="AK298" s="153">
        <f t="shared" si="228"/>
        <v>72180.152923697227</v>
      </c>
      <c r="AL298" s="154">
        <f t="shared" si="228"/>
        <v>72180.152923697227</v>
      </c>
      <c r="AM298" s="153">
        <f t="shared" si="228"/>
        <v>73052.173249036336</v>
      </c>
      <c r="AN298" s="153">
        <f t="shared" si="228"/>
        <v>74884.26804287218</v>
      </c>
      <c r="AO298" s="153">
        <f t="shared" si="228"/>
        <v>75745.454011494381</v>
      </c>
      <c r="AP298" s="153">
        <f t="shared" si="228"/>
        <v>78136.647085875535</v>
      </c>
      <c r="AQ298" s="154">
        <f t="shared" si="228"/>
        <v>78136.647085875535</v>
      </c>
      <c r="AR298" s="153">
        <f t="shared" ref="AR298:AV298" si="229">AR297+AR284</f>
        <v>78721.678181689247</v>
      </c>
      <c r="AS298" s="153">
        <f t="shared" si="229"/>
        <v>80552.911849737153</v>
      </c>
      <c r="AT298" s="153">
        <f t="shared" si="229"/>
        <v>81134.04845661833</v>
      </c>
      <c r="AU298" s="153">
        <f t="shared" si="229"/>
        <v>83516.519588120282</v>
      </c>
      <c r="AV298" s="154">
        <f t="shared" si="229"/>
        <v>83516.519588120282</v>
      </c>
    </row>
    <row r="299" spans="2:48" x14ac:dyDescent="0.25">
      <c r="B299" s="52"/>
      <c r="C299" s="45"/>
      <c r="D299" s="27">
        <f t="shared" ref="D299:P299" si="230">D298-D269</f>
        <v>0</v>
      </c>
      <c r="E299" s="27">
        <f t="shared" si="230"/>
        <v>0</v>
      </c>
      <c r="F299" s="27">
        <f t="shared" si="230"/>
        <v>0</v>
      </c>
      <c r="G299" s="27">
        <f t="shared" si="230"/>
        <v>0</v>
      </c>
      <c r="H299" s="27">
        <f t="shared" si="230"/>
        <v>0</v>
      </c>
      <c r="I299" s="27">
        <f t="shared" si="230"/>
        <v>0</v>
      </c>
      <c r="J299" s="27">
        <f t="shared" si="230"/>
        <v>0</v>
      </c>
      <c r="K299" s="27">
        <f t="shared" si="230"/>
        <v>0</v>
      </c>
      <c r="L299" s="27">
        <f t="shared" si="230"/>
        <v>0</v>
      </c>
      <c r="M299" s="27">
        <f t="shared" si="230"/>
        <v>0</v>
      </c>
      <c r="N299" s="27">
        <f t="shared" si="230"/>
        <v>0</v>
      </c>
      <c r="O299" s="27">
        <f t="shared" si="230"/>
        <v>0</v>
      </c>
      <c r="P299" s="27">
        <f t="shared" si="230"/>
        <v>0</v>
      </c>
      <c r="Q299" s="253">
        <f t="shared" ref="Q299:AQ299" si="231">ROUND((Q298-Q269),0)</f>
        <v>0</v>
      </c>
      <c r="R299" s="253">
        <f t="shared" si="231"/>
        <v>0</v>
      </c>
      <c r="S299" s="253">
        <f t="shared" si="231"/>
        <v>0</v>
      </c>
      <c r="T299" s="253">
        <f t="shared" si="231"/>
        <v>0</v>
      </c>
      <c r="U299" s="253">
        <f t="shared" si="231"/>
        <v>0</v>
      </c>
      <c r="V299" s="253">
        <f t="shared" si="231"/>
        <v>0</v>
      </c>
      <c r="W299" s="253">
        <f t="shared" si="231"/>
        <v>0</v>
      </c>
      <c r="X299" s="253">
        <f t="shared" si="231"/>
        <v>0</v>
      </c>
      <c r="Y299" s="253">
        <f t="shared" si="231"/>
        <v>0</v>
      </c>
      <c r="Z299" s="253">
        <f t="shared" si="231"/>
        <v>0</v>
      </c>
      <c r="AA299" s="253">
        <f t="shared" si="231"/>
        <v>0</v>
      </c>
      <c r="AB299" s="253">
        <f t="shared" si="231"/>
        <v>0</v>
      </c>
      <c r="AC299" s="253">
        <f t="shared" si="231"/>
        <v>0</v>
      </c>
      <c r="AD299" s="253">
        <f t="shared" si="231"/>
        <v>0</v>
      </c>
      <c r="AE299" s="253">
        <f t="shared" si="231"/>
        <v>0</v>
      </c>
      <c r="AF299" s="253">
        <f t="shared" si="231"/>
        <v>0</v>
      </c>
      <c r="AG299" s="253">
        <f t="shared" si="231"/>
        <v>0</v>
      </c>
      <c r="AH299" s="253">
        <f t="shared" si="231"/>
        <v>0</v>
      </c>
      <c r="AI299" s="253">
        <f t="shared" si="231"/>
        <v>0</v>
      </c>
      <c r="AJ299" s="253">
        <f t="shared" si="231"/>
        <v>0</v>
      </c>
      <c r="AK299" s="253">
        <f t="shared" si="231"/>
        <v>0</v>
      </c>
      <c r="AL299" s="253">
        <f t="shared" si="231"/>
        <v>0</v>
      </c>
      <c r="AM299" s="253">
        <f t="shared" si="231"/>
        <v>0</v>
      </c>
      <c r="AN299" s="253">
        <f t="shared" si="231"/>
        <v>0</v>
      </c>
      <c r="AO299" s="253">
        <f t="shared" si="231"/>
        <v>0</v>
      </c>
      <c r="AP299" s="253">
        <f t="shared" si="231"/>
        <v>0</v>
      </c>
      <c r="AQ299" s="253">
        <f t="shared" si="231"/>
        <v>0</v>
      </c>
      <c r="AR299" s="253">
        <f t="shared" ref="AR299:AV299" si="232">ROUND((AR298-AR269),0)</f>
        <v>0</v>
      </c>
      <c r="AS299" s="253">
        <f t="shared" si="232"/>
        <v>0</v>
      </c>
      <c r="AT299" s="253">
        <f t="shared" si="232"/>
        <v>0</v>
      </c>
      <c r="AU299" s="253">
        <f t="shared" si="232"/>
        <v>0</v>
      </c>
      <c r="AV299" s="253">
        <f t="shared" si="232"/>
        <v>0</v>
      </c>
    </row>
    <row r="300" spans="2:48" ht="15.75" x14ac:dyDescent="0.25">
      <c r="B300" s="691" t="s">
        <v>24</v>
      </c>
      <c r="C300" s="692"/>
      <c r="D300" s="89" t="s">
        <v>116</v>
      </c>
      <c r="E300" s="89" t="s">
        <v>117</v>
      </c>
      <c r="F300" s="89" t="s">
        <v>118</v>
      </c>
      <c r="G300" s="89" t="s">
        <v>119</v>
      </c>
      <c r="H300" s="396" t="s">
        <v>119</v>
      </c>
      <c r="I300" s="89" t="s">
        <v>120</v>
      </c>
      <c r="J300" s="89" t="s">
        <v>121</v>
      </c>
      <c r="K300" s="89" t="s">
        <v>122</v>
      </c>
      <c r="L300" s="89" t="s">
        <v>123</v>
      </c>
      <c r="M300" s="396" t="s">
        <v>123</v>
      </c>
      <c r="N300" s="89" t="s">
        <v>124</v>
      </c>
      <c r="O300" s="89" t="s">
        <v>125</v>
      </c>
      <c r="P300" s="89" t="s">
        <v>126</v>
      </c>
      <c r="Q300" s="89" t="s">
        <v>127</v>
      </c>
      <c r="R300" s="396" t="s">
        <v>127</v>
      </c>
      <c r="S300" s="89" t="s">
        <v>128</v>
      </c>
      <c r="T300" s="89" t="s">
        <v>129</v>
      </c>
      <c r="U300" s="89" t="s">
        <v>130</v>
      </c>
      <c r="V300" s="89" t="s">
        <v>131</v>
      </c>
      <c r="W300" s="396" t="s">
        <v>131</v>
      </c>
      <c r="X300" s="91" t="s">
        <v>132</v>
      </c>
      <c r="Y300" s="91" t="s">
        <v>133</v>
      </c>
      <c r="Z300" s="91" t="s">
        <v>134</v>
      </c>
      <c r="AA300" s="91" t="s">
        <v>135</v>
      </c>
      <c r="AB300" s="400" t="s">
        <v>135</v>
      </c>
      <c r="AC300" s="91" t="s">
        <v>136</v>
      </c>
      <c r="AD300" s="91" t="s">
        <v>137</v>
      </c>
      <c r="AE300" s="91" t="s">
        <v>138</v>
      </c>
      <c r="AF300" s="91" t="s">
        <v>139</v>
      </c>
      <c r="AG300" s="400" t="s">
        <v>139</v>
      </c>
      <c r="AH300" s="91" t="s">
        <v>140</v>
      </c>
      <c r="AI300" s="91" t="s">
        <v>141</v>
      </c>
      <c r="AJ300" s="91" t="s">
        <v>142</v>
      </c>
      <c r="AK300" s="91" t="s">
        <v>143</v>
      </c>
      <c r="AL300" s="400" t="s">
        <v>143</v>
      </c>
      <c r="AM300" s="91" t="s">
        <v>144</v>
      </c>
      <c r="AN300" s="91" t="s">
        <v>145</v>
      </c>
      <c r="AO300" s="91" t="s">
        <v>146</v>
      </c>
      <c r="AP300" s="91" t="s">
        <v>147</v>
      </c>
      <c r="AQ300" s="400" t="s">
        <v>147</v>
      </c>
      <c r="AR300" s="91" t="s">
        <v>777</v>
      </c>
      <c r="AS300" s="91" t="s">
        <v>778</v>
      </c>
      <c r="AT300" s="91" t="s">
        <v>779</v>
      </c>
      <c r="AU300" s="91" t="s">
        <v>780</v>
      </c>
      <c r="AV300" s="400" t="s">
        <v>780</v>
      </c>
    </row>
    <row r="301" spans="2:48" ht="17.25" x14ac:dyDescent="0.4">
      <c r="B301" s="715"/>
      <c r="C301" s="716"/>
      <c r="D301" s="90" t="s">
        <v>69</v>
      </c>
      <c r="E301" s="90" t="s">
        <v>72</v>
      </c>
      <c r="F301" s="90" t="s">
        <v>73</v>
      </c>
      <c r="G301" s="90" t="s">
        <v>76</v>
      </c>
      <c r="H301" s="397" t="s">
        <v>77</v>
      </c>
      <c r="I301" s="90" t="s">
        <v>78</v>
      </c>
      <c r="J301" s="90" t="s">
        <v>89</v>
      </c>
      <c r="K301" s="90" t="s">
        <v>105</v>
      </c>
      <c r="L301" s="90" t="s">
        <v>109</v>
      </c>
      <c r="M301" s="397" t="s">
        <v>110</v>
      </c>
      <c r="N301" s="90" t="s">
        <v>111</v>
      </c>
      <c r="O301" s="90" t="s">
        <v>112</v>
      </c>
      <c r="P301" s="90" t="s">
        <v>113</v>
      </c>
      <c r="Q301" s="90" t="s">
        <v>114</v>
      </c>
      <c r="R301" s="397" t="s">
        <v>115</v>
      </c>
      <c r="S301" s="90" t="s">
        <v>492</v>
      </c>
      <c r="T301" s="90" t="s">
        <v>734</v>
      </c>
      <c r="U301" s="90" t="s">
        <v>753</v>
      </c>
      <c r="V301" s="90" t="s">
        <v>771</v>
      </c>
      <c r="W301" s="397" t="s">
        <v>773</v>
      </c>
      <c r="X301" s="88" t="s">
        <v>371</v>
      </c>
      <c r="Y301" s="88" t="s">
        <v>372</v>
      </c>
      <c r="Z301" s="88" t="s">
        <v>373</v>
      </c>
      <c r="AA301" s="88" t="s">
        <v>374</v>
      </c>
      <c r="AB301" s="401" t="s">
        <v>375</v>
      </c>
      <c r="AC301" s="88" t="s">
        <v>376</v>
      </c>
      <c r="AD301" s="88" t="s">
        <v>377</v>
      </c>
      <c r="AE301" s="88" t="s">
        <v>378</v>
      </c>
      <c r="AF301" s="88" t="s">
        <v>379</v>
      </c>
      <c r="AG301" s="401" t="s">
        <v>380</v>
      </c>
      <c r="AH301" s="88" t="s">
        <v>381</v>
      </c>
      <c r="AI301" s="88" t="s">
        <v>382</v>
      </c>
      <c r="AJ301" s="88" t="s">
        <v>383</v>
      </c>
      <c r="AK301" s="88" t="s">
        <v>384</v>
      </c>
      <c r="AL301" s="401" t="s">
        <v>385</v>
      </c>
      <c r="AM301" s="88" t="s">
        <v>386</v>
      </c>
      <c r="AN301" s="88" t="s">
        <v>387</v>
      </c>
      <c r="AO301" s="88" t="s">
        <v>388</v>
      </c>
      <c r="AP301" s="88" t="s">
        <v>389</v>
      </c>
      <c r="AQ301" s="401" t="s">
        <v>390</v>
      </c>
      <c r="AR301" s="88" t="s">
        <v>781</v>
      </c>
      <c r="AS301" s="88" t="s">
        <v>782</v>
      </c>
      <c r="AT301" s="88" t="s">
        <v>783</v>
      </c>
      <c r="AU301" s="88" t="s">
        <v>784</v>
      </c>
      <c r="AV301" s="401" t="s">
        <v>785</v>
      </c>
    </row>
    <row r="302" spans="2:48" s="53" customFormat="1" outlineLevel="1" x14ac:dyDescent="0.25">
      <c r="B302" s="287" t="s">
        <v>82</v>
      </c>
      <c r="C302" s="76"/>
      <c r="D302" s="138">
        <v>92</v>
      </c>
      <c r="E302" s="138">
        <v>90</v>
      </c>
      <c r="F302" s="138">
        <v>91</v>
      </c>
      <c r="G302" s="138">
        <v>92</v>
      </c>
      <c r="H302" s="169"/>
      <c r="I302" s="138">
        <v>92</v>
      </c>
      <c r="J302" s="138">
        <v>91</v>
      </c>
      <c r="K302" s="138">
        <v>90</v>
      </c>
      <c r="L302" s="138">
        <v>92</v>
      </c>
      <c r="M302" s="169"/>
      <c r="N302" s="138">
        <v>92</v>
      </c>
      <c r="O302" s="138">
        <v>91</v>
      </c>
      <c r="P302" s="138">
        <v>90</v>
      </c>
      <c r="Q302" s="138">
        <v>92</v>
      </c>
      <c r="R302" s="169"/>
      <c r="S302" s="138">
        <v>92</v>
      </c>
      <c r="T302" s="138">
        <v>91</v>
      </c>
      <c r="U302" s="138">
        <v>90</v>
      </c>
      <c r="V302" s="138">
        <v>92</v>
      </c>
      <c r="W302" s="54"/>
      <c r="X302" s="138">
        <v>92</v>
      </c>
      <c r="Y302" s="138">
        <v>91</v>
      </c>
      <c r="Z302" s="138">
        <v>91</v>
      </c>
      <c r="AA302" s="138">
        <v>92</v>
      </c>
      <c r="AB302" s="169"/>
      <c r="AC302" s="138">
        <v>92</v>
      </c>
      <c r="AD302" s="138">
        <v>91</v>
      </c>
      <c r="AE302" s="138">
        <v>90</v>
      </c>
      <c r="AF302" s="138">
        <v>92</v>
      </c>
      <c r="AG302" s="169"/>
      <c r="AH302" s="138">
        <v>92</v>
      </c>
      <c r="AI302" s="138">
        <v>91</v>
      </c>
      <c r="AJ302" s="138">
        <v>90</v>
      </c>
      <c r="AK302" s="138">
        <v>92</v>
      </c>
      <c r="AL302" s="169"/>
      <c r="AM302" s="138">
        <v>92</v>
      </c>
      <c r="AN302" s="138">
        <v>91</v>
      </c>
      <c r="AO302" s="138">
        <v>90</v>
      </c>
      <c r="AP302" s="138">
        <v>92</v>
      </c>
      <c r="AQ302" s="169"/>
      <c r="AR302" s="138">
        <v>92</v>
      </c>
      <c r="AS302" s="138">
        <v>91</v>
      </c>
      <c r="AT302" s="138">
        <v>90</v>
      </c>
      <c r="AU302" s="138">
        <v>92</v>
      </c>
      <c r="AV302" s="169"/>
    </row>
    <row r="303" spans="2:48" outlineLevel="1" x14ac:dyDescent="0.25">
      <c r="B303" s="701" t="s">
        <v>25</v>
      </c>
      <c r="C303" s="702"/>
      <c r="D303" s="235">
        <f>D13/(AVERAGE(D259,5719))</f>
        <v>2.1663726182074807</v>
      </c>
      <c r="E303" s="235">
        <f>E13/(AVERAGE(E259,D259))</f>
        <v>2.1691342971607734</v>
      </c>
      <c r="F303" s="235">
        <f>F13/(AVERAGE(F259,E259))</f>
        <v>2.2008870336551003</v>
      </c>
      <c r="G303" s="235">
        <f>G13/(AVERAGE(G259,F259))</f>
        <v>2.0144342697501165</v>
      </c>
      <c r="H303" s="236"/>
      <c r="I303" s="482">
        <f>I13/(AVERAGE(I259,G259))</f>
        <v>2.0245771487745943</v>
      </c>
      <c r="J303" s="482">
        <f>J13/(AVERAGE(J259,I259))</f>
        <v>2.016612641815235</v>
      </c>
      <c r="K303" s="482">
        <f>K13/(AVERAGE(K259,J259))</f>
        <v>2.0005335823384245</v>
      </c>
      <c r="L303" s="482">
        <f>L13/(AVERAGE(L259,K259))</f>
        <v>2.0946926816274889</v>
      </c>
      <c r="M303" s="483"/>
      <c r="N303" s="482">
        <f>N13/(AVERAGE(N259,L259))</f>
        <v>1.9605254726049344</v>
      </c>
      <c r="O303" s="482">
        <f>O13/(AVERAGE(O259,N259))</f>
        <v>1.958225796770902</v>
      </c>
      <c r="P303" s="482">
        <f>P13/(AVERAGE(P259,O259))</f>
        <v>1.9076532379083457</v>
      </c>
      <c r="Q303" s="482">
        <f>Q13/(AVERAGE(Q259,P259))</f>
        <v>2.0140901280753791</v>
      </c>
      <c r="R303" s="238"/>
      <c r="S303" s="482">
        <f>S13/(AVERAGE(S259,Q259))</f>
        <v>1.978419770274974</v>
      </c>
      <c r="T303" s="482">
        <f>T13/(AVERAGE(T259,S259))</f>
        <v>1.9491497621521132</v>
      </c>
      <c r="U303" s="482">
        <f>U13/(AVERAGE(U259,T259))</f>
        <v>1.8280494357872112</v>
      </c>
      <c r="V303" s="482">
        <f>V13/(AVERAGE(V259,U259))</f>
        <v>1.9618795791329258</v>
      </c>
      <c r="W303" s="236"/>
      <c r="X303" s="237">
        <f>+S303</f>
        <v>1.978419770274974</v>
      </c>
      <c r="Y303" s="237">
        <f>+T303</f>
        <v>1.9491497621521132</v>
      </c>
      <c r="Z303" s="237">
        <f>+U303</f>
        <v>1.8280494357872112</v>
      </c>
      <c r="AA303" s="237">
        <f>+V303</f>
        <v>1.9618795791329258</v>
      </c>
      <c r="AB303" s="236"/>
      <c r="AC303" s="237">
        <f>+X303</f>
        <v>1.978419770274974</v>
      </c>
      <c r="AD303" s="237">
        <f>+Y303</f>
        <v>1.9491497621521132</v>
      </c>
      <c r="AE303" s="237">
        <f>+Z303</f>
        <v>1.8280494357872112</v>
      </c>
      <c r="AF303" s="237">
        <f>+AA303</f>
        <v>1.9618795791329258</v>
      </c>
      <c r="AG303" s="236"/>
      <c r="AH303" s="237">
        <f>+AC303</f>
        <v>1.978419770274974</v>
      </c>
      <c r="AI303" s="237">
        <f>+AD303</f>
        <v>1.9491497621521132</v>
      </c>
      <c r="AJ303" s="237">
        <f>+AE303</f>
        <v>1.8280494357872112</v>
      </c>
      <c r="AK303" s="237">
        <f>+AF303</f>
        <v>1.9618795791329258</v>
      </c>
      <c r="AL303" s="236"/>
      <c r="AM303" s="237">
        <f>+AH303</f>
        <v>1.978419770274974</v>
      </c>
      <c r="AN303" s="237">
        <f>+AI303</f>
        <v>1.9491497621521132</v>
      </c>
      <c r="AO303" s="237">
        <f>+AJ303</f>
        <v>1.8280494357872112</v>
      </c>
      <c r="AP303" s="237">
        <f>+AK303</f>
        <v>1.9618795791329258</v>
      </c>
      <c r="AQ303" s="77"/>
      <c r="AR303" s="237">
        <f>+AM303</f>
        <v>1.978419770274974</v>
      </c>
      <c r="AS303" s="237">
        <f>+AN303</f>
        <v>1.9491497621521132</v>
      </c>
      <c r="AT303" s="237">
        <f>+AO303</f>
        <v>1.8280494357872112</v>
      </c>
      <c r="AU303" s="237">
        <f>+AP303</f>
        <v>1.9618795791329258</v>
      </c>
      <c r="AV303" s="77"/>
    </row>
    <row r="304" spans="2:48" s="228" customFormat="1" outlineLevel="1" x14ac:dyDescent="0.25">
      <c r="B304" s="687" t="s">
        <v>83</v>
      </c>
      <c r="C304" s="688"/>
      <c r="D304" s="138">
        <f>D302/D303</f>
        <v>42.467301897548658</v>
      </c>
      <c r="E304" s="138">
        <f>E302/E303</f>
        <v>41.49120693808721</v>
      </c>
      <c r="F304" s="138">
        <f>F302/F303</f>
        <v>41.346965386439074</v>
      </c>
      <c r="G304" s="138">
        <f>G302/G303</f>
        <v>45.670390631019337</v>
      </c>
      <c r="H304" s="236"/>
      <c r="I304" s="138">
        <f>I302/I303</f>
        <v>45.44158766964469</v>
      </c>
      <c r="J304" s="138">
        <f>J302/J303</f>
        <v>45.125175808720115</v>
      </c>
      <c r="K304" s="138">
        <f>K302/K303</f>
        <v>44.987997599519908</v>
      </c>
      <c r="L304" s="138">
        <f>L302/L303</f>
        <v>43.920523906408953</v>
      </c>
      <c r="M304" s="236"/>
      <c r="N304" s="138">
        <f>N302/N303</f>
        <v>46.926194678695168</v>
      </c>
      <c r="O304" s="138">
        <f>O302/O303</f>
        <v>46.47063691534359</v>
      </c>
      <c r="P304" s="138">
        <f>P302/P303</f>
        <v>47.178385574246647</v>
      </c>
      <c r="Q304" s="138">
        <f>Q302/Q303</f>
        <v>45.678194196757822</v>
      </c>
      <c r="R304" s="236"/>
      <c r="S304" s="138">
        <f>S302/S303</f>
        <v>46.501759324419425</v>
      </c>
      <c r="T304" s="138">
        <f>T302/T303</f>
        <v>46.687023114901258</v>
      </c>
      <c r="U304" s="138">
        <f>U302/U303</f>
        <v>49.232804232804234</v>
      </c>
      <c r="V304" s="138">
        <f>V302/V303</f>
        <v>46.893805806705224</v>
      </c>
      <c r="W304" s="236"/>
      <c r="X304" s="138">
        <f>X302/X303</f>
        <v>46.501759324419425</v>
      </c>
      <c r="Y304" s="138">
        <f>Y302/Y303</f>
        <v>46.687023114901258</v>
      </c>
      <c r="Z304" s="138">
        <f>Z302/Z303</f>
        <v>49.779835390946502</v>
      </c>
      <c r="AA304" s="138">
        <f>AA302/AA303</f>
        <v>46.893805806705224</v>
      </c>
      <c r="AB304" s="236"/>
      <c r="AC304" s="138">
        <f>AC302/AC303</f>
        <v>46.501759324419425</v>
      </c>
      <c r="AD304" s="138">
        <f>AD302/AD303</f>
        <v>46.687023114901258</v>
      </c>
      <c r="AE304" s="138">
        <f>AE302/AE303</f>
        <v>49.232804232804234</v>
      </c>
      <c r="AF304" s="138">
        <f>AF302/AF303</f>
        <v>46.893805806705224</v>
      </c>
      <c r="AG304" s="236"/>
      <c r="AH304" s="138">
        <f>AH302/AH303</f>
        <v>46.501759324419425</v>
      </c>
      <c r="AI304" s="138">
        <f>AI302/AI303</f>
        <v>46.687023114901258</v>
      </c>
      <c r="AJ304" s="138">
        <f>AJ302/AJ303</f>
        <v>49.232804232804234</v>
      </c>
      <c r="AK304" s="138">
        <f>AK302/AK303</f>
        <v>46.893805806705224</v>
      </c>
      <c r="AL304" s="236"/>
      <c r="AM304" s="138">
        <f>AM302/AM303</f>
        <v>46.501759324419425</v>
      </c>
      <c r="AN304" s="138">
        <f>AN302/AN303</f>
        <v>46.687023114901258</v>
      </c>
      <c r="AO304" s="138">
        <f>AO302/AO303</f>
        <v>49.232804232804234</v>
      </c>
      <c r="AP304" s="138">
        <f>AP302/AP303</f>
        <v>46.893805806705224</v>
      </c>
      <c r="AQ304" s="236"/>
      <c r="AR304" s="138">
        <f>AR302/AR303</f>
        <v>46.501759324419425</v>
      </c>
      <c r="AS304" s="138">
        <f>AS302/AS303</f>
        <v>46.687023114901258</v>
      </c>
      <c r="AT304" s="138">
        <f>AT302/AT303</f>
        <v>49.232804232804234</v>
      </c>
      <c r="AU304" s="138">
        <f>AU302/AU303</f>
        <v>46.893805806705224</v>
      </c>
      <c r="AV304" s="236"/>
    </row>
    <row r="305" spans="2:48" s="228" customFormat="1" outlineLevel="1" x14ac:dyDescent="0.25">
      <c r="B305" s="287" t="s">
        <v>301</v>
      </c>
      <c r="C305" s="288"/>
      <c r="D305" s="165">
        <f>+D260/D264</f>
        <v>1.1093682511536975E-2</v>
      </c>
      <c r="E305" s="165">
        <f>+E260/E264</f>
        <v>1.089695415764113E-2</v>
      </c>
      <c r="F305" s="165">
        <f>+F260/F264</f>
        <v>1.0340632603406326E-2</v>
      </c>
      <c r="G305" s="165">
        <f>+G260/G264</f>
        <v>1.054915138882981E-2</v>
      </c>
      <c r="H305" s="236"/>
      <c r="I305" s="165">
        <f>+I260/I264</f>
        <v>1.063984538974668E-2</v>
      </c>
      <c r="J305" s="165">
        <f>+J260/J264</f>
        <v>1.0568706815487142E-2</v>
      </c>
      <c r="K305" s="165">
        <f>+K260/K264</f>
        <v>1.0592538993407299E-2</v>
      </c>
      <c r="L305" s="165">
        <f>+L260/L264</f>
        <v>1.0152885868921107E-2</v>
      </c>
      <c r="M305" s="236"/>
      <c r="N305" s="165">
        <f>+N260/N264</f>
        <v>1.0011641443538999E-2</v>
      </c>
      <c r="O305" s="165">
        <f>+O260/O264</f>
        <v>1.0011269722013523E-2</v>
      </c>
      <c r="P305" s="165">
        <f>+P260/P264</f>
        <v>9.6180370377181527E-3</v>
      </c>
      <c r="Q305" s="165">
        <f>+Q260/Q264</f>
        <v>9.5245006440376635E-3</v>
      </c>
      <c r="R305" s="236"/>
      <c r="S305" s="165">
        <f>+S260/S264</f>
        <v>9.2852323971167848E-3</v>
      </c>
      <c r="T305" s="165">
        <f>+T260/T264</f>
        <v>9.0781029895132259E-3</v>
      </c>
      <c r="U305" s="165">
        <f>+U260/U264</f>
        <v>9.3872498452651117E-3</v>
      </c>
      <c r="V305" s="165">
        <f>+V260/V264</f>
        <v>9.2923997244206951E-3</v>
      </c>
      <c r="W305" s="236"/>
      <c r="X305" s="176">
        <f>AVERAGE(V305,U305,T305,S305)</f>
        <v>9.2607462390789548E-3</v>
      </c>
      <c r="Y305" s="176">
        <f>AVERAGE(X305,V305,U305,T305)</f>
        <v>9.2546246995694956E-3</v>
      </c>
      <c r="Z305" s="176">
        <f>AVERAGE(Y305,X305,V305,U305)</f>
        <v>9.2987551270835647E-3</v>
      </c>
      <c r="AA305" s="176">
        <f>AVERAGE(Z305,Y305,X305,V305)</f>
        <v>9.2766314475381771E-3</v>
      </c>
      <c r="AB305" s="236"/>
      <c r="AC305" s="176">
        <f>AVERAGE(AA305,Z305,Y305,X305)</f>
        <v>9.2726893783175481E-3</v>
      </c>
      <c r="AD305" s="176">
        <f>AVERAGE(AC305,AA305,Z305,Y305)</f>
        <v>9.2756751631271964E-3</v>
      </c>
      <c r="AE305" s="176">
        <f>AVERAGE(AD305,AC305,AA305,Z305)</f>
        <v>9.2809377790166216E-3</v>
      </c>
      <c r="AF305" s="176">
        <f>AVERAGE(AE305,AD305,AC305,AA305)</f>
        <v>9.2764834419998866E-3</v>
      </c>
      <c r="AG305" s="236"/>
      <c r="AH305" s="176">
        <f>AVERAGE(AF305,AE305,AD305,AC305)</f>
        <v>9.2764464406153123E-3</v>
      </c>
      <c r="AI305" s="176">
        <f>AVERAGE(AH305,AF305,AE305,AD305)</f>
        <v>9.2773857061897551E-3</v>
      </c>
      <c r="AJ305" s="176">
        <f>AVERAGE(AI305,AH305,AF305,AE305)</f>
        <v>9.2778133419553939E-3</v>
      </c>
      <c r="AK305" s="176">
        <f>AVERAGE(AJ305,AI305,AH305,AF305)</f>
        <v>9.277032232690087E-3</v>
      </c>
      <c r="AL305" s="236"/>
      <c r="AM305" s="176">
        <f>AVERAGE(AK305,AJ305,AI305,AH305)</f>
        <v>9.2771694303626362E-3</v>
      </c>
      <c r="AN305" s="176">
        <f>AVERAGE(AM305,AK305,AJ305,AI305)</f>
        <v>9.277350177799468E-3</v>
      </c>
      <c r="AO305" s="176">
        <f>AVERAGE(AN305,AM305,AK305,AJ305)</f>
        <v>9.277341295701895E-3</v>
      </c>
      <c r="AP305" s="176">
        <f>AVERAGE(AO305,AN305,AM305,AK305)</f>
        <v>9.2772232841385211E-3</v>
      </c>
      <c r="AQ305" s="236"/>
      <c r="AR305" s="176">
        <f>AVERAGE(AP305,AO305,AN305,AM305)</f>
        <v>9.2772710470006292E-3</v>
      </c>
      <c r="AS305" s="176">
        <f>AVERAGE(AR305,AP305,AO305,AN305)</f>
        <v>9.2772964511601275E-3</v>
      </c>
      <c r="AT305" s="176">
        <f>AVERAGE(AS305,AR305,AP305,AO305)</f>
        <v>9.2772830195002928E-3</v>
      </c>
      <c r="AU305" s="176">
        <f>AVERAGE(AT305,AS305,AR305,AP305)</f>
        <v>9.2772684504498926E-3</v>
      </c>
      <c r="AV305" s="236"/>
    </row>
    <row r="306" spans="2:48" s="228" customFormat="1" outlineLevel="1" x14ac:dyDescent="0.25">
      <c r="B306" s="384" t="s">
        <v>487</v>
      </c>
      <c r="C306" s="161"/>
      <c r="D306" s="313"/>
      <c r="E306" s="313">
        <f>+((E273+D273)/2)/E15</f>
        <v>0.31345733041575491</v>
      </c>
      <c r="F306" s="313">
        <f>+((F273+E273)/2)/F15</f>
        <v>0.31419779286926997</v>
      </c>
      <c r="G306" s="313">
        <f>+((G273+F273)/2)/G15</f>
        <v>0.35850439882697949</v>
      </c>
      <c r="H306" s="385"/>
      <c r="I306" s="313">
        <f>+((I273+G273)/2)/I15</f>
        <v>0.33656561852758426</v>
      </c>
      <c r="J306" s="313">
        <f>+((J273+I273)/2)/J15</f>
        <v>0.31458994956099384</v>
      </c>
      <c r="K306" s="313">
        <f>+((K273+J273)/2)/K15</f>
        <v>0.32020389249304915</v>
      </c>
      <c r="L306" s="313">
        <f>+((L273+K273)/2)/L15</f>
        <v>0.32865219770198795</v>
      </c>
      <c r="M306" s="385"/>
      <c r="N306" s="313">
        <f>+((N273+L273)/2)/N15</f>
        <v>0.32348677056904673</v>
      </c>
      <c r="O306" s="313">
        <f>+((O273+N273)/2)/O15</f>
        <v>0.31069313827934519</v>
      </c>
      <c r="P306" s="313">
        <f>+((P273+O273)/2)/P15</f>
        <v>0.3224377194449089</v>
      </c>
      <c r="Q306" s="313">
        <f>+((Q273+P273)/2)/Q15</f>
        <v>0.3454575930271539</v>
      </c>
      <c r="R306" s="386"/>
      <c r="S306" s="313">
        <f>+((S273+Q273)/2)/S15</f>
        <v>0.30854632587859426</v>
      </c>
      <c r="T306" s="313">
        <f>+((T273+S273)/2)/T15</f>
        <v>0.28242811501597442</v>
      </c>
      <c r="U306" s="313">
        <f>+((U273+T273)/2)/U15</f>
        <v>0.28909210743120778</v>
      </c>
      <c r="V306" s="313">
        <f>+((V273+U273)/2)/V15</f>
        <v>0.2747696783578471</v>
      </c>
      <c r="W306" s="385"/>
      <c r="X306" s="484">
        <f>+S306</f>
        <v>0.30854632587859426</v>
      </c>
      <c r="Y306" s="484">
        <f>+T306</f>
        <v>0.28242811501597442</v>
      </c>
      <c r="Z306" s="484">
        <f t="shared" ref="Z306" si="233">+U306</f>
        <v>0.28909210743120778</v>
      </c>
      <c r="AA306" s="484">
        <f t="shared" ref="AA306" si="234">+V306</f>
        <v>0.2747696783578471</v>
      </c>
      <c r="AB306" s="385"/>
      <c r="AC306" s="484">
        <f>+X306</f>
        <v>0.30854632587859426</v>
      </c>
      <c r="AD306" s="484">
        <f>+Y306</f>
        <v>0.28242811501597442</v>
      </c>
      <c r="AE306" s="484">
        <f t="shared" ref="AE306" si="235">+Z306</f>
        <v>0.28909210743120778</v>
      </c>
      <c r="AF306" s="484">
        <f t="shared" ref="AF306" si="236">+AA306</f>
        <v>0.2747696783578471</v>
      </c>
      <c r="AG306" s="385"/>
      <c r="AH306" s="484">
        <f>+AC306</f>
        <v>0.30854632587859426</v>
      </c>
      <c r="AI306" s="484">
        <f>+AD306</f>
        <v>0.28242811501597442</v>
      </c>
      <c r="AJ306" s="484">
        <f t="shared" ref="AJ306" si="237">+AE306</f>
        <v>0.28909210743120778</v>
      </c>
      <c r="AK306" s="484">
        <f t="shared" ref="AK306" si="238">+AF306</f>
        <v>0.2747696783578471</v>
      </c>
      <c r="AL306" s="385"/>
      <c r="AM306" s="484">
        <f>+AH306</f>
        <v>0.30854632587859426</v>
      </c>
      <c r="AN306" s="484">
        <f>+AI306</f>
        <v>0.28242811501597442</v>
      </c>
      <c r="AO306" s="484">
        <f t="shared" ref="AO306" si="239">+AJ306</f>
        <v>0.28909210743120778</v>
      </c>
      <c r="AP306" s="484">
        <f t="shared" ref="AP306" si="240">+AK306</f>
        <v>0.2747696783578471</v>
      </c>
      <c r="AQ306" s="385"/>
      <c r="AR306" s="484">
        <f>+AM306</f>
        <v>0.30854632587859426</v>
      </c>
      <c r="AS306" s="484">
        <f>+AN306</f>
        <v>0.28242811501597442</v>
      </c>
      <c r="AT306" s="484">
        <f t="shared" ref="AT306" si="241">+AO306</f>
        <v>0.28909210743120778</v>
      </c>
      <c r="AU306" s="484">
        <f t="shared" ref="AU306" si="242">+AP306</f>
        <v>0.2747696783578471</v>
      </c>
      <c r="AV306" s="385"/>
    </row>
    <row r="307" spans="2:48" s="228" customFormat="1" outlineLevel="1" x14ac:dyDescent="0.25">
      <c r="B307" s="695" t="s">
        <v>84</v>
      </c>
      <c r="C307" s="696"/>
      <c r="D307" s="387"/>
      <c r="E307" s="387"/>
      <c r="F307" s="387"/>
      <c r="G307" s="388"/>
      <c r="H307" s="389"/>
      <c r="I307" s="388">
        <f>I23/(AVERAGE(I274,2944))</f>
        <v>0.75340811044003453</v>
      </c>
      <c r="J307" s="388">
        <f>J23/(AVERAGE(J274,I274))</f>
        <v>0.79689922480620157</v>
      </c>
      <c r="K307" s="388">
        <f>K23/(AVERAGE(K274,J274))</f>
        <v>0.80303833245009715</v>
      </c>
      <c r="L307" s="388">
        <f>L23/(AVERAGE(L274,K274))</f>
        <v>0.89906576296024909</v>
      </c>
      <c r="M307" s="390"/>
      <c r="N307" s="388">
        <f>N23/(AVERAGE(N274,L274))</f>
        <v>0.84920913884007032</v>
      </c>
      <c r="O307" s="388">
        <f>O23/(AVERAGE(O274,N274))</f>
        <v>0.83549712407559573</v>
      </c>
      <c r="P307" s="388">
        <f>P23/(AVERAGE(P274,O274))</f>
        <v>0.81645063210113622</v>
      </c>
      <c r="Q307" s="388">
        <f>Q23/(AVERAGE(Q274,P274))</f>
        <v>0.83273204329288286</v>
      </c>
      <c r="R307" s="390"/>
      <c r="S307" s="388">
        <f>S23/(AVERAGE(S274,Q274))</f>
        <v>0.7924777301220719</v>
      </c>
      <c r="T307" s="388">
        <f>T23/(AVERAGE(T274,S274))</f>
        <v>0.79894834519022584</v>
      </c>
      <c r="U307" s="388">
        <f>U23/(AVERAGE(U274,T274))</f>
        <v>0.75869432580841978</v>
      </c>
      <c r="V307" s="388">
        <f>V23/(AVERAGE(V274,U274))</f>
        <v>0.8318784351762043</v>
      </c>
      <c r="W307" s="390"/>
      <c r="X307" s="245">
        <f>+S307</f>
        <v>0.7924777301220719</v>
      </c>
      <c r="Y307" s="245">
        <f>+T307</f>
        <v>0.79894834519022584</v>
      </c>
      <c r="Z307" s="245">
        <f>+U307</f>
        <v>0.75869432580841978</v>
      </c>
      <c r="AA307" s="245">
        <f>+V307</f>
        <v>0.8318784351762043</v>
      </c>
      <c r="AB307" s="390"/>
      <c r="AC307" s="245">
        <f>+X307</f>
        <v>0.7924777301220719</v>
      </c>
      <c r="AD307" s="245">
        <f>+Y307</f>
        <v>0.79894834519022584</v>
      </c>
      <c r="AE307" s="245">
        <f>+Z307</f>
        <v>0.75869432580841978</v>
      </c>
      <c r="AF307" s="245">
        <f>+AA307</f>
        <v>0.8318784351762043</v>
      </c>
      <c r="AG307" s="390"/>
      <c r="AH307" s="245">
        <f>+AC307</f>
        <v>0.7924777301220719</v>
      </c>
      <c r="AI307" s="245">
        <f>+AD307</f>
        <v>0.79894834519022584</v>
      </c>
      <c r="AJ307" s="245">
        <f>+AE307</f>
        <v>0.75869432580841978</v>
      </c>
      <c r="AK307" s="245">
        <f>+AF307</f>
        <v>0.8318784351762043</v>
      </c>
      <c r="AL307" s="390"/>
      <c r="AM307" s="245">
        <f>+AH307</f>
        <v>0.7924777301220719</v>
      </c>
      <c r="AN307" s="245">
        <f>+AI307</f>
        <v>0.79894834519022584</v>
      </c>
      <c r="AO307" s="245">
        <f>+AJ307</f>
        <v>0.75869432580841978</v>
      </c>
      <c r="AP307" s="245">
        <f>+AK307</f>
        <v>0.8318784351762043</v>
      </c>
      <c r="AQ307" s="389"/>
      <c r="AR307" s="245">
        <f>+AM307</f>
        <v>0.7924777301220719</v>
      </c>
      <c r="AS307" s="245">
        <f>+AN307</f>
        <v>0.79894834519022584</v>
      </c>
      <c r="AT307" s="245">
        <f>+AO307</f>
        <v>0.75869432580841978</v>
      </c>
      <c r="AU307" s="245">
        <f>+AP307</f>
        <v>0.8318784351762043</v>
      </c>
      <c r="AV307" s="389"/>
    </row>
    <row r="308" spans="2:48" s="110" customFormat="1" outlineLevel="1" x14ac:dyDescent="0.25">
      <c r="B308" s="695" t="s">
        <v>26</v>
      </c>
      <c r="C308" s="696"/>
      <c r="D308" s="370"/>
      <c r="E308" s="370"/>
      <c r="F308" s="370"/>
      <c r="G308" s="370"/>
      <c r="H308" s="391"/>
      <c r="I308" s="370">
        <f>I302/I307</f>
        <v>122.11177278973889</v>
      </c>
      <c r="J308" s="370">
        <f>J302/J307</f>
        <v>114.19260700389106</v>
      </c>
      <c r="K308" s="370">
        <f>K302/K307</f>
        <v>112.07435107787066</v>
      </c>
      <c r="L308" s="370">
        <f>L302/L307</f>
        <v>102.32844335778321</v>
      </c>
      <c r="M308" s="391"/>
      <c r="N308" s="370">
        <f>N302/N307</f>
        <v>108.33609271523179</v>
      </c>
      <c r="O308" s="370">
        <f>O302/O307</f>
        <v>108.91719118804092</v>
      </c>
      <c r="P308" s="370">
        <f>P302/P307</f>
        <v>110.23324186593493</v>
      </c>
      <c r="Q308" s="370">
        <f>Q302/Q307</f>
        <v>110.4797164237889</v>
      </c>
      <c r="R308" s="391"/>
      <c r="S308" s="370">
        <f>S302/S307</f>
        <v>116.09159034138219</v>
      </c>
      <c r="T308" s="370">
        <f>T302/T307</f>
        <v>113.89972899728997</v>
      </c>
      <c r="U308" s="370">
        <f>U302/U307</f>
        <v>118.62484921592279</v>
      </c>
      <c r="V308" s="370">
        <f>V302/V307</f>
        <v>110.59308200544112</v>
      </c>
      <c r="W308" s="391"/>
      <c r="X308" s="370">
        <f>X302/X307</f>
        <v>116.09159034138219</v>
      </c>
      <c r="Y308" s="370">
        <f>Y302/Y307</f>
        <v>113.89972899728997</v>
      </c>
      <c r="Z308" s="370">
        <f>Z302/Z307</f>
        <v>119.94290309609971</v>
      </c>
      <c r="AA308" s="370">
        <f>AA302/AA307</f>
        <v>110.59308200544112</v>
      </c>
      <c r="AB308" s="391"/>
      <c r="AC308" s="370">
        <f>AC302/AC307</f>
        <v>116.09159034138219</v>
      </c>
      <c r="AD308" s="370">
        <f>AD302/AD307</f>
        <v>113.89972899728997</v>
      </c>
      <c r="AE308" s="370">
        <f>AE302/AE307</f>
        <v>118.62484921592279</v>
      </c>
      <c r="AF308" s="370">
        <f>AF302/AF307</f>
        <v>110.59308200544112</v>
      </c>
      <c r="AG308" s="391"/>
      <c r="AH308" s="370">
        <f>AH302/AH307</f>
        <v>116.09159034138219</v>
      </c>
      <c r="AI308" s="370">
        <f>AI302/AI307</f>
        <v>113.89972899728997</v>
      </c>
      <c r="AJ308" s="370">
        <f>AJ302/AJ307</f>
        <v>118.62484921592279</v>
      </c>
      <c r="AK308" s="370">
        <f>AK302/AK307</f>
        <v>110.59308200544112</v>
      </c>
      <c r="AL308" s="391"/>
      <c r="AM308" s="370">
        <f>AM302/AM307</f>
        <v>116.09159034138219</v>
      </c>
      <c r="AN308" s="370">
        <f>AN302/AN307</f>
        <v>113.89972899728997</v>
      </c>
      <c r="AO308" s="370">
        <f>AO302/AO307</f>
        <v>118.62484921592279</v>
      </c>
      <c r="AP308" s="370">
        <f>AP302/AP307</f>
        <v>110.59308200544112</v>
      </c>
      <c r="AQ308" s="391"/>
      <c r="AR308" s="370">
        <f>AR302/AR307</f>
        <v>116.09159034138219</v>
      </c>
      <c r="AS308" s="370">
        <f>AS302/AS307</f>
        <v>113.89972899728997</v>
      </c>
      <c r="AT308" s="370">
        <f>AT302/AT307</f>
        <v>118.62484921592279</v>
      </c>
      <c r="AU308" s="370">
        <f>AU302/AU307</f>
        <v>110.59308200544112</v>
      </c>
      <c r="AV308" s="391"/>
    </row>
    <row r="309" spans="2:48" s="110" customFormat="1" outlineLevel="1" x14ac:dyDescent="0.25">
      <c r="B309" s="177" t="s">
        <v>306</v>
      </c>
      <c r="C309" s="127"/>
      <c r="D309" s="361">
        <f>+((D275+2436)/2)/D13</f>
        <v>0.19798029155468685</v>
      </c>
      <c r="E309" s="361">
        <f>+((E275+D275)/2)/E13</f>
        <v>0.18967317112342408</v>
      </c>
      <c r="F309" s="361">
        <f>+((F275+E275)/2)/F13</f>
        <v>0.18772720088509562</v>
      </c>
      <c r="G309" s="361">
        <f>+((G275+F275)/2)/G13</f>
        <v>0.21249711071731259</v>
      </c>
      <c r="H309" s="391"/>
      <c r="I309" s="361">
        <f>+((I275+G275)/2)/I13</f>
        <v>0.20582418331855692</v>
      </c>
      <c r="J309" s="361">
        <f>+((J275+I275)/2)/J13</f>
        <v>0.20152702431183445</v>
      </c>
      <c r="K309" s="361">
        <f>+((K275+J275)/2)/K13</f>
        <v>0.20180702807228112</v>
      </c>
      <c r="L309" s="361">
        <f>+((L275+K275)/2)/L13</f>
        <v>0.1983087487283825</v>
      </c>
      <c r="M309" s="391"/>
      <c r="N309" s="361">
        <f>+((N275+L275)/2)/N13</f>
        <v>0.2094201477413872</v>
      </c>
      <c r="O309" s="361">
        <f>+((O275+N275)/2)/O13</f>
        <v>0.18647704284926134</v>
      </c>
      <c r="P309" s="361">
        <f>+((P275+O275)/2)/P13</f>
        <v>0.17548106014764614</v>
      </c>
      <c r="Q309" s="361">
        <f>+((Q275+P275)/2)/Q13</f>
        <v>0.17254697331676186</v>
      </c>
      <c r="R309" s="392"/>
      <c r="S309" s="361">
        <f>+((S275+Q275)/2)/S13</f>
        <v>0.18276448510438659</v>
      </c>
      <c r="T309" s="361">
        <f>+((T275+S275)/2)/T13</f>
        <v>0.18247868043087973</v>
      </c>
      <c r="U309" s="361">
        <f>+((U275+T275)/2)/U13</f>
        <v>0.1939153439153439</v>
      </c>
      <c r="V309" s="361">
        <f>+((V275+U275)/2)/V13</f>
        <v>0.18310215083955747</v>
      </c>
      <c r="W309" s="391"/>
      <c r="X309" s="243">
        <f>+S309</f>
        <v>0.18276448510438659</v>
      </c>
      <c r="Y309" s="243">
        <f t="shared" ref="Y309:Y310" si="243">+T309</f>
        <v>0.18247868043087973</v>
      </c>
      <c r="Z309" s="243">
        <f t="shared" ref="Z309:Z310" si="244">+U309</f>
        <v>0.1939153439153439</v>
      </c>
      <c r="AA309" s="243">
        <f t="shared" ref="AA309:AA310" si="245">+V309</f>
        <v>0.18310215083955747</v>
      </c>
      <c r="AB309" s="391"/>
      <c r="AC309" s="243">
        <f>+X309</f>
        <v>0.18276448510438659</v>
      </c>
      <c r="AD309" s="243">
        <f t="shared" ref="AD309:AD310" si="246">+Y309</f>
        <v>0.18247868043087973</v>
      </c>
      <c r="AE309" s="243">
        <f t="shared" ref="AE309:AE310" si="247">+Z309</f>
        <v>0.1939153439153439</v>
      </c>
      <c r="AF309" s="243">
        <f t="shared" ref="AF309:AF310" si="248">+AA309</f>
        <v>0.18310215083955747</v>
      </c>
      <c r="AG309" s="391"/>
      <c r="AH309" s="243">
        <f>+AC309</f>
        <v>0.18276448510438659</v>
      </c>
      <c r="AI309" s="243">
        <f t="shared" ref="AI309:AI310" si="249">+AD309</f>
        <v>0.18247868043087973</v>
      </c>
      <c r="AJ309" s="243">
        <f t="shared" ref="AJ309:AJ310" si="250">+AE309</f>
        <v>0.1939153439153439</v>
      </c>
      <c r="AK309" s="243">
        <f t="shared" ref="AK309:AK310" si="251">+AF309</f>
        <v>0.18310215083955747</v>
      </c>
      <c r="AL309" s="391"/>
      <c r="AM309" s="243">
        <f>+AH309</f>
        <v>0.18276448510438659</v>
      </c>
      <c r="AN309" s="243">
        <f t="shared" ref="AN309:AN310" si="252">+AI309</f>
        <v>0.18247868043087973</v>
      </c>
      <c r="AO309" s="243">
        <f t="shared" ref="AO309:AO310" si="253">+AJ309</f>
        <v>0.1939153439153439</v>
      </c>
      <c r="AP309" s="243">
        <f t="shared" ref="AP309:AP310" si="254">+AK309</f>
        <v>0.18310215083955747</v>
      </c>
      <c r="AQ309" s="391"/>
      <c r="AR309" s="243">
        <f>+AM309</f>
        <v>0.18276448510438659</v>
      </c>
      <c r="AS309" s="243">
        <f t="shared" ref="AS309:AS310" si="255">+AN309</f>
        <v>0.18247868043087973</v>
      </c>
      <c r="AT309" s="243">
        <f t="shared" ref="AT309:AT310" si="256">+AO309</f>
        <v>0.1939153439153439</v>
      </c>
      <c r="AU309" s="243">
        <f t="shared" ref="AU309:AU310" si="257">+AP309</f>
        <v>0.18310215083955747</v>
      </c>
      <c r="AV309" s="391"/>
    </row>
    <row r="310" spans="2:48" s="228" customFormat="1" outlineLevel="1" x14ac:dyDescent="0.25">
      <c r="B310" s="177" t="s">
        <v>319</v>
      </c>
      <c r="C310" s="127"/>
      <c r="D310" s="361">
        <f>((D280+1120)/2)/D13</f>
        <v>9.3900154735727659E-2</v>
      </c>
      <c r="E310" s="361">
        <f>((E280+D280)/2)/E13</f>
        <v>9.8410021681522519E-2</v>
      </c>
      <c r="F310" s="361">
        <f>((F280+E280)/2)/F13</f>
        <v>0.10064011379800854</v>
      </c>
      <c r="G310" s="361">
        <f>((G280+F280)/2)/G13</f>
        <v>0.10000770475383311</v>
      </c>
      <c r="H310" s="391"/>
      <c r="I310" s="361">
        <f>((I280+G280)/2)/I13</f>
        <v>9.0431698833799354E-2</v>
      </c>
      <c r="J310" s="361">
        <f>((J280+I280)/2)/J13</f>
        <v>8.9980577322349473E-2</v>
      </c>
      <c r="K310" s="361">
        <f>((K280+J280)/2)/K13</f>
        <v>9.0851503634060152E-2</v>
      </c>
      <c r="L310" s="361">
        <f>((L280+K280)/2)/L13</f>
        <v>9.1238555442522892E-2</v>
      </c>
      <c r="M310" s="391"/>
      <c r="N310" s="361">
        <f>((N280+L280)/2)/N13</f>
        <v>0.10122899915016016</v>
      </c>
      <c r="O310" s="361">
        <f>((O280+N280)/2)/O13</f>
        <v>9.9736406546925768E-2</v>
      </c>
      <c r="P310" s="361">
        <f>((P280+O280)/2)/P13</f>
        <v>0.1018395255960305</v>
      </c>
      <c r="Q310" s="361">
        <f>((Q280+P280)/2)/Q13</f>
        <v>0.10104466270047695</v>
      </c>
      <c r="R310" s="392"/>
      <c r="S310" s="361">
        <f>((S280+Q280)/2)/S13</f>
        <v>0.10535421064977715</v>
      </c>
      <c r="T310" s="361">
        <f>((T280+S280)/2)/T13</f>
        <v>0.1024741921005386</v>
      </c>
      <c r="U310" s="361">
        <f>((U280+T280)/2)/U13</f>
        <v>0.10890652557319223</v>
      </c>
      <c r="V310" s="361">
        <f>((V280+U280)/2)/V13</f>
        <v>0.10557645869601842</v>
      </c>
      <c r="W310" s="391"/>
      <c r="X310" s="243">
        <f>+S310</f>
        <v>0.10535421064977715</v>
      </c>
      <c r="Y310" s="243">
        <f t="shared" si="243"/>
        <v>0.1024741921005386</v>
      </c>
      <c r="Z310" s="243">
        <f t="shared" si="244"/>
        <v>0.10890652557319223</v>
      </c>
      <c r="AA310" s="243">
        <f t="shared" si="245"/>
        <v>0.10557645869601842</v>
      </c>
      <c r="AB310" s="391"/>
      <c r="AC310" s="243">
        <f>+X310</f>
        <v>0.10535421064977715</v>
      </c>
      <c r="AD310" s="243">
        <f t="shared" si="246"/>
        <v>0.1024741921005386</v>
      </c>
      <c r="AE310" s="243">
        <f t="shared" si="247"/>
        <v>0.10890652557319223</v>
      </c>
      <c r="AF310" s="243">
        <f t="shared" si="248"/>
        <v>0.10557645869601842</v>
      </c>
      <c r="AG310" s="391"/>
      <c r="AH310" s="243">
        <f>+AC310</f>
        <v>0.10535421064977715</v>
      </c>
      <c r="AI310" s="243">
        <f t="shared" si="249"/>
        <v>0.1024741921005386</v>
      </c>
      <c r="AJ310" s="243">
        <f t="shared" si="250"/>
        <v>0.10890652557319223</v>
      </c>
      <c r="AK310" s="243">
        <f t="shared" si="251"/>
        <v>0.10557645869601842</v>
      </c>
      <c r="AL310" s="391"/>
      <c r="AM310" s="243">
        <f>+AH310</f>
        <v>0.10535421064977715</v>
      </c>
      <c r="AN310" s="243">
        <f t="shared" si="252"/>
        <v>0.1024741921005386</v>
      </c>
      <c r="AO310" s="243">
        <f t="shared" si="253"/>
        <v>0.10890652557319223</v>
      </c>
      <c r="AP310" s="243">
        <f t="shared" si="254"/>
        <v>0.10557645869601842</v>
      </c>
      <c r="AQ310" s="391"/>
      <c r="AR310" s="243">
        <f>+AM310</f>
        <v>0.10535421064977715</v>
      </c>
      <c r="AS310" s="243">
        <f t="shared" si="255"/>
        <v>0.1024741921005386</v>
      </c>
      <c r="AT310" s="243">
        <f t="shared" si="256"/>
        <v>0.10890652557319223</v>
      </c>
      <c r="AU310" s="243">
        <f t="shared" si="257"/>
        <v>0.10557645869601842</v>
      </c>
      <c r="AV310" s="391"/>
    </row>
    <row r="311" spans="2:48" outlineLevel="1" x14ac:dyDescent="0.25">
      <c r="B311" s="695" t="s">
        <v>300</v>
      </c>
      <c r="C311" s="696"/>
      <c r="D311" s="145"/>
      <c r="E311" s="145">
        <f>+E321/((E264+D264)/2)</f>
        <v>1.4636169044390402E-2</v>
      </c>
      <c r="F311" s="145">
        <f>+F321/((F264+E264)/2)</f>
        <v>1.4527685868922146E-2</v>
      </c>
      <c r="G311" s="145">
        <f>+G321/((G264+F264)/2)</f>
        <v>1.4336378291241268E-2</v>
      </c>
      <c r="H311" s="178"/>
      <c r="I311" s="145">
        <f>+I321/((I264+H264)/2)</f>
        <v>1.5535164338494204E-2</v>
      </c>
      <c r="J311" s="145">
        <f>+J321/((J264+I264)/2)</f>
        <v>1.5251599872216325E-2</v>
      </c>
      <c r="K311" s="145">
        <f>+K321/((K264+J264)/2)</f>
        <v>1.5445424141076315E-2</v>
      </c>
      <c r="L311" s="145">
        <f>+L321/((L264+K264)/2)</f>
        <v>1.5023212257666023E-2</v>
      </c>
      <c r="M311" s="178"/>
      <c r="N311" s="145">
        <f>+N321/((N264+M264)/2)</f>
        <v>1.470156412113619E-2</v>
      </c>
      <c r="O311" s="145">
        <f>+O321/((O264+N264)/2)</f>
        <v>1.4430234777629319E-2</v>
      </c>
      <c r="P311" s="145">
        <f>+P321/((P264+O264)/2)</f>
        <v>1.4607357573617551E-2</v>
      </c>
      <c r="Q311" s="145">
        <f>+Q321/((Q264+P264)/2)</f>
        <v>1.4648669382089171E-2</v>
      </c>
      <c r="R311" s="178"/>
      <c r="S311" s="145">
        <f>+S321/((S264+R264)/2)</f>
        <v>1.4500165998187479E-2</v>
      </c>
      <c r="T311" s="145">
        <f>+T321/((T264+S264)/2)</f>
        <v>1.4548393614871691E-2</v>
      </c>
      <c r="U311" s="145">
        <f>+U321/((U264+T264)/2)</f>
        <v>1.47149094367354E-2</v>
      </c>
      <c r="V311" s="145">
        <f>+V321/((V264+U264)/2)</f>
        <v>1.4718504355215637E-2</v>
      </c>
      <c r="W311" s="392"/>
      <c r="X311" s="243">
        <f>+V311</f>
        <v>1.4718504355215637E-2</v>
      </c>
      <c r="Y311" s="243">
        <f>+X311</f>
        <v>1.4718504355215637E-2</v>
      </c>
      <c r="Z311" s="243">
        <f t="shared" ref="Z311:AA311" si="258">+Y311</f>
        <v>1.4718504355215637E-2</v>
      </c>
      <c r="AA311" s="243">
        <f t="shared" si="258"/>
        <v>1.4718504355215637E-2</v>
      </c>
      <c r="AB311" s="392"/>
      <c r="AC311" s="243">
        <f>+AA311</f>
        <v>1.4718504355215637E-2</v>
      </c>
      <c r="AD311" s="243">
        <f>+AC311</f>
        <v>1.4718504355215637E-2</v>
      </c>
      <c r="AE311" s="243">
        <f t="shared" ref="AE311:AF311" si="259">+AD311</f>
        <v>1.4718504355215637E-2</v>
      </c>
      <c r="AF311" s="243">
        <f t="shared" si="259"/>
        <v>1.4718504355215637E-2</v>
      </c>
      <c r="AG311" s="392"/>
      <c r="AH311" s="243">
        <f>+AF311</f>
        <v>1.4718504355215637E-2</v>
      </c>
      <c r="AI311" s="243">
        <f>+AH311</f>
        <v>1.4718504355215637E-2</v>
      </c>
      <c r="AJ311" s="243">
        <f t="shared" ref="AJ311:AK311" si="260">+AI311</f>
        <v>1.4718504355215637E-2</v>
      </c>
      <c r="AK311" s="243">
        <f t="shared" si="260"/>
        <v>1.4718504355215637E-2</v>
      </c>
      <c r="AL311" s="392"/>
      <c r="AM311" s="243">
        <f>+AK311</f>
        <v>1.4718504355215637E-2</v>
      </c>
      <c r="AN311" s="243">
        <f>+AM311</f>
        <v>1.4718504355215637E-2</v>
      </c>
      <c r="AO311" s="243">
        <f t="shared" ref="AO311:AP311" si="261">+AN311</f>
        <v>1.4718504355215637E-2</v>
      </c>
      <c r="AP311" s="243">
        <f t="shared" si="261"/>
        <v>1.4718504355215637E-2</v>
      </c>
      <c r="AQ311" s="178"/>
      <c r="AR311" s="243">
        <f>+AP311</f>
        <v>1.4718504355215637E-2</v>
      </c>
      <c r="AS311" s="243">
        <f>+AR311</f>
        <v>1.4718504355215637E-2</v>
      </c>
      <c r="AT311" s="243">
        <f t="shared" ref="AT311" si="262">+AS311</f>
        <v>1.4718504355215637E-2</v>
      </c>
      <c r="AU311" s="243">
        <f t="shared" ref="AU311" si="263">+AT311</f>
        <v>1.4718504355215637E-2</v>
      </c>
      <c r="AV311" s="178"/>
    </row>
    <row r="312" spans="2:48" s="110" customFormat="1" outlineLevel="1" x14ac:dyDescent="0.25">
      <c r="B312" s="699" t="s">
        <v>80</v>
      </c>
      <c r="C312" s="700"/>
      <c r="D312" s="380">
        <f>(D277+D272+D271)/(D297)</f>
        <v>0.47490675914414709</v>
      </c>
      <c r="E312" s="381">
        <f>(E277+E272+E271)/(E297)</f>
        <v>0.56671114076050699</v>
      </c>
      <c r="F312" s="381">
        <f>(F277+F272+F271)/(F297)</f>
        <v>0.59244782578348576</v>
      </c>
      <c r="G312" s="381">
        <f>(G277+G272+G271)/(G297)</f>
        <v>0.99840394660475917</v>
      </c>
      <c r="H312" s="382"/>
      <c r="I312" s="380">
        <f>(I277+I272+I271)/(I297)</f>
        <v>0.97454391175222743</v>
      </c>
      <c r="J312" s="381">
        <f>(J277+J272+J271)/(J297)</f>
        <v>0.93565480696442094</v>
      </c>
      <c r="K312" s="381">
        <f>(K277+K272+K271)/(K297)</f>
        <v>0.97194415173867232</v>
      </c>
      <c r="L312" s="381">
        <f>(L277+L272+L271)/(L297)</f>
        <v>0.92894916941454608</v>
      </c>
      <c r="M312" s="382"/>
      <c r="N312" s="380">
        <f>(N277+N272+N271)/(N297)</f>
        <v>0.91202310747382354</v>
      </c>
      <c r="O312" s="381">
        <f>(O277+O272+O271)/(O297)</f>
        <v>0.90536499560246264</v>
      </c>
      <c r="P312" s="381">
        <f>(P277+P272+P271)/(P297)</f>
        <v>0.93045411241664022</v>
      </c>
      <c r="Q312" s="381">
        <f>(Q277+Q272+Q271)/(Q297)</f>
        <v>0.85419241862381545</v>
      </c>
      <c r="R312" s="382"/>
      <c r="S312" s="380">
        <f>(S277+S272+S271)/(S297)</f>
        <v>0.88374276326083556</v>
      </c>
      <c r="T312" s="381">
        <f>(T277+T272+T271)/(T297)</f>
        <v>0.89618534259355243</v>
      </c>
      <c r="U312" s="381">
        <f>(U277+U272+U271)/(U297)</f>
        <v>0.92570624308836835</v>
      </c>
      <c r="V312" s="381">
        <f>(V277+V272+V271)/(V297)</f>
        <v>0.99008841583600837</v>
      </c>
      <c r="W312" s="382"/>
      <c r="X312" s="383">
        <f>+V312</f>
        <v>0.99008841583600837</v>
      </c>
      <c r="Y312" s="383">
        <f>+X312</f>
        <v>0.99008841583600837</v>
      </c>
      <c r="Z312" s="383">
        <f>+Y312</f>
        <v>0.99008841583600837</v>
      </c>
      <c r="AA312" s="383">
        <f>+Z312</f>
        <v>0.99008841583600837</v>
      </c>
      <c r="AB312" s="382"/>
      <c r="AC312" s="383">
        <f>+AA312</f>
        <v>0.99008841583600837</v>
      </c>
      <c r="AD312" s="383">
        <f>+AC312</f>
        <v>0.99008841583600837</v>
      </c>
      <c r="AE312" s="383">
        <f>+AD312</f>
        <v>0.99008841583600837</v>
      </c>
      <c r="AF312" s="383">
        <f>+AE312</f>
        <v>0.99008841583600837</v>
      </c>
      <c r="AG312" s="382"/>
      <c r="AH312" s="383">
        <f>+AF312-0.5%</f>
        <v>0.98508841583600837</v>
      </c>
      <c r="AI312" s="383">
        <f>+AH312-0.5%</f>
        <v>0.98008841583600836</v>
      </c>
      <c r="AJ312" s="383">
        <f>+AI312-0.5%</f>
        <v>0.97508841583600836</v>
      </c>
      <c r="AK312" s="383">
        <f>+AJ312-0.5%</f>
        <v>0.97008841583600836</v>
      </c>
      <c r="AL312" s="382"/>
      <c r="AM312" s="383">
        <f>+AK312-0.5%</f>
        <v>0.96508841583600835</v>
      </c>
      <c r="AN312" s="383">
        <f>+AM312-0.5%</f>
        <v>0.96008841583600835</v>
      </c>
      <c r="AO312" s="383">
        <f>+AN312-0.5%</f>
        <v>0.95508841583600834</v>
      </c>
      <c r="AP312" s="383">
        <f>+AO312-0.5%</f>
        <v>0.95008841583600834</v>
      </c>
      <c r="AQ312" s="382"/>
      <c r="AR312" s="383">
        <f>+AP312-0.5%</f>
        <v>0.94508841583600833</v>
      </c>
      <c r="AS312" s="383">
        <f>+AR312-0.5%</f>
        <v>0.94008841583600833</v>
      </c>
      <c r="AT312" s="383">
        <f>+AS312-0.5%</f>
        <v>0.93508841583600832</v>
      </c>
      <c r="AU312" s="383">
        <f>+AT312-0.5%</f>
        <v>0.93008841583600832</v>
      </c>
      <c r="AV312" s="382"/>
    </row>
    <row r="313" spans="2:48" outlineLevel="1" x14ac:dyDescent="0.25">
      <c r="B313" s="287" t="s">
        <v>304</v>
      </c>
      <c r="C313" s="403"/>
      <c r="D313" s="192">
        <f>D271/(D271+D272+D277)</f>
        <v>0</v>
      </c>
      <c r="E313" s="232">
        <f>E271/(E271+E272+E277)</f>
        <v>0</v>
      </c>
      <c r="F313" s="232">
        <f>F271/(F271+F272+F277)</f>
        <v>0</v>
      </c>
      <c r="G313" s="232">
        <f>G271/(G271+G272+G277)</f>
        <v>0</v>
      </c>
      <c r="H313" s="61"/>
      <c r="I313" s="192">
        <f>I271/(I271+I272+I277)</f>
        <v>0</v>
      </c>
      <c r="J313" s="232">
        <f>J271/(J271+J272+J277)</f>
        <v>0</v>
      </c>
      <c r="K313" s="232">
        <f>K271/(K271+K272+K277)</f>
        <v>0</v>
      </c>
      <c r="L313" s="232">
        <f>L271/(L271+L272+L277)</f>
        <v>0</v>
      </c>
      <c r="M313" s="61"/>
      <c r="N313" s="192">
        <f>N271/(N271+N272+N277)</f>
        <v>0</v>
      </c>
      <c r="O313" s="232">
        <f>O271/(O271+O272+O277)</f>
        <v>1.6190661226604494E-2</v>
      </c>
      <c r="P313" s="232">
        <f>P271/(P271+P272+P277)</f>
        <v>4.5449374288964735E-2</v>
      </c>
      <c r="Q313" s="232">
        <f>Q271/(Q271+Q272+Q277)</f>
        <v>0</v>
      </c>
      <c r="R313" s="207"/>
      <c r="S313" s="192">
        <f>S271/(S271+S272+S277)</f>
        <v>1.7646364494806423E-2</v>
      </c>
      <c r="T313" s="232">
        <f>T271/(T271+T272+T277)</f>
        <v>1.4458388757156902E-2</v>
      </c>
      <c r="U313" s="232">
        <f>U271/(U271+U272+U277)</f>
        <v>1.221763683753258E-2</v>
      </c>
      <c r="V313" s="232">
        <f>V271/(V271+V272+V277)</f>
        <v>0</v>
      </c>
      <c r="W313" s="61"/>
      <c r="X313" s="242">
        <f>AVERAGE(V313,U313,T313,S313)</f>
        <v>1.1080597522373977E-2</v>
      </c>
      <c r="Y313" s="242">
        <f>AVERAGE(X313,V313,U313,T313)</f>
        <v>9.4391557792658648E-3</v>
      </c>
      <c r="Z313" s="242">
        <f>AVERAGE(Y313,X313,V313,U313)</f>
        <v>8.1843475347931054E-3</v>
      </c>
      <c r="AA313" s="242">
        <f>AVERAGE(Z313,Y313,X313,V313)</f>
        <v>7.1760252091082367E-3</v>
      </c>
      <c r="AB313" s="61"/>
      <c r="AC313" s="242">
        <f>AVERAGE(AA313,Z313,Y313,X313)</f>
        <v>8.9700315113852951E-3</v>
      </c>
      <c r="AD313" s="242">
        <f>AVERAGE(AC313,AA313,Z313,Y313)</f>
        <v>8.4423900086381259E-3</v>
      </c>
      <c r="AE313" s="242">
        <f>AVERAGE(AD313,AC313,AA313,Z313)</f>
        <v>8.1931985659811912E-3</v>
      </c>
      <c r="AF313" s="242">
        <f>AVERAGE(AE313,AD313,AC313,AA313)</f>
        <v>8.1954113237782122E-3</v>
      </c>
      <c r="AG313" s="61"/>
      <c r="AH313" s="242">
        <f>AVERAGE(AF313,AE313,AD313,AC313)</f>
        <v>8.450257852445707E-3</v>
      </c>
      <c r="AI313" s="242">
        <f>AVERAGE(AH313,AF313,AE313,AD313)</f>
        <v>8.3203144377108091E-3</v>
      </c>
      <c r="AJ313" s="242">
        <f>AVERAGE(AI313,AH313,AF313,AE313)</f>
        <v>8.2897955449789795E-3</v>
      </c>
      <c r="AK313" s="242">
        <f>AVERAGE(AJ313,AI313,AH313,AF313)</f>
        <v>8.3139447897284269E-3</v>
      </c>
      <c r="AL313" s="61"/>
      <c r="AM313" s="242">
        <f>AVERAGE(AK313,AJ313,AI313,AH313)</f>
        <v>8.3435781562159802E-3</v>
      </c>
      <c r="AN313" s="242">
        <f>AVERAGE(AM313,AK313,AJ313,AI313)</f>
        <v>8.3169082321585489E-3</v>
      </c>
      <c r="AO313" s="242">
        <f>AVERAGE(AN313,AM313,AK313,AJ313)</f>
        <v>8.3160566807704839E-3</v>
      </c>
      <c r="AP313" s="242">
        <f>AVERAGE(AO313,AN313,AM313,AK313)</f>
        <v>8.3226219647183595E-3</v>
      </c>
      <c r="AQ313" s="61"/>
      <c r="AR313" s="242">
        <f>AVERAGE(AP313,AO313,AN313,AM313)</f>
        <v>8.324791258465844E-3</v>
      </c>
      <c r="AS313" s="242">
        <f>AVERAGE(AR313,AP313,AO313,AN313)</f>
        <v>8.3200945340283095E-3</v>
      </c>
      <c r="AT313" s="242">
        <f>AVERAGE(AS313,AR313,AP313,AO313)</f>
        <v>8.3208911094957497E-3</v>
      </c>
      <c r="AU313" s="242">
        <f>AVERAGE(AT313,AS313,AR313,AP313)</f>
        <v>8.3220997166770644E-3</v>
      </c>
      <c r="AV313" s="61"/>
    </row>
    <row r="314" spans="2:48" outlineLevel="1" x14ac:dyDescent="0.25">
      <c r="B314" s="287" t="s">
        <v>305</v>
      </c>
      <c r="C314" s="403"/>
      <c r="D314" s="192">
        <f>D272/(D271+D272+D277)</f>
        <v>1.9289060347203086E-3</v>
      </c>
      <c r="E314" s="232">
        <f>E272/(E271+E272+E277)</f>
        <v>1.64802825191289E-3</v>
      </c>
      <c r="F314" s="232">
        <f>F272/(F271+F272+F277)</f>
        <v>1.2959472196041471E-3</v>
      </c>
      <c r="G314" s="232">
        <f>G272/(G271+G272+G277)</f>
        <v>2.1072518529283535E-3</v>
      </c>
      <c r="H314" s="61"/>
      <c r="I314" s="192">
        <f>I272/(I271+I272+I277)</f>
        <v>3.4102452474241763E-3</v>
      </c>
      <c r="J314" s="232">
        <f>J272/(J271+J272+J277)</f>
        <v>3.162694910267726E-3</v>
      </c>
      <c r="K314" s="232">
        <f>K272/(K271+K272+K277)</f>
        <v>3.0491936576771922E-3</v>
      </c>
      <c r="L314" s="232">
        <f>L272/(L271+L272+L277)</f>
        <v>1.4734445114191949E-3</v>
      </c>
      <c r="M314" s="61"/>
      <c r="N314" s="192">
        <f>N272/(N271+N272+N277)</f>
        <v>1.253628925837952E-3</v>
      </c>
      <c r="O314" s="232">
        <f>O272/(O271+O272+O277)</f>
        <v>7.1238909397059781E-4</v>
      </c>
      <c r="P314" s="232">
        <f>P272/(P271+P272+P277)</f>
        <v>4.3458475540386801E-2</v>
      </c>
      <c r="Q314" s="232">
        <f>Q272/(Q271+Q272+Q277)</f>
        <v>8.091649080494423E-2</v>
      </c>
      <c r="R314" s="207"/>
      <c r="S314" s="192">
        <f>S272/(S271+S272+S277)</f>
        <v>8.2861189801699722E-2</v>
      </c>
      <c r="T314" s="232">
        <f>T272/(T271+T272+T277)</f>
        <v>3.7129142328378925E-2</v>
      </c>
      <c r="U314" s="232">
        <f>U272/(U271+U272+U277)</f>
        <v>5.2834491746307562E-2</v>
      </c>
      <c r="V314" s="232">
        <f>V272/(V271+V272+V277)</f>
        <v>5.4831920823616404E-2</v>
      </c>
      <c r="W314" s="61"/>
      <c r="X314" s="242">
        <f>AVERAGE(V314,U314,T314,S314)</f>
        <v>5.6914186175000644E-2</v>
      </c>
      <c r="Y314" s="242">
        <f>AVERAGE(X314,V314,U314,T314)</f>
        <v>5.0427435268325882E-2</v>
      </c>
      <c r="Z314" s="242">
        <f>AVERAGE(Y314,X314,V314,U314)</f>
        <v>5.3752008503312618E-2</v>
      </c>
      <c r="AA314" s="242">
        <f>AVERAGE(Z314,Y314,X314,V314)</f>
        <v>5.3981387692563887E-2</v>
      </c>
      <c r="AB314" s="61"/>
      <c r="AC314" s="242">
        <f>AVERAGE(AA314,Z314,Y314,X314)</f>
        <v>5.3768754409800765E-2</v>
      </c>
      <c r="AD314" s="242">
        <f>AVERAGE(AC314,AA314,Z314,Y314)</f>
        <v>5.2982396468500788E-2</v>
      </c>
      <c r="AE314" s="242">
        <f>AVERAGE(AD314,AC314,AA314,Z314)</f>
        <v>5.3621136768544519E-2</v>
      </c>
      <c r="AF314" s="242">
        <f>AVERAGE(AE314,AD314,AC314,AA314)</f>
        <v>5.3588418834852491E-2</v>
      </c>
      <c r="AG314" s="61"/>
      <c r="AH314" s="242">
        <f>AVERAGE(AF314,AE314,AD314,AC314)</f>
        <v>5.3490176620424643E-2</v>
      </c>
      <c r="AI314" s="242">
        <f>AVERAGE(AH314,AF314,AE314,AD314)</f>
        <v>5.3420532173080612E-2</v>
      </c>
      <c r="AJ314" s="242">
        <f>AVERAGE(AI314,AH314,AF314,AE314)</f>
        <v>5.3530066099225566E-2</v>
      </c>
      <c r="AK314" s="242">
        <f>AVERAGE(AJ314,AI314,AH314,AF314)</f>
        <v>5.3507298431895833E-2</v>
      </c>
      <c r="AL314" s="61"/>
      <c r="AM314" s="242">
        <f>AVERAGE(AK314,AJ314,AI314,AH314)</f>
        <v>5.3487018331156669E-2</v>
      </c>
      <c r="AN314" s="242">
        <f>AVERAGE(AM314,AK314,AJ314,AI314)</f>
        <v>5.3486228758839668E-2</v>
      </c>
      <c r="AO314" s="242">
        <f>AVERAGE(AN314,AM314,AK314,AJ314)</f>
        <v>5.3502652905279433E-2</v>
      </c>
      <c r="AP314" s="242">
        <f>AVERAGE(AO314,AN314,AM314,AK314)</f>
        <v>5.3495799606792904E-2</v>
      </c>
      <c r="AQ314" s="61"/>
      <c r="AR314" s="242">
        <f>AVERAGE(AP314,AO314,AN314,AM314)</f>
        <v>5.3492924900517172E-2</v>
      </c>
      <c r="AS314" s="242">
        <f>AVERAGE(AR314,AP314,AO314,AN314)</f>
        <v>5.3494401542857298E-2</v>
      </c>
      <c r="AT314" s="242">
        <f>AVERAGE(AS314,AR314,AP314,AO314)</f>
        <v>5.3496444738861698E-2</v>
      </c>
      <c r="AU314" s="242">
        <f>AVERAGE(AT314,AS314,AR314,AP314)</f>
        <v>5.3494892697257268E-2</v>
      </c>
      <c r="AV314" s="61"/>
    </row>
    <row r="315" spans="2:48" outlineLevel="1" x14ac:dyDescent="0.25">
      <c r="B315" s="689" t="s">
        <v>303</v>
      </c>
      <c r="C315" s="690"/>
      <c r="D315" s="44"/>
      <c r="E315" s="271"/>
      <c r="F315" s="44"/>
      <c r="G315" s="44"/>
      <c r="H315" s="63"/>
      <c r="I315" s="44"/>
      <c r="J315" s="44"/>
      <c r="K315" s="44"/>
      <c r="L315" s="44"/>
      <c r="M315" s="63"/>
      <c r="N315" s="272" t="str">
        <f>(ROUND(((((N271+N272+N277)+(L271+L272+L277)+(K271+K272+K277)+(J271+J272+J277))/4)/(N36+L36+K36+J36+N211+L211+K211+J211)),0))&amp;"x"</f>
        <v>2x</v>
      </c>
      <c r="O315" s="272" t="str">
        <f>(ROUND(((((O271+O272+O277)+(N271+N272+N277)+(L271+L272+L277)+(K271+K272+K277))/4)/(O36+N36+L36+K36+O211+N211+L211+K211)),0))&amp;"x"</f>
        <v>2x</v>
      </c>
      <c r="P315" s="272" t="str">
        <f>(ROUND(((((P271+P272+P277)+(O271+O272+O277)+(N271+N272+N277)+(L271+L272+L277))/4)/(P36+O36+N36+L36+P211+O211+N211+L211)),0))&amp;"x"</f>
        <v>2x</v>
      </c>
      <c r="Q315" s="272" t="str">
        <f>(ROUND(((((Q271+Q272+Q277)+(P271+P272+P277)+(O271+O272+O277)+(N271+N272+N277))/4)/(Q36+P36+O36+N36+Q211+P211+O211+N211)),0))&amp;"x"</f>
        <v>2x</v>
      </c>
      <c r="R315" s="304" t="str">
        <f>(ROUND(((((Q271+Q272+Q277)+(P271+P272+P277)+(O271+O272+O277)+(N271+N272+N277))/4)/(R36+R211)),0))&amp;"x"</f>
        <v>2x</v>
      </c>
      <c r="S315" s="272" t="str">
        <f>(ROUND(((((S271+S272+S277)+(Q271+Q272+Q277)+(P271+P272+P277)+(O271+O272+O277))/4)/(S36+Q36+P36+O36+S211+Q211+P211+O211)),0))&amp;"x"</f>
        <v>2x</v>
      </c>
      <c r="T315" s="272" t="str">
        <f>(ROUND(((((T271+T272+T277)+(S271+S272+S277)+(Q271+Q272+Q277)+(P271+P272+P277))/4)/(T36+S36+Q36+P36+T211+S211+Q211+P211)),0))&amp;"x"</f>
        <v>2x</v>
      </c>
      <c r="U315" s="272" t="str">
        <f>(ROUND(((((U271+U272+U277)+(T271+T272+T277)+(S271+S272+S277)+(Q271+Q272+Q277))/4)/(U36+T36+S36+Q36+U211+T211+S211+Q211)),0))&amp;"x"</f>
        <v>2x</v>
      </c>
      <c r="V315" s="272" t="str">
        <f>(ROUND(((((V271+V272+V277)+(U271+U272+U277)+(T271+T272+T277)+(S271+S272+S277))/4)/(V36+U36+T36+S36+V211+U211+T211+S211)),0))&amp;"x"</f>
        <v>2x</v>
      </c>
      <c r="W315" s="304" t="str">
        <f>(ROUND(((((V271+V272+V277)+(U271+U272+U277)+(T271+T272+T277)+(S271+S272+S277))/4)/(W36+W211)),0))&amp;"x"</f>
        <v>2x</v>
      </c>
      <c r="X315" s="272" t="str">
        <f>(ROUND(((((X271+X272+X277)+(V271+V272+V277)+(U271+U272+U277)+(T271+T272+T277))/4)/(X36+V36+U36+T36+X211+V211+U211+T211)),0))&amp;"x"</f>
        <v>2x</v>
      </c>
      <c r="Y315" s="272" t="str">
        <f>(ROUND(((((Y271+Y272+Y277)+(X271+X272+X277)+(V271+V272+V277)+(U271+U272+U277))/4)/(Y36+X36+V36+U36+Y211+X211+V211+U211)),0))&amp;"x"</f>
        <v>2x</v>
      </c>
      <c r="Z315" s="272" t="str">
        <f>(ROUND(((((Z271+Z272+Z277)+(Y271+Y272+Y277)+(X271+X272+X277)+(V271+V272+V277))/4)/(Z36+Y36+X36+V36+Z211+Y211+X211+V211)),0))&amp;"x"</f>
        <v>2x</v>
      </c>
      <c r="AA315" s="272" t="str">
        <f>(ROUND(((((AA271+AA272+AA277)+(Z271+Z272+Z277)+(Y271+Y272+Y277)+(X271+X272+X277))/4)/(AA36+Z36+Y36+X36+AA211+Z211+Y211+X211)),0))&amp;"x"</f>
        <v>2x</v>
      </c>
      <c r="AB315" s="304" t="str">
        <f>(ROUND(((((AA271+AA272+AA277)+(Z271+Z272+Z277)+(Y271+Y272+Y277)+(X271+X272+X277))/4)/(AB36+AB211)),0))&amp;"x"</f>
        <v>2x</v>
      </c>
      <c r="AC315" s="272" t="str">
        <f>(ROUND(((((AC271+AC272+AC277)+(AA271+AA272+AA277)+(Z271+Z272+Z277)+(Y271+Y272+Y277))/4)/(AC36+AA36+Z36+Y36+AC211+AA211+Z211+Y211)),0))&amp;"x"</f>
        <v>2x</v>
      </c>
      <c r="AD315" s="272" t="str">
        <f>(ROUND(((((AD271+AD272+AD277)+(AC271+AC272+AC277)+(AA271+AA272+AA277)+(Z271+Z272+Z277))/4)/(AD36+AC36+AA36+Z36+AD211+AC211+AA211+Z211)),0))&amp;"x"</f>
        <v>2x</v>
      </c>
      <c r="AE315" s="272" t="str">
        <f>(ROUND(((((AE271+AE272+AE277)+(AD271+AD272+AD277)+(AC271+AC272+AC277)+(AA271+AA272+AA277))/4)/(AE36+AD36+AC36+AA36+AE211+AD211+AC211+AA211)),0))&amp;"x"</f>
        <v>2x</v>
      </c>
      <c r="AF315" s="272" t="str">
        <f>(ROUND(((((AF271+AF272+AF277)+(AE271+AE272+AE277)+(AD271+AD272+AD277)+(AC271+AC272+AC277))/4)/(AF36+AE36+AD36+AC36+AF211+AE211+AD211+AC211)),0))&amp;"x"</f>
        <v>2x</v>
      </c>
      <c r="AG315" s="304" t="str">
        <f>(ROUND(((((AF271+AF272+AF277)+(AE271+AE272+AE277)+(AD271+AD272+AD277)+(AC271+AC272+AC277))/4)/(AG36+AG211)),0))&amp;"x"</f>
        <v>2x</v>
      </c>
      <c r="AH315" s="272" t="str">
        <f>(ROUND(((((AH271+AH272+AH277)+(AF271+AF272+AF277)+(AE271+AE272+AE277)+(AD271+AD272+AD277))/4)/(AH36+AF36+AE36+AD36+AH211+AF211+AE211+AD211)),0))&amp;"x"</f>
        <v>2x</v>
      </c>
      <c r="AI315" s="272" t="str">
        <f>(ROUND(((((AI271+AI272+AI277)+(AH271+AH272+AH277)+(AF271+AF272+AF277)+(AE271+AE272+AE277))/4)/(AI36+AH36+AF36+AE36+AI211+AH211+AF211+AE211)),0))&amp;"x"</f>
        <v>2x</v>
      </c>
      <c r="AJ315" s="272" t="str">
        <f>(ROUND(((((AJ271+AJ272+AJ277)+(AI271+AI272+AI277)+(AH271+AH272+AH277)+(AF271+AF272+AF277))/4)/(AJ36+AI36+AH36+AF36+AJ211+AI211+AH211+AF211)),0))&amp;"x"</f>
        <v>2x</v>
      </c>
      <c r="AK315" s="272" t="str">
        <f>(ROUND(((((AK271+AK272+AK277)+(AJ271+AJ272+AJ277)+(AI271+AI272+AI277)+(AH271+AH272+AH277))/4)/(AK36+AJ36+AI36+AH36+AK211+AJ211+AI211+AH211)),0))&amp;"x"</f>
        <v>2x</v>
      </c>
      <c r="AL315" s="304" t="str">
        <f>(ROUND(((((AK271+AK272+AK277)+(AJ271+AJ272+AJ277)+(AI271+AI272+AI277)+(AH271+AH272+AH277))/4)/(AL36+AL211)),0))&amp;"x"</f>
        <v>2x</v>
      </c>
      <c r="AM315" s="272" t="str">
        <f>(ROUND(((((AM271+AM272+AM277)+(AK271+AK272+AK277)+(AJ271+AJ272+AJ277)+(AI271+AI272+AI277))/4)/(AM36+AK36+AJ36+AI36+AM211+AK211+AJ211+AI211)),0))&amp;"x"</f>
        <v>2x</v>
      </c>
      <c r="AN315" s="272" t="str">
        <f>(ROUND(((((AN271+AN272+AN277)+(AM271+AM272+AM277)+(AK271+AK272+AK277)+(AJ271+AJ272+AJ277))/4)/(AN36+AM36+AK36+AJ36+AN211+AM211+AK211+AJ211)),0))&amp;"x"</f>
        <v>2x</v>
      </c>
      <c r="AO315" s="272" t="str">
        <f>(ROUND(((((AO271+AO272+AO277)+(AN271+AN272+AN277)+(AM271+AM272+AM277)+(AK271+AK272+AK277))/4)/(AO36+AN36+AM36+AK36+AO211+AN211+AM211+AK211)),0))&amp;"x"</f>
        <v>2x</v>
      </c>
      <c r="AP315" s="272" t="str">
        <f>(ROUND(((((AP271+AP272+AP277)+(AO271+AO272+AO277)+(AN271+AN272+AN277)+(AM271+AM272+AM277))/4)/(AP36+AO36+AN36+AM36+AP211+AO211+AN211+AM211)),0))&amp;"x"</f>
        <v>2x</v>
      </c>
      <c r="AQ315" s="304" t="str">
        <f>(ROUND(((((AP271+AP272+AP277)+(AO271+AO272+AO277)+(AN271+AN272+AN277)+(AM271+AM272+AM277))/4)/(AQ36+AQ211)),0))&amp;"x"</f>
        <v>2x</v>
      </c>
      <c r="AR315" s="272" t="str">
        <f>(ROUND(((((AR271+AR272+AR277)+(AP271+AP272+AP277)+(AO271+AO272+AO277)+(AN271+AN272+AN277))/4)/(AR36+AP36+AO36+AN36+AR211+AP211+AO211+AN211)),0))&amp;"x"</f>
        <v>2x</v>
      </c>
      <c r="AS315" s="272" t="str">
        <f>(ROUND(((((AS271+AS272+AS277)+(AR271+AR272+AR277)+(AP271+AP272+AP277)+(AO271+AO272+AO277))/4)/(AS36+AR36+AP36+AO36+AS211+AR211+AP211+AO211)),0))&amp;"x"</f>
        <v>3x</v>
      </c>
      <c r="AT315" s="272" t="str">
        <f>(ROUND(((((AT271+AT272+AT277)+(AS271+AS272+AS277)+(AR271+AR272+AR277)+(AP271+AP272+AP277))/4)/(AT36+AS36+AR36+AP36+AT211+AS211+AR211+AP211)),0))&amp;"x"</f>
        <v>3x</v>
      </c>
      <c r="AU315" s="272" t="str">
        <f>(ROUND(((((AU271+AU272+AU277)+(AT271+AT272+AT277)+(AS271+AS272+AS277)+(AR271+AR272+AR277))/4)/(AU36+AT36+AS36+AR36+AU211+AT211+AS211+AR211)),0))&amp;"x"</f>
        <v>3x</v>
      </c>
      <c r="AV315" s="304" t="str">
        <f>(ROUND(((((AU271+AU272+AU277)+(AT271+AT272+AT277)+(AS271+AS272+AS277)+(AR271+AR272+AR277))/4)/(AV36+AV211)),0))&amp;"x"</f>
        <v>3x</v>
      </c>
    </row>
    <row r="316" spans="2:48" x14ac:dyDescent="0.25">
      <c r="B316" s="52"/>
      <c r="C316" s="52"/>
      <c r="D316" s="64"/>
      <c r="H316" s="78"/>
      <c r="M316" s="37"/>
      <c r="N316" s="37"/>
      <c r="O316" s="79"/>
      <c r="S316" s="64"/>
    </row>
    <row r="317" spans="2:48" ht="15.75" x14ac:dyDescent="0.25">
      <c r="B317" s="691" t="s">
        <v>108</v>
      </c>
      <c r="C317" s="692"/>
      <c r="D317" s="89" t="s">
        <v>116</v>
      </c>
      <c r="E317" s="89" t="s">
        <v>117</v>
      </c>
      <c r="F317" s="89" t="s">
        <v>118</v>
      </c>
      <c r="G317" s="89" t="s">
        <v>119</v>
      </c>
      <c r="H317" s="396" t="s">
        <v>119</v>
      </c>
      <c r="I317" s="89" t="s">
        <v>120</v>
      </c>
      <c r="J317" s="89" t="s">
        <v>121</v>
      </c>
      <c r="K317" s="89" t="s">
        <v>122</v>
      </c>
      <c r="L317" s="89" t="s">
        <v>123</v>
      </c>
      <c r="M317" s="396" t="s">
        <v>123</v>
      </c>
      <c r="N317" s="89" t="s">
        <v>124</v>
      </c>
      <c r="O317" s="89" t="s">
        <v>125</v>
      </c>
      <c r="P317" s="89" t="s">
        <v>126</v>
      </c>
      <c r="Q317" s="89" t="s">
        <v>127</v>
      </c>
      <c r="R317" s="396" t="s">
        <v>127</v>
      </c>
      <c r="S317" s="89" t="s">
        <v>128</v>
      </c>
      <c r="T317" s="89" t="s">
        <v>129</v>
      </c>
      <c r="U317" s="89" t="s">
        <v>130</v>
      </c>
      <c r="V317" s="89" t="s">
        <v>131</v>
      </c>
      <c r="W317" s="396" t="s">
        <v>131</v>
      </c>
      <c r="X317" s="91" t="s">
        <v>132</v>
      </c>
      <c r="Y317" s="91" t="s">
        <v>133</v>
      </c>
      <c r="Z317" s="91" t="s">
        <v>134</v>
      </c>
      <c r="AA317" s="91" t="s">
        <v>135</v>
      </c>
      <c r="AB317" s="400" t="s">
        <v>135</v>
      </c>
      <c r="AC317" s="91" t="s">
        <v>136</v>
      </c>
      <c r="AD317" s="91" t="s">
        <v>137</v>
      </c>
      <c r="AE317" s="91" t="s">
        <v>138</v>
      </c>
      <c r="AF317" s="91" t="s">
        <v>139</v>
      </c>
      <c r="AG317" s="400" t="s">
        <v>139</v>
      </c>
      <c r="AH317" s="91" t="s">
        <v>140</v>
      </c>
      <c r="AI317" s="91" t="s">
        <v>141</v>
      </c>
      <c r="AJ317" s="91" t="s">
        <v>142</v>
      </c>
      <c r="AK317" s="91" t="s">
        <v>143</v>
      </c>
      <c r="AL317" s="400" t="s">
        <v>143</v>
      </c>
      <c r="AM317" s="91" t="s">
        <v>144</v>
      </c>
      <c r="AN317" s="91" t="s">
        <v>145</v>
      </c>
      <c r="AO317" s="91" t="s">
        <v>146</v>
      </c>
      <c r="AP317" s="91" t="s">
        <v>147</v>
      </c>
      <c r="AQ317" s="400" t="s">
        <v>147</v>
      </c>
      <c r="AR317" s="91" t="s">
        <v>777</v>
      </c>
      <c r="AS317" s="91" t="s">
        <v>778</v>
      </c>
      <c r="AT317" s="91" t="s">
        <v>779</v>
      </c>
      <c r="AU317" s="91" t="s">
        <v>780</v>
      </c>
      <c r="AV317" s="400" t="s">
        <v>780</v>
      </c>
    </row>
    <row r="318" spans="2:48" ht="17.25" x14ac:dyDescent="0.4">
      <c r="B318" s="289" t="s">
        <v>3</v>
      </c>
      <c r="C318" s="402"/>
      <c r="D318" s="90" t="s">
        <v>69</v>
      </c>
      <c r="E318" s="90" t="s">
        <v>72</v>
      </c>
      <c r="F318" s="90" t="s">
        <v>73</v>
      </c>
      <c r="G318" s="90" t="s">
        <v>76</v>
      </c>
      <c r="H318" s="397" t="s">
        <v>77</v>
      </c>
      <c r="I318" s="90" t="s">
        <v>78</v>
      </c>
      <c r="J318" s="90" t="s">
        <v>89</v>
      </c>
      <c r="K318" s="90" t="s">
        <v>105</v>
      </c>
      <c r="L318" s="90" t="s">
        <v>109</v>
      </c>
      <c r="M318" s="397" t="s">
        <v>110</v>
      </c>
      <c r="N318" s="90" t="s">
        <v>111</v>
      </c>
      <c r="O318" s="90" t="s">
        <v>112</v>
      </c>
      <c r="P318" s="90" t="s">
        <v>113</v>
      </c>
      <c r="Q318" s="90" t="s">
        <v>114</v>
      </c>
      <c r="R318" s="397" t="s">
        <v>115</v>
      </c>
      <c r="S318" s="90" t="s">
        <v>492</v>
      </c>
      <c r="T318" s="90" t="s">
        <v>734</v>
      </c>
      <c r="U318" s="90" t="s">
        <v>753</v>
      </c>
      <c r="V318" s="90" t="s">
        <v>771</v>
      </c>
      <c r="W318" s="397" t="s">
        <v>773</v>
      </c>
      <c r="X318" s="88" t="s">
        <v>371</v>
      </c>
      <c r="Y318" s="88" t="s">
        <v>372</v>
      </c>
      <c r="Z318" s="88" t="s">
        <v>373</v>
      </c>
      <c r="AA318" s="88" t="s">
        <v>374</v>
      </c>
      <c r="AB318" s="401" t="s">
        <v>375</v>
      </c>
      <c r="AC318" s="88" t="s">
        <v>376</v>
      </c>
      <c r="AD318" s="88" t="s">
        <v>377</v>
      </c>
      <c r="AE318" s="88" t="s">
        <v>378</v>
      </c>
      <c r="AF318" s="88" t="s">
        <v>379</v>
      </c>
      <c r="AG318" s="401" t="s">
        <v>380</v>
      </c>
      <c r="AH318" s="88" t="s">
        <v>381</v>
      </c>
      <c r="AI318" s="88" t="s">
        <v>382</v>
      </c>
      <c r="AJ318" s="88" t="s">
        <v>383</v>
      </c>
      <c r="AK318" s="88" t="s">
        <v>384</v>
      </c>
      <c r="AL318" s="401" t="s">
        <v>385</v>
      </c>
      <c r="AM318" s="88" t="s">
        <v>386</v>
      </c>
      <c r="AN318" s="88" t="s">
        <v>387</v>
      </c>
      <c r="AO318" s="88" t="s">
        <v>388</v>
      </c>
      <c r="AP318" s="88" t="s">
        <v>389</v>
      </c>
      <c r="AQ318" s="401" t="s">
        <v>390</v>
      </c>
      <c r="AR318" s="88" t="s">
        <v>781</v>
      </c>
      <c r="AS318" s="88" t="s">
        <v>782</v>
      </c>
      <c r="AT318" s="88" t="s">
        <v>783</v>
      </c>
      <c r="AU318" s="88" t="s">
        <v>784</v>
      </c>
      <c r="AV318" s="401" t="s">
        <v>785</v>
      </c>
    </row>
    <row r="319" spans="2:48" outlineLevel="1" x14ac:dyDescent="0.25">
      <c r="B319" s="713" t="s">
        <v>13</v>
      </c>
      <c r="C319" s="714"/>
      <c r="D319" s="71"/>
      <c r="E319" s="71"/>
      <c r="F319" s="71"/>
      <c r="G319" s="71"/>
      <c r="H319" s="43"/>
      <c r="I319" s="71"/>
      <c r="J319" s="92"/>
      <c r="K319" s="71"/>
      <c r="L319" s="71"/>
      <c r="M319" s="43"/>
      <c r="N319" s="71"/>
      <c r="O319" s="71"/>
      <c r="P319" s="71"/>
      <c r="Q319" s="71"/>
      <c r="R319" s="43"/>
      <c r="S319" s="71"/>
      <c r="T319" s="71"/>
      <c r="U319" s="71"/>
      <c r="V319" s="71"/>
      <c r="W319" s="43"/>
      <c r="X319" s="71"/>
      <c r="Y319" s="71"/>
      <c r="Z319" s="71"/>
      <c r="AA319" s="71"/>
      <c r="AB319" s="43"/>
      <c r="AC319" s="71"/>
      <c r="AD319" s="71"/>
      <c r="AE319" s="71"/>
      <c r="AF319" s="71"/>
      <c r="AG319" s="43"/>
      <c r="AH319" s="71"/>
      <c r="AI319" s="71"/>
      <c r="AJ319" s="71"/>
      <c r="AK319" s="71"/>
      <c r="AL319" s="43"/>
      <c r="AM319" s="71"/>
      <c r="AN319" s="71"/>
      <c r="AO319" s="71"/>
      <c r="AP319" s="71"/>
      <c r="AQ319" s="43"/>
      <c r="AR319" s="71"/>
      <c r="AS319" s="71"/>
      <c r="AT319" s="71"/>
      <c r="AU319" s="71"/>
      <c r="AV319" s="43"/>
    </row>
    <row r="320" spans="2:48" outlineLevel="1" x14ac:dyDescent="0.25">
      <c r="B320" s="687" t="s">
        <v>14</v>
      </c>
      <c r="C320" s="688"/>
      <c r="D320" s="92">
        <f t="shared" ref="D320:AQ320" si="264">D38</f>
        <v>692</v>
      </c>
      <c r="E320" s="92">
        <f t="shared" si="264"/>
        <v>691</v>
      </c>
      <c r="F320" s="92">
        <f t="shared" si="264"/>
        <v>507</v>
      </c>
      <c r="G320" s="92">
        <f t="shared" si="264"/>
        <v>-70</v>
      </c>
      <c r="H320" s="93">
        <f t="shared" si="264"/>
        <v>1820</v>
      </c>
      <c r="I320" s="92">
        <f t="shared" si="264"/>
        <v>715</v>
      </c>
      <c r="J320" s="92">
        <f t="shared" si="264"/>
        <v>700</v>
      </c>
      <c r="K320" s="92">
        <f t="shared" si="264"/>
        <v>562</v>
      </c>
      <c r="L320" s="92">
        <f t="shared" si="264"/>
        <v>1020</v>
      </c>
      <c r="M320" s="93">
        <f t="shared" si="264"/>
        <v>2997</v>
      </c>
      <c r="N320" s="92">
        <f t="shared" si="264"/>
        <v>596</v>
      </c>
      <c r="O320" s="92">
        <f t="shared" si="264"/>
        <v>775</v>
      </c>
      <c r="P320" s="92">
        <f t="shared" si="264"/>
        <v>2074</v>
      </c>
      <c r="Q320" s="92">
        <f t="shared" si="264"/>
        <v>1127.1257859999969</v>
      </c>
      <c r="R320" s="93">
        <f t="shared" si="264"/>
        <v>4572.1257859999969</v>
      </c>
      <c r="S320" s="92">
        <f t="shared" si="264"/>
        <v>835</v>
      </c>
      <c r="T320" s="92">
        <f t="shared" si="264"/>
        <v>935</v>
      </c>
      <c r="U320" s="92">
        <f t="shared" si="264"/>
        <v>739</v>
      </c>
      <c r="V320" s="92">
        <f t="shared" si="264"/>
        <v>-1969</v>
      </c>
      <c r="W320" s="93">
        <f t="shared" si="264"/>
        <v>540</v>
      </c>
      <c r="X320" s="92">
        <f t="shared" si="264"/>
        <v>666.57662902599293</v>
      </c>
      <c r="Y320" s="92">
        <f t="shared" si="264"/>
        <v>810.52022799452561</v>
      </c>
      <c r="Z320" s="92">
        <f t="shared" si="264"/>
        <v>692.39893761791473</v>
      </c>
      <c r="AA320" s="92">
        <f t="shared" si="264"/>
        <v>1263.5762319593305</v>
      </c>
      <c r="AB320" s="93">
        <f t="shared" si="264"/>
        <v>3433.072026597762</v>
      </c>
      <c r="AC320" s="92">
        <f t="shared" si="264"/>
        <v>804.00760962602521</v>
      </c>
      <c r="AD320" s="92">
        <f t="shared" si="264"/>
        <v>934.58597473479756</v>
      </c>
      <c r="AE320" s="92">
        <f t="shared" si="264"/>
        <v>789.17231943337197</v>
      </c>
      <c r="AF320" s="92">
        <f t="shared" si="264"/>
        <v>1501.4797848618437</v>
      </c>
      <c r="AG320" s="93">
        <f t="shared" si="264"/>
        <v>4029.2456886560235</v>
      </c>
      <c r="AH320" s="92">
        <f t="shared" si="264"/>
        <v>859.01037888292046</v>
      </c>
      <c r="AI320" s="92">
        <f t="shared" si="264"/>
        <v>1025.2000340153397</v>
      </c>
      <c r="AJ320" s="92">
        <f t="shared" si="264"/>
        <v>876.10928805359163</v>
      </c>
      <c r="AK320" s="92">
        <f t="shared" si="264"/>
        <v>1665.3863046391623</v>
      </c>
      <c r="AL320" s="93">
        <f t="shared" si="264"/>
        <v>4425.7060055910033</v>
      </c>
      <c r="AM320" s="92">
        <f t="shared" si="264"/>
        <v>861.44720429378413</v>
      </c>
      <c r="AN320" s="92">
        <f t="shared" si="264"/>
        <v>1031.4766706115561</v>
      </c>
      <c r="AO320" s="92">
        <f t="shared" si="264"/>
        <v>876.36605270635346</v>
      </c>
      <c r="AP320" s="92">
        <f t="shared" si="264"/>
        <v>1696.6403709750216</v>
      </c>
      <c r="AQ320" s="93">
        <f t="shared" si="264"/>
        <v>4465.9302985867271</v>
      </c>
      <c r="AR320" s="92">
        <f t="shared" ref="AR320:AV320" si="265">AR38</f>
        <v>851.24338387728096</v>
      </c>
      <c r="AS320" s="92">
        <f t="shared" si="265"/>
        <v>1021.6639218087015</v>
      </c>
      <c r="AT320" s="92">
        <f t="shared" si="265"/>
        <v>860.36223428911171</v>
      </c>
      <c r="AU320" s="92">
        <f t="shared" si="265"/>
        <v>1705.2151505312988</v>
      </c>
      <c r="AV320" s="93">
        <f t="shared" si="265"/>
        <v>4438.484690506386</v>
      </c>
    </row>
    <row r="321" spans="2:48" outlineLevel="1" x14ac:dyDescent="0.25">
      <c r="B321" s="687" t="s">
        <v>220</v>
      </c>
      <c r="C321" s="688"/>
      <c r="D321" s="99">
        <v>648</v>
      </c>
      <c r="E321" s="92">
        <f>1301-D321</f>
        <v>653</v>
      </c>
      <c r="F321" s="92">
        <f>1964-E321-D321</f>
        <v>663</v>
      </c>
      <c r="G321" s="92">
        <f>2631-F321-E321-D321</f>
        <v>667</v>
      </c>
      <c r="H321" s="93">
        <f t="shared" ref="H321:H327" si="266">SUM(D321:G321)</f>
        <v>2631</v>
      </c>
      <c r="I321" s="99">
        <v>739</v>
      </c>
      <c r="J321" s="92">
        <f>1479-I321</f>
        <v>740</v>
      </c>
      <c r="K321" s="92">
        <f>2241-J321-I321</f>
        <v>762</v>
      </c>
      <c r="L321" s="92">
        <f>2995-K321-J321-I321</f>
        <v>754</v>
      </c>
      <c r="M321" s="93">
        <f t="shared" ref="M321:M327" si="267">SUM(I321:L321)</f>
        <v>2995</v>
      </c>
      <c r="N321" s="99">
        <v>751</v>
      </c>
      <c r="O321" s="92">
        <f>1507-N321</f>
        <v>756</v>
      </c>
      <c r="P321" s="92">
        <f>2293-O321-N321</f>
        <v>786</v>
      </c>
      <c r="Q321" s="99">
        <f>3095-P321-O321-N321</f>
        <v>802</v>
      </c>
      <c r="R321" s="93">
        <f t="shared" ref="R321:R327" si="268">SUM(N321:Q321)</f>
        <v>3095</v>
      </c>
      <c r="S321" s="99">
        <v>808</v>
      </c>
      <c r="T321" s="99">
        <f>1636-S321</f>
        <v>828</v>
      </c>
      <c r="U321" s="99">
        <f>2487-T321-S321</f>
        <v>851</v>
      </c>
      <c r="V321" s="99">
        <f>3353-U321-T321-S321</f>
        <v>866</v>
      </c>
      <c r="W321" s="93">
        <f t="shared" ref="W321:W327" si="269">SUM(S321:V321)</f>
        <v>3353</v>
      </c>
      <c r="X321" s="99">
        <f>(((V264+X264)/2)*X311)</f>
        <v>885.79519842744958</v>
      </c>
      <c r="Y321" s="99">
        <f>(((X264+Y264)/2)*Y311)</f>
        <v>906.45027778795793</v>
      </c>
      <c r="Z321" s="99">
        <f>(((X264+Z264)/2)*Z311)</f>
        <v>917.01975307193845</v>
      </c>
      <c r="AA321" s="99">
        <f>(((Y264+AA264)/2)*AA311)</f>
        <v>939.98757989163221</v>
      </c>
      <c r="AB321" s="93">
        <f t="shared" ref="AB321:AB327" si="270">SUM(X321:AA321)</f>
        <v>3649.2528091789782</v>
      </c>
      <c r="AC321" s="99">
        <f>(((AA264+AC264)/2)*AC311)</f>
        <v>973.70611974523081</v>
      </c>
      <c r="AD321" s="99">
        <f>(((AC264+AD264)/2)*AD311)</f>
        <v>996.28377574020885</v>
      </c>
      <c r="AE321" s="99">
        <f>(((AC264+AE264)/2)*AE311)</f>
        <v>1007.7383981490506</v>
      </c>
      <c r="AF321" s="99">
        <f>(((AD264+AF264)/2)*AF311)</f>
        <v>1031.6562513483832</v>
      </c>
      <c r="AG321" s="93">
        <f t="shared" ref="AG321:AG327" si="271">SUM(AC321:AF321)</f>
        <v>4009.3845449828736</v>
      </c>
      <c r="AH321" s="99">
        <f>(((AF264+AH264)/2)*AH311)</f>
        <v>1067.0265245276471</v>
      </c>
      <c r="AI321" s="99">
        <f>(((AH264+AI264)/2)*AI311)</f>
        <v>1090.8971646842717</v>
      </c>
      <c r="AJ321" s="99">
        <f>(((AH264+AJ264)/2)*AJ311)</f>
        <v>1102.9036067070829</v>
      </c>
      <c r="AK321" s="99">
        <f>(((AI264+AK264)/2)*AK311)</f>
        <v>1127.892601451759</v>
      </c>
      <c r="AL321" s="93">
        <f t="shared" ref="AL321:AL327" si="272">SUM(AH321:AK321)</f>
        <v>4388.7198973707609</v>
      </c>
      <c r="AM321" s="99">
        <f>(((AK264+AM264)/2)*AM311)</f>
        <v>1164.787508674098</v>
      </c>
      <c r="AN321" s="99">
        <f>(((AM264+AN264)/2)*AN311)</f>
        <v>1189.6984323962929</v>
      </c>
      <c r="AO321" s="99">
        <f>(((AM264+AO264)/2)*AO311)</f>
        <v>1202.1771166029212</v>
      </c>
      <c r="AP321" s="99">
        <f>(((AN264+AP264)/2)*AP311)</f>
        <v>1228.1502199058589</v>
      </c>
      <c r="AQ321" s="93">
        <f t="shared" ref="AQ321:AQ327" si="273">SUM(AM321:AP321)</f>
        <v>4784.813277579171</v>
      </c>
      <c r="AR321" s="99">
        <f>(((AP264+AR264)/2)*AR311)</f>
        <v>1266.4317959744017</v>
      </c>
      <c r="AS321" s="99">
        <f>(((AR264+AS264)/2)*AS311)</f>
        <v>1292.2272148499605</v>
      </c>
      <c r="AT321" s="99">
        <f>(((AR264+AT264)/2)*AT311)</f>
        <v>1305.1196557139592</v>
      </c>
      <c r="AU321" s="99">
        <f>(((AS264+AU264)/2)*AU311)</f>
        <v>1331.9493981210237</v>
      </c>
      <c r="AV321" s="93">
        <f t="shared" ref="AV321:AV327" si="274">SUM(AR321:AU321)</f>
        <v>5195.7280646593454</v>
      </c>
    </row>
    <row r="322" spans="2:48" outlineLevel="1" x14ac:dyDescent="0.25">
      <c r="B322" s="287" t="s">
        <v>221</v>
      </c>
      <c r="C322" s="288"/>
      <c r="D322" s="99">
        <v>28</v>
      </c>
      <c r="E322" s="92">
        <f>57-D322</f>
        <v>29</v>
      </c>
      <c r="F322" s="92">
        <f>90-E322-D322</f>
        <v>33</v>
      </c>
      <c r="G322" s="92">
        <f>121-F322-E322-D322</f>
        <v>31</v>
      </c>
      <c r="H322" s="93">
        <f t="shared" si="266"/>
        <v>121</v>
      </c>
      <c r="I322" s="99">
        <v>39</v>
      </c>
      <c r="J322" s="92">
        <f>76-I322</f>
        <v>37</v>
      </c>
      <c r="K322" s="92">
        <f>115-J322-I322</f>
        <v>39</v>
      </c>
      <c r="L322" s="92">
        <f>136-K322-J322-I322</f>
        <v>21</v>
      </c>
      <c r="M322" s="93">
        <f t="shared" si="267"/>
        <v>136</v>
      </c>
      <c r="N322" s="99">
        <v>60</v>
      </c>
      <c r="O322" s="92">
        <f>116-N322</f>
        <v>56</v>
      </c>
      <c r="P322" s="92">
        <f>177-O322-N322</f>
        <v>61</v>
      </c>
      <c r="Q322" s="99">
        <f>246-P322-O322-N322</f>
        <v>69</v>
      </c>
      <c r="R322" s="93">
        <f t="shared" si="268"/>
        <v>246</v>
      </c>
      <c r="S322" s="99">
        <v>82</v>
      </c>
      <c r="T322" s="99">
        <f>160-S322</f>
        <v>78</v>
      </c>
      <c r="U322" s="99">
        <f>221-T322-S322</f>
        <v>61</v>
      </c>
      <c r="V322" s="99">
        <f>295-U322-T322-S322</f>
        <v>74</v>
      </c>
      <c r="W322" s="93">
        <f t="shared" si="269"/>
        <v>295</v>
      </c>
      <c r="X322" s="99">
        <f>X365*(V259+V322)</f>
        <v>73.886141243092098</v>
      </c>
      <c r="Y322" s="99">
        <f>Y365*(X259+X322)</f>
        <v>63.644588712124154</v>
      </c>
      <c r="Z322" s="99">
        <f>Z365*(Y259+Y322)</f>
        <v>79.841425259883735</v>
      </c>
      <c r="AA322" s="99">
        <f>AA365*(Z259+Z322)</f>
        <v>71.940596748993229</v>
      </c>
      <c r="AB322" s="93">
        <f t="shared" si="270"/>
        <v>289.31275196409325</v>
      </c>
      <c r="AC322" s="99">
        <f>AC365*(AA259+AA322)</f>
        <v>75.426262337517969</v>
      </c>
      <c r="AD322" s="99">
        <f>AD365*(AC259+AC322)</f>
        <v>67.439792841249599</v>
      </c>
      <c r="AE322" s="99">
        <f>AE365*(AD259+AD322)</f>
        <v>83.940669426515242</v>
      </c>
      <c r="AF322" s="99">
        <f>AF365*(AE259+AE322)</f>
        <v>74.21507546026028</v>
      </c>
      <c r="AG322" s="93">
        <f t="shared" si="271"/>
        <v>301.02180006554306</v>
      </c>
      <c r="AH322" s="99">
        <f>AH365*(AF259+AF322)</f>
        <v>82.495536448192368</v>
      </c>
      <c r="AI322" s="99">
        <f>AI365*(AH259+AH322)</f>
        <v>66.528047086488854</v>
      </c>
      <c r="AJ322" s="99">
        <f>AJ365*(AI259+AI322)</f>
        <v>92.097022713024273</v>
      </c>
      <c r="AK322" s="99">
        <f>AK365*(AJ259+AJ322)</f>
        <v>73.463352998699946</v>
      </c>
      <c r="AL322" s="93">
        <f t="shared" si="272"/>
        <v>314.58395924640547</v>
      </c>
      <c r="AM322" s="99">
        <f>AM365*(AK259+AK322)</f>
        <v>90.237098730846398</v>
      </c>
      <c r="AN322" s="99">
        <f>AN365*(AM259+AM322)</f>
        <v>64.932164873445345</v>
      </c>
      <c r="AO322" s="99">
        <f>AO365*(AN259+AN322)</f>
        <v>100.21131968696298</v>
      </c>
      <c r="AP322" s="99">
        <f>AP365*(AO259+AO322)</f>
        <v>71.952052721864376</v>
      </c>
      <c r="AQ322" s="93">
        <f t="shared" si="273"/>
        <v>327.3326360131191</v>
      </c>
      <c r="AR322" s="99">
        <f>AR365*(AP259+AP322)</f>
        <v>97.971955744518112</v>
      </c>
      <c r="AS322" s="99">
        <f>AS365*(AR259+AR322)</f>
        <v>62.73374843303732</v>
      </c>
      <c r="AT322" s="99">
        <f>AT365*(AS259+AS322)</f>
        <v>108.11533905340049</v>
      </c>
      <c r="AU322" s="99">
        <f>AU365*(AT259+AT322)</f>
        <v>69.787866619357956</v>
      </c>
      <c r="AV322" s="93">
        <f t="shared" si="274"/>
        <v>338.60890985031386</v>
      </c>
    </row>
    <row r="323" spans="2:48" outlineLevel="1" x14ac:dyDescent="0.25">
      <c r="B323" s="687" t="s">
        <v>222</v>
      </c>
      <c r="C323" s="688"/>
      <c r="D323" s="92">
        <v>53</v>
      </c>
      <c r="E323" s="92">
        <f>86-D323</f>
        <v>33</v>
      </c>
      <c r="F323" s="92">
        <f>115-E323-D323</f>
        <v>29</v>
      </c>
      <c r="G323" s="92">
        <f>144-F323-E323-D323</f>
        <v>29</v>
      </c>
      <c r="H323" s="93">
        <f t="shared" si="266"/>
        <v>144</v>
      </c>
      <c r="I323" s="92">
        <v>57</v>
      </c>
      <c r="J323" s="92">
        <f>93-I323</f>
        <v>36</v>
      </c>
      <c r="K323" s="92">
        <f>123-J323-I323</f>
        <v>30</v>
      </c>
      <c r="L323" s="92">
        <f>154-K323-J323-I323</f>
        <v>31</v>
      </c>
      <c r="M323" s="93">
        <f t="shared" si="267"/>
        <v>154</v>
      </c>
      <c r="N323" s="92">
        <v>62</v>
      </c>
      <c r="O323" s="92">
        <f>103-N323</f>
        <v>41</v>
      </c>
      <c r="P323" s="92">
        <f>135-O323-N323</f>
        <v>32</v>
      </c>
      <c r="Q323" s="92">
        <f>167-P323-O323-N323</f>
        <v>32</v>
      </c>
      <c r="R323" s="93">
        <f t="shared" si="268"/>
        <v>167</v>
      </c>
      <c r="S323" s="99">
        <v>68</v>
      </c>
      <c r="T323" s="99">
        <f>108-S323</f>
        <v>40</v>
      </c>
      <c r="U323" s="92">
        <f>141-T323-S323</f>
        <v>33</v>
      </c>
      <c r="V323" s="92">
        <f>174-U323-T323-S323</f>
        <v>33</v>
      </c>
      <c r="W323" s="93">
        <f t="shared" si="269"/>
        <v>174</v>
      </c>
      <c r="X323" s="92">
        <f>X13*X366</f>
        <v>42.857756750999421</v>
      </c>
      <c r="Y323" s="92">
        <f>Y13*Y366</f>
        <v>38.660268765683732</v>
      </c>
      <c r="Z323" s="92">
        <f>Z13*Z366</f>
        <v>37.537828528949461</v>
      </c>
      <c r="AA323" s="92">
        <f>AA13*AA366</f>
        <v>39.364666017581264</v>
      </c>
      <c r="AB323" s="93">
        <f t="shared" si="270"/>
        <v>158.42052006321387</v>
      </c>
      <c r="AC323" s="92">
        <f>AC13*AC366</f>
        <v>40.075398849419159</v>
      </c>
      <c r="AD323" s="92">
        <f>AD13*AD366</f>
        <v>40.675622617888251</v>
      </c>
      <c r="AE323" s="92">
        <f>AE13*AE366</f>
        <v>39.839160111875515</v>
      </c>
      <c r="AF323" s="92">
        <f>AF13*AF366</f>
        <v>42.545589878817395</v>
      </c>
      <c r="AG323" s="93">
        <f t="shared" si="271"/>
        <v>163.13577145800031</v>
      </c>
      <c r="AH323" s="92">
        <f>AH13*AH366</f>
        <v>40.945871622979766</v>
      </c>
      <c r="AI323" s="92">
        <f>AI13*AI366</f>
        <v>42.75211343269855</v>
      </c>
      <c r="AJ323" s="92">
        <f>AJ13*AJ366</f>
        <v>41.87743293968871</v>
      </c>
      <c r="AK323" s="92">
        <f>AK13*AK366</f>
        <v>44.466760701703947</v>
      </c>
      <c r="AL323" s="93">
        <f t="shared" si="272"/>
        <v>170.04217869707097</v>
      </c>
      <c r="AM323" s="92">
        <f>AM13*AM366</f>
        <v>42.495087956583042</v>
      </c>
      <c r="AN323" s="92">
        <f>AN13*AN366</f>
        <v>44.560616629560883</v>
      </c>
      <c r="AO323" s="92">
        <f>AO13*AO366</f>
        <v>43.574957445720415</v>
      </c>
      <c r="AP323" s="92">
        <f>AP13*AP366</f>
        <v>46.145052739255249</v>
      </c>
      <c r="AQ323" s="93">
        <f t="shared" si="273"/>
        <v>176.7757147711196</v>
      </c>
      <c r="AR323" s="92">
        <f>AR13*AR366</f>
        <v>43.991567551413908</v>
      </c>
      <c r="AS323" s="92">
        <f>AS13*AS366</f>
        <v>46.113246379227412</v>
      </c>
      <c r="AT323" s="92">
        <f>AT13*AT366</f>
        <v>45.030226534163425</v>
      </c>
      <c r="AU323" s="92">
        <f>AU13*AU366</f>
        <v>47.596349506376761</v>
      </c>
      <c r="AV323" s="93">
        <f t="shared" si="274"/>
        <v>182.7313899711815</v>
      </c>
    </row>
    <row r="324" spans="2:48" outlineLevel="1" x14ac:dyDescent="0.25">
      <c r="B324" s="687" t="s">
        <v>223</v>
      </c>
      <c r="C324" s="688"/>
      <c r="D324" s="92">
        <v>20</v>
      </c>
      <c r="E324" s="92">
        <f>-48-D324</f>
        <v>-68</v>
      </c>
      <c r="F324" s="92">
        <f>288-E324-D324</f>
        <v>336</v>
      </c>
      <c r="G324" s="92">
        <f>31-F324-E324-D324</f>
        <v>-257</v>
      </c>
      <c r="H324" s="93">
        <f t="shared" si="266"/>
        <v>31</v>
      </c>
      <c r="I324" s="92">
        <v>173</v>
      </c>
      <c r="J324" s="92">
        <f>320-I324</f>
        <v>147</v>
      </c>
      <c r="K324" s="92">
        <f>474-J324-I324</f>
        <v>154</v>
      </c>
      <c r="L324" s="92">
        <f>909-K324-J324-I324</f>
        <v>435</v>
      </c>
      <c r="M324" s="93">
        <f t="shared" si="267"/>
        <v>909</v>
      </c>
      <c r="N324" s="92">
        <v>97</v>
      </c>
      <c r="O324" s="92">
        <f>327-N324</f>
        <v>230</v>
      </c>
      <c r="P324" s="92">
        <f>-914-O324-N324</f>
        <v>-1241</v>
      </c>
      <c r="Q324" s="92">
        <f>-231-P324-O324-N324</f>
        <v>683</v>
      </c>
      <c r="R324" s="93">
        <f t="shared" si="268"/>
        <v>-231</v>
      </c>
      <c r="S324" s="99">
        <v>23</v>
      </c>
      <c r="T324" s="99">
        <f>236-S324</f>
        <v>213</v>
      </c>
      <c r="U324" s="92">
        <f>250-T324-S324</f>
        <v>14</v>
      </c>
      <c r="V324" s="92">
        <f>-233-U324-T324-S324</f>
        <v>-483</v>
      </c>
      <c r="W324" s="93">
        <f t="shared" si="269"/>
        <v>-233</v>
      </c>
      <c r="X324" s="92">
        <f>X278-V278</f>
        <v>107.19800000000032</v>
      </c>
      <c r="Y324" s="92">
        <f>Y278-X278</f>
        <v>111.27152400000023</v>
      </c>
      <c r="Z324" s="92">
        <f>Z278-Y278</f>
        <v>115.49984191200019</v>
      </c>
      <c r="AA324" s="92">
        <f>AA278-Z278</f>
        <v>119.88883590465593</v>
      </c>
      <c r="AB324" s="93">
        <f t="shared" si="270"/>
        <v>453.85820181665667</v>
      </c>
      <c r="AC324" s="92">
        <f>AC278-AA278</f>
        <v>124.44461166903284</v>
      </c>
      <c r="AD324" s="92">
        <f>AD278-AC278</f>
        <v>129.17350691245611</v>
      </c>
      <c r="AE324" s="92">
        <f>AE278-AD278</f>
        <v>134.08210017512965</v>
      </c>
      <c r="AF324" s="92">
        <f>AF278-AE278</f>
        <v>139.17721998178467</v>
      </c>
      <c r="AG324" s="93">
        <f t="shared" si="271"/>
        <v>526.87743873840327</v>
      </c>
      <c r="AH324" s="92">
        <f>AH278-AF278</f>
        <v>144.46595434109258</v>
      </c>
      <c r="AI324" s="92">
        <f>AI278-AH278</f>
        <v>149.95566060605415</v>
      </c>
      <c r="AJ324" s="92">
        <f>AJ278-AI278</f>
        <v>155.65397570908408</v>
      </c>
      <c r="AK324" s="92">
        <f>AK278-AJ278</f>
        <v>161.5688267860296</v>
      </c>
      <c r="AL324" s="93">
        <f t="shared" si="272"/>
        <v>611.64441744226042</v>
      </c>
      <c r="AM324" s="92">
        <f>AM278-AK278</f>
        <v>167.7084422038979</v>
      </c>
      <c r="AN324" s="92">
        <f>AN278-AM278</f>
        <v>174.08136300764636</v>
      </c>
      <c r="AO324" s="92">
        <f>AO278-AN278</f>
        <v>180.69645480193685</v>
      </c>
      <c r="AP324" s="92">
        <f>AP278-AO278</f>
        <v>187.56292008441051</v>
      </c>
      <c r="AQ324" s="93">
        <f t="shared" si="273"/>
        <v>710.04918009789162</v>
      </c>
      <c r="AR324" s="92">
        <f>AR278-AP278</f>
        <v>194.6903110476178</v>
      </c>
      <c r="AS324" s="92">
        <f>AS278-AR278</f>
        <v>202.08854286742735</v>
      </c>
      <c r="AT324" s="92">
        <f>AT278-AS278</f>
        <v>209.76790749638985</v>
      </c>
      <c r="AU324" s="92">
        <f>AU278-AT278</f>
        <v>217.73908798125285</v>
      </c>
      <c r="AV324" s="93">
        <f t="shared" si="274"/>
        <v>824.28584939268785</v>
      </c>
    </row>
    <row r="325" spans="2:48" outlineLevel="1" x14ac:dyDescent="0.25">
      <c r="B325" s="287" t="s">
        <v>156</v>
      </c>
      <c r="C325" s="288"/>
      <c r="D325" s="92">
        <v>0</v>
      </c>
      <c r="E325" s="92">
        <f>0-D325</f>
        <v>0</v>
      </c>
      <c r="F325" s="92">
        <f>0-E325-D325</f>
        <v>0</v>
      </c>
      <c r="G325" s="92">
        <f>0-F325-E325-D325</f>
        <v>0</v>
      </c>
      <c r="H325" s="93">
        <f t="shared" si="266"/>
        <v>0</v>
      </c>
      <c r="I325" s="92"/>
      <c r="J325" s="92">
        <f>0-I325</f>
        <v>0</v>
      </c>
      <c r="K325" s="92">
        <f>0-J325-I325</f>
        <v>0</v>
      </c>
      <c r="L325" s="92">
        <f>0-K325-J325-I325</f>
        <v>0</v>
      </c>
      <c r="M325" s="93">
        <f t="shared" si="267"/>
        <v>0</v>
      </c>
      <c r="N325" s="92">
        <v>0</v>
      </c>
      <c r="O325" s="92">
        <f>0-N325</f>
        <v>0</v>
      </c>
      <c r="P325" s="92">
        <f>0-O325-N325</f>
        <v>0</v>
      </c>
      <c r="Q325" s="92">
        <f>380-P325-O325-N325</f>
        <v>380</v>
      </c>
      <c r="R325" s="93">
        <f t="shared" si="268"/>
        <v>380</v>
      </c>
      <c r="S325" s="99">
        <v>0</v>
      </c>
      <c r="T325" s="99">
        <f>+T21</f>
        <v>0</v>
      </c>
      <c r="U325" s="92">
        <f t="shared" ref="U325:U327" si="275">0-T325-S325</f>
        <v>0</v>
      </c>
      <c r="V325" s="92">
        <f>101-U325-T325-S325</f>
        <v>101</v>
      </c>
      <c r="W325" s="93">
        <f t="shared" si="269"/>
        <v>101</v>
      </c>
      <c r="X325" s="92">
        <f t="shared" ref="X325:AA326" si="276">+X21</f>
        <v>0</v>
      </c>
      <c r="Y325" s="92">
        <f t="shared" si="276"/>
        <v>0</v>
      </c>
      <c r="Z325" s="92">
        <f t="shared" si="276"/>
        <v>0</v>
      </c>
      <c r="AA325" s="92">
        <f t="shared" si="276"/>
        <v>0</v>
      </c>
      <c r="AB325" s="93">
        <f t="shared" si="270"/>
        <v>0</v>
      </c>
      <c r="AC325" s="92">
        <f t="shared" ref="AC325:AF326" si="277">+AC21</f>
        <v>0</v>
      </c>
      <c r="AD325" s="92">
        <f t="shared" si="277"/>
        <v>0</v>
      </c>
      <c r="AE325" s="92">
        <f t="shared" si="277"/>
        <v>0</v>
      </c>
      <c r="AF325" s="92">
        <f t="shared" si="277"/>
        <v>0</v>
      </c>
      <c r="AG325" s="93">
        <f t="shared" si="271"/>
        <v>0</v>
      </c>
      <c r="AH325" s="92">
        <f t="shared" ref="AH325:AK326" si="278">+AH21</f>
        <v>0</v>
      </c>
      <c r="AI325" s="92">
        <f t="shared" si="278"/>
        <v>0</v>
      </c>
      <c r="AJ325" s="92">
        <f t="shared" si="278"/>
        <v>0</v>
      </c>
      <c r="AK325" s="92">
        <f t="shared" si="278"/>
        <v>0</v>
      </c>
      <c r="AL325" s="93">
        <f t="shared" si="272"/>
        <v>0</v>
      </c>
      <c r="AM325" s="92">
        <f t="shared" ref="AM325:AP326" si="279">+AM21</f>
        <v>0</v>
      </c>
      <c r="AN325" s="92">
        <f t="shared" si="279"/>
        <v>0</v>
      </c>
      <c r="AO325" s="92">
        <f t="shared" si="279"/>
        <v>0</v>
      </c>
      <c r="AP325" s="92">
        <f t="shared" si="279"/>
        <v>0</v>
      </c>
      <c r="AQ325" s="93">
        <f t="shared" si="273"/>
        <v>0</v>
      </c>
      <c r="AR325" s="92">
        <f t="shared" ref="AR325:AU325" si="280">+AR21</f>
        <v>0</v>
      </c>
      <c r="AS325" s="92">
        <f t="shared" si="280"/>
        <v>0</v>
      </c>
      <c r="AT325" s="92">
        <f t="shared" si="280"/>
        <v>0</v>
      </c>
      <c r="AU325" s="92">
        <f t="shared" si="280"/>
        <v>0</v>
      </c>
      <c r="AV325" s="93">
        <f t="shared" si="274"/>
        <v>0</v>
      </c>
    </row>
    <row r="326" spans="2:48" outlineLevel="1" x14ac:dyDescent="0.25">
      <c r="B326" s="287" t="s">
        <v>157</v>
      </c>
      <c r="C326" s="288"/>
      <c r="D326" s="92">
        <v>0</v>
      </c>
      <c r="E326" s="92">
        <f>0-D326</f>
        <v>0</v>
      </c>
      <c r="F326" s="92">
        <f>0-E326-D326</f>
        <v>0</v>
      </c>
      <c r="G326" s="92">
        <f>1498-F326-E326-D326</f>
        <v>1498</v>
      </c>
      <c r="H326" s="93">
        <f t="shared" si="266"/>
        <v>1498</v>
      </c>
      <c r="I326" s="92"/>
      <c r="J326" s="92">
        <f>0-I326</f>
        <v>0</v>
      </c>
      <c r="K326" s="92">
        <f>0-J326-I326</f>
        <v>0</v>
      </c>
      <c r="L326" s="92">
        <f>-24-K326-J326-I326</f>
        <v>-24</v>
      </c>
      <c r="M326" s="93">
        <f t="shared" si="267"/>
        <v>-24</v>
      </c>
      <c r="N326" s="92">
        <v>0</v>
      </c>
      <c r="O326" s="92">
        <f>0-N326</f>
        <v>0</v>
      </c>
      <c r="P326" s="92">
        <f>0-O326-N326</f>
        <v>0</v>
      </c>
      <c r="Q326" s="92">
        <f>-10-P326-O326-N326</f>
        <v>-10</v>
      </c>
      <c r="R326" s="93">
        <f t="shared" si="268"/>
        <v>-10</v>
      </c>
      <c r="S326" s="99">
        <v>0</v>
      </c>
      <c r="T326" s="92">
        <f>+T22</f>
        <v>0</v>
      </c>
      <c r="U326" s="92">
        <f t="shared" si="275"/>
        <v>0</v>
      </c>
      <c r="V326" s="92">
        <f>3882-U326-T326-S326</f>
        <v>3882</v>
      </c>
      <c r="W326" s="93">
        <f t="shared" si="269"/>
        <v>3882</v>
      </c>
      <c r="X326" s="92">
        <f t="shared" si="276"/>
        <v>0</v>
      </c>
      <c r="Y326" s="92">
        <f t="shared" si="276"/>
        <v>0</v>
      </c>
      <c r="Z326" s="92">
        <f t="shared" si="276"/>
        <v>0</v>
      </c>
      <c r="AA326" s="99">
        <f t="shared" si="276"/>
        <v>0</v>
      </c>
      <c r="AB326" s="93">
        <f t="shared" si="270"/>
        <v>0</v>
      </c>
      <c r="AC326" s="92">
        <f t="shared" si="277"/>
        <v>0</v>
      </c>
      <c r="AD326" s="92">
        <f t="shared" si="277"/>
        <v>0</v>
      </c>
      <c r="AE326" s="92">
        <f t="shared" si="277"/>
        <v>0</v>
      </c>
      <c r="AF326" s="92">
        <f t="shared" si="277"/>
        <v>0</v>
      </c>
      <c r="AG326" s="93">
        <f t="shared" si="271"/>
        <v>0</v>
      </c>
      <c r="AH326" s="92">
        <f t="shared" si="278"/>
        <v>0</v>
      </c>
      <c r="AI326" s="92">
        <f t="shared" si="278"/>
        <v>0</v>
      </c>
      <c r="AJ326" s="92">
        <f t="shared" si="278"/>
        <v>0</v>
      </c>
      <c r="AK326" s="92">
        <f t="shared" si="278"/>
        <v>0</v>
      </c>
      <c r="AL326" s="93">
        <f t="shared" si="272"/>
        <v>0</v>
      </c>
      <c r="AM326" s="92">
        <f t="shared" si="279"/>
        <v>0</v>
      </c>
      <c r="AN326" s="92">
        <f t="shared" si="279"/>
        <v>0</v>
      </c>
      <c r="AO326" s="92">
        <f t="shared" si="279"/>
        <v>0</v>
      </c>
      <c r="AP326" s="92">
        <f t="shared" si="279"/>
        <v>0</v>
      </c>
      <c r="AQ326" s="93">
        <f t="shared" si="273"/>
        <v>0</v>
      </c>
      <c r="AR326" s="92">
        <f t="shared" ref="AR326:AU326" si="281">+AR22</f>
        <v>0</v>
      </c>
      <c r="AS326" s="92">
        <f t="shared" si="281"/>
        <v>0</v>
      </c>
      <c r="AT326" s="92">
        <f t="shared" si="281"/>
        <v>0</v>
      </c>
      <c r="AU326" s="92">
        <f t="shared" si="281"/>
        <v>0</v>
      </c>
      <c r="AV326" s="93">
        <f t="shared" si="274"/>
        <v>0</v>
      </c>
    </row>
    <row r="327" spans="2:48" outlineLevel="1" x14ac:dyDescent="0.25">
      <c r="B327" s="687" t="s">
        <v>224</v>
      </c>
      <c r="C327" s="688"/>
      <c r="D327" s="92">
        <v>0</v>
      </c>
      <c r="E327" s="92">
        <f>0-D327</f>
        <v>0</v>
      </c>
      <c r="F327" s="92">
        <f>0-E327-D327</f>
        <v>0</v>
      </c>
      <c r="G327" s="92">
        <f>0-F327-E327-D327</f>
        <v>0</v>
      </c>
      <c r="H327" s="93">
        <f t="shared" si="266"/>
        <v>0</v>
      </c>
      <c r="I327" s="92"/>
      <c r="J327" s="92">
        <f>-35-I327</f>
        <v>-35</v>
      </c>
      <c r="K327" s="92">
        <f>-35-J327-I327</f>
        <v>0</v>
      </c>
      <c r="L327" s="92">
        <f>-35-K327-J327-I327</f>
        <v>0</v>
      </c>
      <c r="M327" s="93">
        <f t="shared" si="267"/>
        <v>-35</v>
      </c>
      <c r="N327" s="92">
        <v>0</v>
      </c>
      <c r="O327" s="92">
        <f>0-N327</f>
        <v>0</v>
      </c>
      <c r="P327" s="92">
        <f>0-O327-N327</f>
        <v>0</v>
      </c>
      <c r="Q327" s="92">
        <f>-85-P327-O327-N327</f>
        <v>-85</v>
      </c>
      <c r="R327" s="93">
        <f t="shared" si="268"/>
        <v>-85</v>
      </c>
      <c r="S327" s="99">
        <v>0</v>
      </c>
      <c r="T327" s="99">
        <v>0</v>
      </c>
      <c r="U327" s="99">
        <f t="shared" si="275"/>
        <v>0</v>
      </c>
      <c r="V327" s="99">
        <v>-8</v>
      </c>
      <c r="W327" s="93">
        <f t="shared" si="269"/>
        <v>-8</v>
      </c>
      <c r="X327" s="99">
        <v>0</v>
      </c>
      <c r="Y327" s="99">
        <v>0</v>
      </c>
      <c r="Z327" s="99">
        <v>0</v>
      </c>
      <c r="AA327" s="99">
        <v>0</v>
      </c>
      <c r="AB327" s="111">
        <f t="shared" si="270"/>
        <v>0</v>
      </c>
      <c r="AC327" s="99">
        <v>0</v>
      </c>
      <c r="AD327" s="99">
        <v>0</v>
      </c>
      <c r="AE327" s="99">
        <v>0</v>
      </c>
      <c r="AF327" s="99">
        <v>0</v>
      </c>
      <c r="AG327" s="111">
        <f t="shared" si="271"/>
        <v>0</v>
      </c>
      <c r="AH327" s="99">
        <v>0</v>
      </c>
      <c r="AI327" s="99">
        <v>0</v>
      </c>
      <c r="AJ327" s="99">
        <v>0</v>
      </c>
      <c r="AK327" s="99">
        <v>0</v>
      </c>
      <c r="AL327" s="111">
        <f t="shared" si="272"/>
        <v>0</v>
      </c>
      <c r="AM327" s="99">
        <v>0</v>
      </c>
      <c r="AN327" s="99">
        <v>0</v>
      </c>
      <c r="AO327" s="99">
        <v>0</v>
      </c>
      <c r="AP327" s="99">
        <v>0</v>
      </c>
      <c r="AQ327" s="111">
        <f t="shared" si="273"/>
        <v>0</v>
      </c>
      <c r="AR327" s="99">
        <v>0</v>
      </c>
      <c r="AS327" s="99">
        <v>0</v>
      </c>
      <c r="AT327" s="99">
        <v>0</v>
      </c>
      <c r="AU327" s="99">
        <v>0</v>
      </c>
      <c r="AV327" s="111">
        <f t="shared" si="274"/>
        <v>0</v>
      </c>
    </row>
    <row r="328" spans="2:48" outlineLevel="1" x14ac:dyDescent="0.25">
      <c r="B328" s="697" t="s">
        <v>774</v>
      </c>
      <c r="C328" s="698"/>
      <c r="D328" s="367"/>
      <c r="E328" s="367"/>
      <c r="F328" s="367"/>
      <c r="G328" s="367"/>
      <c r="H328" s="368"/>
      <c r="I328" s="367"/>
      <c r="J328" s="367"/>
      <c r="K328" s="367"/>
      <c r="L328" s="367"/>
      <c r="M328" s="368"/>
      <c r="N328" s="367"/>
      <c r="O328" s="367"/>
      <c r="P328" s="367"/>
      <c r="Q328" s="367"/>
      <c r="R328" s="368"/>
      <c r="S328" s="369"/>
      <c r="T328" s="369"/>
      <c r="U328" s="369"/>
      <c r="V328" s="369"/>
      <c r="W328" s="368"/>
      <c r="X328" s="369"/>
      <c r="Y328" s="369"/>
      <c r="Z328" s="369"/>
      <c r="AA328" s="369"/>
      <c r="AB328" s="368"/>
      <c r="AC328" s="369"/>
      <c r="AD328" s="369"/>
      <c r="AE328" s="369"/>
      <c r="AF328" s="369"/>
      <c r="AG328" s="368"/>
      <c r="AH328" s="369"/>
      <c r="AI328" s="369"/>
      <c r="AJ328" s="369"/>
      <c r="AK328" s="369"/>
      <c r="AL328" s="368"/>
      <c r="AM328" s="369"/>
      <c r="AN328" s="369"/>
      <c r="AO328" s="369"/>
      <c r="AP328" s="369"/>
      <c r="AQ328" s="368"/>
      <c r="AR328" s="369"/>
      <c r="AS328" s="369"/>
      <c r="AT328" s="369"/>
      <c r="AU328" s="369"/>
      <c r="AV328" s="368"/>
    </row>
    <row r="329" spans="2:48" outlineLevel="1" x14ac:dyDescent="0.25">
      <c r="B329" s="695" t="s">
        <v>225</v>
      </c>
      <c r="C329" s="696"/>
      <c r="D329" s="370">
        <v>50</v>
      </c>
      <c r="E329" s="370">
        <f>-263-D329</f>
        <v>-313</v>
      </c>
      <c r="F329" s="370">
        <f>-78-E329-D329</f>
        <v>185</v>
      </c>
      <c r="G329" s="370">
        <f>-199-F329-E329-D329</f>
        <v>-121</v>
      </c>
      <c r="H329" s="371">
        <f>SUM(D329:G329)</f>
        <v>-199</v>
      </c>
      <c r="I329" s="370">
        <v>20</v>
      </c>
      <c r="J329" s="370">
        <f>-513-I329</f>
        <v>-533</v>
      </c>
      <c r="K329" s="370">
        <f>-340-J329-I329</f>
        <v>173</v>
      </c>
      <c r="L329" s="370">
        <f>-556-K329-J329-I329</f>
        <v>-216</v>
      </c>
      <c r="M329" s="371">
        <f>SUM(I329:L329)</f>
        <v>-556</v>
      </c>
      <c r="N329" s="370">
        <v>-271</v>
      </c>
      <c r="O329" s="370">
        <f>-983-N329</f>
        <v>-712</v>
      </c>
      <c r="P329" s="370">
        <f>-986-O329-N329</f>
        <v>-3</v>
      </c>
      <c r="Q329" s="370">
        <f>-1049-P329-O329-N329</f>
        <v>-63</v>
      </c>
      <c r="R329" s="371">
        <f>SUM(N329:Q329)</f>
        <v>-1049</v>
      </c>
      <c r="S329" s="370">
        <v>-380</v>
      </c>
      <c r="T329" s="370">
        <f>-1343-S329</f>
        <v>-963</v>
      </c>
      <c r="U329" s="370">
        <f>-780-T329-S329</f>
        <v>563</v>
      </c>
      <c r="V329" s="370">
        <f>-873-U329-T329-S329</f>
        <v>-93</v>
      </c>
      <c r="W329" s="371">
        <f>SUM(S329:V329)</f>
        <v>-873</v>
      </c>
      <c r="X329" s="370">
        <f>-(X259-V259)-X322</f>
        <v>871.59028380968846</v>
      </c>
      <c r="Y329" s="370">
        <f>-(Y259-X259)-Y322</f>
        <v>-2294.797842767422</v>
      </c>
      <c r="Z329" s="370">
        <f>-(Z259-Y259)-Z322</f>
        <v>1249.2030028803651</v>
      </c>
      <c r="AA329" s="370">
        <f>-(AA259-Z259)-AA322</f>
        <v>-582.25506160501607</v>
      </c>
      <c r="AB329" s="371">
        <f>SUM(X329:AA329)</f>
        <v>-756.25961768238437</v>
      </c>
      <c r="AC329" s="370">
        <f>-(AC259-AA259)-AC322</f>
        <v>887.02434272386381</v>
      </c>
      <c r="AD329" s="370">
        <f>-(AD259-AC259)-AD322</f>
        <v>-2190.6970882605151</v>
      </c>
      <c r="AE329" s="370">
        <f>-(AE259-AD259)-AE322</f>
        <v>1226.5733290112485</v>
      </c>
      <c r="AF329" s="370">
        <f>-(AF259-AE259)-AF322</f>
        <v>-1166.9550871700862</v>
      </c>
      <c r="AG329" s="371">
        <f>SUM(AC329:AF329)</f>
        <v>-1244.0545036954891</v>
      </c>
      <c r="AH329" s="370">
        <f>-(AH259-AF259)-AH322</f>
        <v>1969.328034131742</v>
      </c>
      <c r="AI329" s="370">
        <f>-(AI259-AH259)-AI322</f>
        <v>-3363.6169502718726</v>
      </c>
      <c r="AJ329" s="370">
        <f>-(AJ259-AI259)-AJ322</f>
        <v>2333.326021778073</v>
      </c>
      <c r="AK329" s="370">
        <f>-(AK259-AJ259)-AK322</f>
        <v>-2252.3135584011902</v>
      </c>
      <c r="AL329" s="371">
        <f>SUM(AH329:AK329)</f>
        <v>-1313.2764527632478</v>
      </c>
      <c r="AM329" s="370">
        <f>-(AM259-AK259)-AM322</f>
        <v>3178.3938933983259</v>
      </c>
      <c r="AN329" s="370">
        <f>-(AN259-AM259)-AN322</f>
        <v>-4622.9918856690583</v>
      </c>
      <c r="AO329" s="370">
        <f>-(AO259-AN259)-AO322</f>
        <v>3567.2217373505682</v>
      </c>
      <c r="AP329" s="370">
        <f>-(AP259-AO259)-AP322</f>
        <v>-3445.2070959181015</v>
      </c>
      <c r="AQ329" s="371">
        <f>SUM(AM329:AP329)</f>
        <v>-1322.5833508382657</v>
      </c>
      <c r="AR329" s="370">
        <f>-(AR259-AP259)-AR322</f>
        <v>4457.1160301028895</v>
      </c>
      <c r="AS329" s="370">
        <f>-(AS259-AR259)-AS322</f>
        <v>-5930.2223803509178</v>
      </c>
      <c r="AT329" s="370">
        <f>-(AT259-AS259)-AT322</f>
        <v>4863.1053500420903</v>
      </c>
      <c r="AU329" s="370">
        <f>-(AU259-AT259)-AU322</f>
        <v>-4697.7876105373552</v>
      </c>
      <c r="AV329" s="371">
        <f>SUM(AR329:AU329)</f>
        <v>-1307.7886107432932</v>
      </c>
    </row>
    <row r="330" spans="2:48" outlineLevel="1" x14ac:dyDescent="0.25">
      <c r="B330" s="695" t="s">
        <v>9</v>
      </c>
      <c r="C330" s="696"/>
      <c r="D330" s="370">
        <v>-89</v>
      </c>
      <c r="E330" s="370">
        <f>-113-D330</f>
        <v>-24</v>
      </c>
      <c r="F330" s="370">
        <f>-322-E330-D330</f>
        <v>-209</v>
      </c>
      <c r="G330" s="370">
        <f>-234-F330-E330-D330</f>
        <v>88</v>
      </c>
      <c r="H330" s="371">
        <f>SUM(D330:G330)</f>
        <v>-234</v>
      </c>
      <c r="I330" s="370">
        <v>-4</v>
      </c>
      <c r="J330" s="370">
        <f>-250-I330</f>
        <v>-246</v>
      </c>
      <c r="K330" s="370">
        <f>-235-J330-I330</f>
        <v>15</v>
      </c>
      <c r="L330" s="370">
        <f>78-K330-J330-I330</f>
        <v>313</v>
      </c>
      <c r="M330" s="371">
        <f>SUM(I330:L330)</f>
        <v>78</v>
      </c>
      <c r="N330" s="370">
        <v>-142</v>
      </c>
      <c r="O330" s="370">
        <f>-338-N330</f>
        <v>-196</v>
      </c>
      <c r="P330" s="370">
        <f>-151-O330-N330</f>
        <v>187</v>
      </c>
      <c r="Q330" s="370">
        <f>-135-P330-O330-N330</f>
        <v>16</v>
      </c>
      <c r="R330" s="371">
        <f>SUM(N330:Q330)</f>
        <v>-135</v>
      </c>
      <c r="S330" s="370">
        <v>-120</v>
      </c>
      <c r="T330" s="370">
        <f>-111-S330</f>
        <v>9</v>
      </c>
      <c r="U330" s="370">
        <f>-96-T330-S330</f>
        <v>15</v>
      </c>
      <c r="V330" s="370">
        <f>-25-U330-T330-S330</f>
        <v>71</v>
      </c>
      <c r="W330" s="371">
        <f>SUM(S330:V330)</f>
        <v>-25</v>
      </c>
      <c r="X330" s="370">
        <f>-(X261-V261)-(X262-V262)-(X260-V260)</f>
        <v>-11.551954246705236</v>
      </c>
      <c r="Y330" s="370">
        <f>-(Y261-X261)-(Y262-X262)-(Y260-X260)</f>
        <v>-29.674803226095264</v>
      </c>
      <c r="Z330" s="370">
        <f>-(Z261-Y261)-(Z262-Y262)-(Z260-Y260)</f>
        <v>10.019873723508908</v>
      </c>
      <c r="AA330" s="370">
        <f>-(AA261-Z261)-(AA262-Z262)-(AA260-Z260)</f>
        <v>-25.055605865628081</v>
      </c>
      <c r="AB330" s="371">
        <f>SUM(X330:AA330)</f>
        <v>-56.262489614919673</v>
      </c>
      <c r="AC330" s="370">
        <f>-(AC261-AA261)-(AC262-AA262)-(AC260-AA260)</f>
        <v>-14.161459418721734</v>
      </c>
      <c r="AD330" s="370">
        <f>-(AD261-AC261)-(AD262-AC262)-(AD260-AC260)</f>
        <v>-15.371764715702739</v>
      </c>
      <c r="AE330" s="370">
        <f>-(AE261-AD261)-(AE262-AD262)-(AE260-AD260)</f>
        <v>-11.332945813127253</v>
      </c>
      <c r="AF330" s="370">
        <f>-(AF261-AE261)-(AF262-AE262)-(AF260-AE260)</f>
        <v>-17.374977107412406</v>
      </c>
      <c r="AG330" s="371">
        <f>SUM(AC330:AF330)</f>
        <v>-58.241147054964131</v>
      </c>
      <c r="AH330" s="370">
        <f>-(AH261-AF261)-(AH262-AF262)-(AH260-AF260)</f>
        <v>-14.610158371409398</v>
      </c>
      <c r="AI330" s="370">
        <f>-(AI261-AH261)-(AI262-AH262)-(AI260-AH260)</f>
        <v>-15.311217343977773</v>
      </c>
      <c r="AJ330" s="370">
        <f>-(AJ261-AI261)-(AJ262-AI262)-(AJ260-AI260)</f>
        <v>-14.788831932065477</v>
      </c>
      <c r="AK330" s="370">
        <f>-(AK261-AJ261)-(AK262-AJ262)-(AK260-AJ260)</f>
        <v>-16.393475221662698</v>
      </c>
      <c r="AL330" s="371">
        <f>SUM(AH330:AK330)</f>
        <v>-61.103682869115346</v>
      </c>
      <c r="AM330" s="370">
        <f>-(AM261-AK261)-(AM262-AK262)-(AM260-AK260)</f>
        <v>-15.270087101210265</v>
      </c>
      <c r="AN330" s="370">
        <f>-(AN261-AM261)-(AN262-AM262)-(AN260-AM260)</f>
        <v>-16.04273235834205</v>
      </c>
      <c r="AO330" s="370">
        <f>-(AO261-AN261)-(AO262-AN262)-(AO260-AN260)</f>
        <v>-15.704889924313193</v>
      </c>
      <c r="AP330" s="370">
        <f>-(AP261-AO261)-(AP262-AO262)-(AP260-AO260)</f>
        <v>-16.707149746499795</v>
      </c>
      <c r="AQ330" s="371">
        <f>SUM(AM330:AP330)</f>
        <v>-63.724859130365303</v>
      </c>
      <c r="AR330" s="370">
        <f>-(AR261-AP261)-(AR262-AP262)-(AR260-AP260)</f>
        <v>-15.858389032552964</v>
      </c>
      <c r="AS330" s="370">
        <f>-(AS261-AR261)-(AS262-AR262)-(AS260-AR260)</f>
        <v>-16.636266524375401</v>
      </c>
      <c r="AT330" s="370">
        <f>-(AT261-AS261)-(AT262-AS262)-(AT260-AS260)</f>
        <v>-16.25327927099886</v>
      </c>
      <c r="AU330" s="370">
        <f>-(AU261-AT261)-(AU262-AT262)-(AU260-AT260)</f>
        <v>-17.185149484404747</v>
      </c>
      <c r="AV330" s="371">
        <f>SUM(AR330:AU330)</f>
        <v>-65.933084312331971</v>
      </c>
    </row>
    <row r="331" spans="2:48" outlineLevel="1" x14ac:dyDescent="0.25">
      <c r="B331" s="177" t="s">
        <v>226</v>
      </c>
      <c r="C331" s="127"/>
      <c r="D331" s="370">
        <v>0</v>
      </c>
      <c r="E331" s="370">
        <f>0-D331</f>
        <v>0</v>
      </c>
      <c r="F331" s="370">
        <f>0-E331-D331</f>
        <v>0</v>
      </c>
      <c r="G331" s="370">
        <f>-346-F331-E331-D331</f>
        <v>-346</v>
      </c>
      <c r="H331" s="371">
        <f>SUM(D331:G331)</f>
        <v>-346</v>
      </c>
      <c r="I331" s="370">
        <v>0</v>
      </c>
      <c r="J331" s="370">
        <f>0-I331</f>
        <v>0</v>
      </c>
      <c r="K331" s="370">
        <f>0-J331-I331</f>
        <v>0</v>
      </c>
      <c r="L331" s="370">
        <f>-1688-K331-J331-I331</f>
        <v>-1688</v>
      </c>
      <c r="M331" s="371">
        <f>SUM(I331:L331)</f>
        <v>-1688</v>
      </c>
      <c r="N331" s="370">
        <v>0</v>
      </c>
      <c r="O331" s="370">
        <f>0-N331</f>
        <v>0</v>
      </c>
      <c r="P331" s="370">
        <f>0-O331-N331</f>
        <v>0</v>
      </c>
      <c r="Q331" s="370">
        <f>-2345-P331-O331-N331</f>
        <v>-2345</v>
      </c>
      <c r="R331" s="371">
        <f>SUM(N331:Q331)</f>
        <v>-2345</v>
      </c>
      <c r="S331" s="370">
        <v>0</v>
      </c>
      <c r="T331" s="370">
        <f>+U194-P194</f>
        <v>0</v>
      </c>
      <c r="U331" s="370">
        <f t="shared" ref="U331" si="282">0-T331-S331</f>
        <v>0</v>
      </c>
      <c r="V331" s="370">
        <f>-909-U331-T331-S331</f>
        <v>-909</v>
      </c>
      <c r="W331" s="371">
        <f>SUM(S331:V331)</f>
        <v>-909</v>
      </c>
      <c r="X331" s="370">
        <f>+Y194-T194</f>
        <v>0</v>
      </c>
      <c r="Y331" s="370">
        <f>+Z194-U194</f>
        <v>0</v>
      </c>
      <c r="Z331" s="370">
        <f>+AA194-V194</f>
        <v>0</v>
      </c>
      <c r="AA331" s="370">
        <f>+AB194-W194</f>
        <v>-181.63000000000102</v>
      </c>
      <c r="AB331" s="371">
        <f>SUM(X331:AA331)</f>
        <v>-181.63000000000102</v>
      </c>
      <c r="AC331" s="370">
        <f>+AD194-Y194</f>
        <v>0</v>
      </c>
      <c r="AD331" s="370">
        <f>+AE194-Z194</f>
        <v>0</v>
      </c>
      <c r="AE331" s="370">
        <f>+AF194-AA194</f>
        <v>0</v>
      </c>
      <c r="AF331" s="370">
        <f>+AG194-AB194</f>
        <v>3.0159000000021479</v>
      </c>
      <c r="AG331" s="371">
        <f>SUM(AC331:AF331)</f>
        <v>3.0159000000021479</v>
      </c>
      <c r="AH331" s="370">
        <f>+AI194-AD194</f>
        <v>0</v>
      </c>
      <c r="AI331" s="370">
        <f>+AJ194-AE194</f>
        <v>0</v>
      </c>
      <c r="AJ331" s="370">
        <f>+AK194-AF194</f>
        <v>0</v>
      </c>
      <c r="AK331" s="370">
        <f>+AL194-AG194</f>
        <v>-20.822986999999557</v>
      </c>
      <c r="AL331" s="371">
        <f>SUM(AH331:AK331)</f>
        <v>-20.822986999999557</v>
      </c>
      <c r="AM331" s="370">
        <f>+AN194-AI194</f>
        <v>0</v>
      </c>
      <c r="AN331" s="370">
        <f>+AO194-AJ194</f>
        <v>0</v>
      </c>
      <c r="AO331" s="370">
        <f>+AP194-AK194</f>
        <v>0</v>
      </c>
      <c r="AP331" s="370">
        <f>+AQ194-AL194</f>
        <v>-45.770596089998435</v>
      </c>
      <c r="AQ331" s="371">
        <f>SUM(AM331:AP331)</f>
        <v>-45.770596089998435</v>
      </c>
      <c r="AR331" s="370">
        <f>+AS194-AN194</f>
        <v>0</v>
      </c>
      <c r="AS331" s="370">
        <f>+AT194-AO194</f>
        <v>0</v>
      </c>
      <c r="AT331" s="370">
        <f>+AU194-AP194</f>
        <v>0</v>
      </c>
      <c r="AU331" s="370">
        <f>+AV194-AQ194</f>
        <v>27.325462183700438</v>
      </c>
      <c r="AV331" s="371">
        <f>SUM(AR331:AU331)</f>
        <v>27.325462183700438</v>
      </c>
    </row>
    <row r="332" spans="2:48" outlineLevel="1" x14ac:dyDescent="0.25">
      <c r="B332" s="695" t="s">
        <v>227</v>
      </c>
      <c r="C332" s="696"/>
      <c r="D332" s="370">
        <v>-151</v>
      </c>
      <c r="E332" s="370">
        <f>66-D332</f>
        <v>217</v>
      </c>
      <c r="F332" s="370">
        <f>-146-E332-D332</f>
        <v>-212</v>
      </c>
      <c r="G332" s="370">
        <f>467-F332-E332-D332</f>
        <v>613</v>
      </c>
      <c r="H332" s="371">
        <f>SUM(D332:G332)</f>
        <v>467</v>
      </c>
      <c r="I332" s="370">
        <v>-753</v>
      </c>
      <c r="J332" s="370">
        <f>67-I332</f>
        <v>820</v>
      </c>
      <c r="K332" s="370">
        <f>-1642-J332-I332</f>
        <v>-1709</v>
      </c>
      <c r="L332" s="370">
        <f>103-K332-J332-I332</f>
        <v>1745</v>
      </c>
      <c r="M332" s="371">
        <f>SUM(I332:L332)</f>
        <v>103</v>
      </c>
      <c r="N332" s="370">
        <v>-540</v>
      </c>
      <c r="O332" s="370">
        <f>-564-N332</f>
        <v>-24</v>
      </c>
      <c r="P332" s="370">
        <f>-2781-O332-N332</f>
        <v>-2217</v>
      </c>
      <c r="Q332" s="370">
        <f>141-P332-O332-N332</f>
        <v>2922</v>
      </c>
      <c r="R332" s="371">
        <f>SUM(N332:Q332)</f>
        <v>141</v>
      </c>
      <c r="S332" s="370">
        <v>-584</v>
      </c>
      <c r="T332" s="370">
        <f>-227-S332</f>
        <v>357</v>
      </c>
      <c r="U332" s="370">
        <f>-1307-T332-S332</f>
        <v>-1080</v>
      </c>
      <c r="V332" s="370">
        <f>-571-U332-T332-S332</f>
        <v>736</v>
      </c>
      <c r="W332" s="371">
        <f>SUM(S332:V332)</f>
        <v>-571</v>
      </c>
      <c r="X332" s="370">
        <f>X274-V274</f>
        <v>90.774799686757433</v>
      </c>
      <c r="Y332" s="370">
        <f>Y274-X274</f>
        <v>385.55572285765902</v>
      </c>
      <c r="Z332" s="370">
        <f>Z274-Y274</f>
        <v>-152.5879291293013</v>
      </c>
      <c r="AA332" s="370">
        <f>AA274-Z274</f>
        <v>-388.62439717283814</v>
      </c>
      <c r="AB332" s="371">
        <f>SUM(X332:AA332)</f>
        <v>-64.881803757722992</v>
      </c>
      <c r="AC332" s="370">
        <f>AC274-AA274</f>
        <v>472.70930139113989</v>
      </c>
      <c r="AD332" s="370">
        <f>AD274-AC274</f>
        <v>-49.164931553445967</v>
      </c>
      <c r="AE332" s="370">
        <f>AE274-AD274</f>
        <v>241.16668925570866</v>
      </c>
      <c r="AF332" s="370">
        <f>AF274-AE274</f>
        <v>-585.28777958296996</v>
      </c>
      <c r="AG332" s="371">
        <f>SUM(AC332:AF332)</f>
        <v>79.423279510432621</v>
      </c>
      <c r="AH332" s="370">
        <f>AH274-AF274</f>
        <v>528.80579658510851</v>
      </c>
      <c r="AI332" s="370">
        <f>AI274-AH274</f>
        <v>-92.253889273447385</v>
      </c>
      <c r="AJ332" s="370">
        <f>AJ274-AI274</f>
        <v>296.72049749514463</v>
      </c>
      <c r="AK332" s="370">
        <f>AK274-AJ274</f>
        <v>-675.16679827012831</v>
      </c>
      <c r="AL332" s="371">
        <f>SUM(AH332:AK332)</f>
        <v>58.105606536677442</v>
      </c>
      <c r="AM332" s="370">
        <f>AM274-AK274</f>
        <v>654.4711792299322</v>
      </c>
      <c r="AN332" s="370">
        <f>AN274-AM274</f>
        <v>-203.30895995251376</v>
      </c>
      <c r="AO332" s="370">
        <f>AO274-AN274</f>
        <v>409.27213137590297</v>
      </c>
      <c r="AP332" s="370">
        <f>AP274-AO274</f>
        <v>-815.53694385717245</v>
      </c>
      <c r="AQ332" s="371">
        <f>SUM(AM332:AP332)</f>
        <v>44.897406796148971</v>
      </c>
      <c r="AR332" s="370">
        <f>AR274-AP274</f>
        <v>778.44243057318999</v>
      </c>
      <c r="AS332" s="370">
        <f>AS274-AR274</f>
        <v>-319.92887593871001</v>
      </c>
      <c r="AT332" s="370">
        <f>AT274-AS274</f>
        <v>523.14038820593669</v>
      </c>
      <c r="AU332" s="370">
        <f>AU274-AT274</f>
        <v>-955.11993193990747</v>
      </c>
      <c r="AV332" s="371">
        <f>SUM(AR332:AU332)</f>
        <v>26.534010900509202</v>
      </c>
    </row>
    <row r="333" spans="2:48" ht="17.25" outlineLevel="1" x14ac:dyDescent="0.4">
      <c r="B333" s="695" t="s">
        <v>228</v>
      </c>
      <c r="C333" s="696"/>
      <c r="D333" s="372">
        <v>-10</v>
      </c>
      <c r="E333" s="372">
        <f>-15-D333</f>
        <v>-5</v>
      </c>
      <c r="F333" s="372">
        <f>-5-E333-D333</f>
        <v>10</v>
      </c>
      <c r="G333" s="372">
        <f>-225-F333-E333-D333</f>
        <v>-220</v>
      </c>
      <c r="H333" s="373">
        <f>SUM(D333:G333)</f>
        <v>-225</v>
      </c>
      <c r="I333" s="372">
        <v>-15</v>
      </c>
      <c r="J333" s="372">
        <f>-17-I333</f>
        <v>-2</v>
      </c>
      <c r="K333" s="372">
        <f>-33-J333-I333</f>
        <v>-16</v>
      </c>
      <c r="L333" s="372">
        <f>-139-K333-J333-I333</f>
        <v>-106</v>
      </c>
      <c r="M333" s="373">
        <f>SUM(I333:L333)</f>
        <v>-139</v>
      </c>
      <c r="N333" s="372">
        <v>-23</v>
      </c>
      <c r="O333" s="372">
        <f>-41-N333</f>
        <v>-18</v>
      </c>
      <c r="P333" s="372">
        <f>-56-O333-N333</f>
        <v>-15</v>
      </c>
      <c r="Q333" s="372">
        <f>-72-P333-O333-N333</f>
        <v>-16</v>
      </c>
      <c r="R333" s="373">
        <f>SUM(N333:Q333)</f>
        <v>-72</v>
      </c>
      <c r="S333" s="372">
        <v>-31</v>
      </c>
      <c r="T333" s="372">
        <f>-50-S333</f>
        <v>-19</v>
      </c>
      <c r="U333" s="372">
        <f>-102-T333-S333</f>
        <v>-52</v>
      </c>
      <c r="V333" s="372">
        <f>-113-U333-T333-S333</f>
        <v>-11</v>
      </c>
      <c r="W333" s="373">
        <f>SUM(S333:V333)</f>
        <v>-113</v>
      </c>
      <c r="X333" s="372">
        <f>(X275-V275)+(X283-V283)+(X280-V280)+(X281-V281)+(X282-V282)-(X268-V268)+(X273-V273)+(X279-V279)+X199</f>
        <v>-247.03947134632767</v>
      </c>
      <c r="Y333" s="372">
        <f>(Y275-X275)+(Y283-X283)+(Y280-X280)+(Y281-X281)+(Y282-X282)-(Y268-X268)+(Y273-X273)+(Y279-X279)+Y199</f>
        <v>363.93289157428802</v>
      </c>
      <c r="Z333" s="372">
        <f>(Z275-Y275)+(Z283-Y283)+(Z280-Y280)+(Z281-Y281)+(Z282-Y282)-(Z268-Y268)+(Z273-Y273)+(Z279-Y279)+Z199</f>
        <v>-79.117480500871181</v>
      </c>
      <c r="AA333" s="372">
        <f>(AA275-Z275)+(AA283-Z283)+(AA280-Z280)+(AA281-Z281)+(AA282-Z282)-(AA268-Z268)+(AA273-Z273)+(AA279-Z279)+AA199-(AB194-W194)</f>
        <v>214.15567679531659</v>
      </c>
      <c r="AB333" s="373">
        <f>SUM(X333:AA333)</f>
        <v>251.93161652240576</v>
      </c>
      <c r="AC333" s="372">
        <f>(AC275-AA275)+(AC283-AA283)+(AC280-AA280)+(AC281-AA281)+(AC282-AA282)-(AC268-AA268)+(AC273-AA273)+(AC279-AA279)+AC199</f>
        <v>-224.76130444052365</v>
      </c>
      <c r="AD333" s="372">
        <f>(AD275-AC275)+(AD283-AC283)+(AD280-AC280)+(AD281-AC281)+(AD282-AC282)-(AD268-AC268)+(AD273-AC273)+(AD279-AC279)+AD199</f>
        <v>282.76583770400453</v>
      </c>
      <c r="AE333" s="372">
        <f>(AE275-AD275)+(AE283-AD283)+(AE280-AD280)+(AE281-AD281)+(AE282-AD282)-(AE268-AD268)+(AE273-AD273)+(AE279-AD279)+AE199</f>
        <v>-94.174232135095309</v>
      </c>
      <c r="AF333" s="372">
        <f>(AF275-AE275)+(AF283-AE283)+(AF280-AE280)+(AF281-AE281)+(AF282-AE282)-(AF268-AE268)+(AF273-AE273)+(AF279-AE279)+AF199-(AG194-AB194)</f>
        <v>170.57523314765467</v>
      </c>
      <c r="AG333" s="373">
        <f>SUM(AC333:AF333)</f>
        <v>134.40553427604024</v>
      </c>
      <c r="AH333" s="372">
        <f>(AH275-AF275)+(AH283-AF283)+(AH280-AF280)+(AH281-AF281)+(AH282-AF282)-(AH268-AF268)+(AH273-AF273)+(AH279-AF279)+AH199</f>
        <v>-465.37433531348165</v>
      </c>
      <c r="AI333" s="372">
        <f>(AI275-AH275)+(AI283-AH283)+(AI280-AH280)+(AI281-AH281)+(AI282-AH282)-(AI268-AH268)+(AI273-AH273)+(AI279-AH279)+AI199</f>
        <v>512.2161306474278</v>
      </c>
      <c r="AJ333" s="372">
        <f>(AJ275-AI275)+(AJ283-AI283)+(AJ280-AI280)+(AJ281-AI281)+(AJ282-AI282)-(AJ268-AI268)+(AJ273-AI273)+(AJ279-AI279)+AJ199</f>
        <v>-292.87839437888533</v>
      </c>
      <c r="AK333" s="372">
        <f>(AK275-AJ275)+(AK283-AJ283)+(AK280-AJ280)+(AK281-AJ281)+(AK282-AJ282)-(AK268-AJ268)+(AK273-AJ273)+(AK279-AJ279)+AK199-(AL194-AG194)</f>
        <v>411.76471024695502</v>
      </c>
      <c r="AL333" s="373">
        <f>SUM(AH333:AK333)</f>
        <v>165.72811120201584</v>
      </c>
      <c r="AM333" s="372">
        <f>(AM275-AK275)+(AM283-AK283)+(AM280-AK280)+(AM281-AK281)+(AM282-AK282)-(AM268-AK268)+(AM273-AK273)+(AM279-AK279)+AM199</f>
        <v>-717.50622381359744</v>
      </c>
      <c r="AN333" s="372">
        <f>(AN275-AM275)+(AN283-AM283)+(AN280-AM280)+(AN281-AM281)+(AN282-AM282)-(AN268-AM268)+(AN273-AM273)+(AN279-AM279)+AN199</f>
        <v>760.06175961831877</v>
      </c>
      <c r="AO333" s="372">
        <f>(AO275-AN275)+(AO283-AN283)+(AO280-AN280)+(AO281-AN281)+(AO282-AN282)-(AO268-AN268)+(AO273-AN273)+(AO279-AN279)+AO199</f>
        <v>-519.73816980294896</v>
      </c>
      <c r="AP333" s="372">
        <f>(AP275-AO275)+(AP283-AO283)+(AP280-AO280)+(AP281-AO281)+(AP282-AO282)-(AP268-AO268)+(AP273-AO273)+(AP279-AO279)+AP199-(AQ194-AL194)</f>
        <v>672.91459109510117</v>
      </c>
      <c r="AQ333" s="373">
        <f>SUM(AM333:AP333)</f>
        <v>195.73195709687354</v>
      </c>
      <c r="AR333" s="372">
        <f>(AR275-AP275)+(AR283-AP283)+(AR280-AP280)+(AR281-AP281)+(AR282-AP282)-(AR268-AP268)+(AR273-AP273)+(AR279-AP279)+AR199</f>
        <v>-1012.746123845764</v>
      </c>
      <c r="AS333" s="372">
        <f>(AS275-AR275)+(AS283-AR283)+(AS280-AR280)+(AS281-AR281)+(AS282-AR282)-(AS268-AR268)+(AS273-AR273)+(AS279-AR279)+AS199</f>
        <v>992.41646568027249</v>
      </c>
      <c r="AT333" s="372">
        <f>(AT275-AS275)+(AT283-AS283)+(AT280-AS280)+(AT281-AS281)+(AT282-AS282)-(AT268-AS268)+(AT273-AS273)+(AT279-AS279)+AT199</f>
        <v>-789.75003385025536</v>
      </c>
      <c r="AU333" s="372">
        <f>(AU275-AT275)+(AU283-AT283)+(AU280-AT280)+(AU281-AT281)+(AU282-AT282)-(AU268-AT268)+(AU273-AT273)+(AU279-AT279)+AU199-(AV194-AQ194)</f>
        <v>821.77098031706896</v>
      </c>
      <c r="AV333" s="373">
        <f>SUM(AR333:AU333)</f>
        <v>11.691288301322061</v>
      </c>
    </row>
    <row r="334" spans="2:48" outlineLevel="1" x14ac:dyDescent="0.25">
      <c r="B334" s="693" t="s">
        <v>15</v>
      </c>
      <c r="C334" s="694"/>
      <c r="D334" s="357">
        <f t="shared" ref="D334:AQ334" si="283">D320+SUM(D321:D333)</f>
        <v>1241</v>
      </c>
      <c r="E334" s="357">
        <f t="shared" si="283"/>
        <v>1213</v>
      </c>
      <c r="F334" s="357">
        <f t="shared" si="283"/>
        <v>1342</v>
      </c>
      <c r="G334" s="357">
        <f t="shared" si="283"/>
        <v>1912</v>
      </c>
      <c r="H334" s="358">
        <f t="shared" si="283"/>
        <v>5708</v>
      </c>
      <c r="I334" s="357">
        <f t="shared" si="283"/>
        <v>971</v>
      </c>
      <c r="J334" s="357">
        <f t="shared" si="283"/>
        <v>1664</v>
      </c>
      <c r="K334" s="357">
        <f t="shared" si="283"/>
        <v>10</v>
      </c>
      <c r="L334" s="357">
        <f t="shared" si="283"/>
        <v>2285</v>
      </c>
      <c r="M334" s="358">
        <f t="shared" si="283"/>
        <v>4930</v>
      </c>
      <c r="N334" s="357">
        <f t="shared" si="283"/>
        <v>590</v>
      </c>
      <c r="O334" s="357">
        <f t="shared" si="283"/>
        <v>908</v>
      </c>
      <c r="P334" s="357">
        <f t="shared" si="283"/>
        <v>-336</v>
      </c>
      <c r="Q334" s="357">
        <f t="shared" si="283"/>
        <v>3512.1257859999969</v>
      </c>
      <c r="R334" s="358">
        <f t="shared" si="283"/>
        <v>4674.1257859999969</v>
      </c>
      <c r="S334" s="357">
        <f t="shared" si="283"/>
        <v>701</v>
      </c>
      <c r="T334" s="357">
        <f t="shared" si="283"/>
        <v>1478</v>
      </c>
      <c r="U334" s="357">
        <f t="shared" si="283"/>
        <v>1144</v>
      </c>
      <c r="V334" s="357">
        <f t="shared" si="283"/>
        <v>2290</v>
      </c>
      <c r="W334" s="358">
        <f t="shared" si="283"/>
        <v>5613</v>
      </c>
      <c r="X334" s="357">
        <f t="shared" si="283"/>
        <v>2480.0873833509477</v>
      </c>
      <c r="Y334" s="357">
        <f t="shared" si="283"/>
        <v>355.56285569872142</v>
      </c>
      <c r="Z334" s="357">
        <f t="shared" si="283"/>
        <v>2869.8152533643874</v>
      </c>
      <c r="AA334" s="357">
        <f t="shared" si="283"/>
        <v>1471.3485226740263</v>
      </c>
      <c r="AB334" s="358">
        <f t="shared" si="283"/>
        <v>7176.8140150880809</v>
      </c>
      <c r="AC334" s="357">
        <f t="shared" si="283"/>
        <v>3138.4708824829841</v>
      </c>
      <c r="AD334" s="357">
        <f t="shared" si="283"/>
        <v>195.69072602094104</v>
      </c>
      <c r="AE334" s="357">
        <f t="shared" si="283"/>
        <v>3417.0054876146778</v>
      </c>
      <c r="AF334" s="357">
        <f t="shared" si="283"/>
        <v>1193.0472108182773</v>
      </c>
      <c r="AG334" s="358">
        <f t="shared" si="283"/>
        <v>7944.2143069368649</v>
      </c>
      <c r="AH334" s="357">
        <f t="shared" si="283"/>
        <v>4212.0936028547912</v>
      </c>
      <c r="AI334" s="357">
        <f t="shared" si="283"/>
        <v>-583.63290641701701</v>
      </c>
      <c r="AJ334" s="357">
        <f t="shared" si="283"/>
        <v>4591.0206190847384</v>
      </c>
      <c r="AK334" s="357">
        <f t="shared" si="283"/>
        <v>519.84573793132881</v>
      </c>
      <c r="AL334" s="358">
        <f t="shared" si="283"/>
        <v>8739.3270534538315</v>
      </c>
      <c r="AM334" s="357">
        <f t="shared" si="283"/>
        <v>5426.7641035726601</v>
      </c>
      <c r="AN334" s="357">
        <f t="shared" si="283"/>
        <v>-1577.5325708430937</v>
      </c>
      <c r="AO334" s="357">
        <f t="shared" si="283"/>
        <v>5844.0767102431037</v>
      </c>
      <c r="AP334" s="357">
        <f t="shared" si="283"/>
        <v>-419.85657809026043</v>
      </c>
      <c r="AQ334" s="358">
        <f t="shared" si="283"/>
        <v>9273.4516648824228</v>
      </c>
      <c r="AR334" s="357">
        <f t="shared" ref="AR334:AV334" si="284">AR320+SUM(AR321:AR333)</f>
        <v>6661.2829619929962</v>
      </c>
      <c r="AS334" s="357">
        <f t="shared" si="284"/>
        <v>-2649.5443827953764</v>
      </c>
      <c r="AT334" s="357">
        <f t="shared" si="284"/>
        <v>7108.6377882137967</v>
      </c>
      <c r="AU334" s="357">
        <f t="shared" si="284"/>
        <v>-1448.7083967015876</v>
      </c>
      <c r="AV334" s="358">
        <f t="shared" si="284"/>
        <v>9671.667970709821</v>
      </c>
    </row>
    <row r="335" spans="2:48" outlineLevel="1" x14ac:dyDescent="0.25">
      <c r="B335" s="753" t="s">
        <v>16</v>
      </c>
      <c r="C335" s="754"/>
      <c r="D335" s="365"/>
      <c r="E335" s="365"/>
      <c r="F335" s="365"/>
      <c r="G335" s="365"/>
      <c r="H335" s="393"/>
      <c r="I335" s="365"/>
      <c r="J335" s="365"/>
      <c r="K335" s="365"/>
      <c r="L335" s="365"/>
      <c r="M335" s="393"/>
      <c r="N335" s="365"/>
      <c r="O335" s="365"/>
      <c r="P335" s="365"/>
      <c r="Q335" s="365"/>
      <c r="R335" s="393"/>
      <c r="S335" s="394"/>
      <c r="T335" s="394"/>
      <c r="U335" s="394"/>
      <c r="V335" s="394"/>
      <c r="W335" s="393"/>
      <c r="X335" s="394"/>
      <c r="Y335" s="394"/>
      <c r="Z335" s="394"/>
      <c r="AA335" s="394"/>
      <c r="AB335" s="393"/>
      <c r="AC335" s="394"/>
      <c r="AD335" s="394"/>
      <c r="AE335" s="394"/>
      <c r="AF335" s="394"/>
      <c r="AG335" s="393"/>
      <c r="AH335" s="394"/>
      <c r="AI335" s="394"/>
      <c r="AJ335" s="394"/>
      <c r="AK335" s="394"/>
      <c r="AL335" s="393"/>
      <c r="AM335" s="394"/>
      <c r="AN335" s="394"/>
      <c r="AO335" s="394"/>
      <c r="AP335" s="394"/>
      <c r="AQ335" s="393"/>
      <c r="AR335" s="394"/>
      <c r="AS335" s="394"/>
      <c r="AT335" s="394"/>
      <c r="AU335" s="394"/>
      <c r="AV335" s="393"/>
    </row>
    <row r="336" spans="2:48" outlineLevel="1" x14ac:dyDescent="0.25">
      <c r="B336" s="701" t="s">
        <v>229</v>
      </c>
      <c r="C336" s="702"/>
      <c r="D336" s="99">
        <v>-1209</v>
      </c>
      <c r="E336" s="99">
        <f>-2562-D336</f>
        <v>-1353</v>
      </c>
      <c r="F336" s="92">
        <f>-3562-E336-D336</f>
        <v>-1000</v>
      </c>
      <c r="G336" s="99">
        <f>-4818-F336-E336-D336</f>
        <v>-1256</v>
      </c>
      <c r="H336" s="111">
        <f>SUM(D336:G336)</f>
        <v>-4818</v>
      </c>
      <c r="I336" s="99">
        <v>-1215</v>
      </c>
      <c r="J336" s="99">
        <f>-2681-I336</f>
        <v>-1466</v>
      </c>
      <c r="K336" s="92">
        <f>-3790-J336-I336</f>
        <v>-1109</v>
      </c>
      <c r="L336" s="99">
        <f>-5116-K336-J336-I336</f>
        <v>-1326</v>
      </c>
      <c r="M336" s="111">
        <f>SUM(I336:L336)</f>
        <v>-5116</v>
      </c>
      <c r="N336" s="99">
        <v>-1044</v>
      </c>
      <c r="O336" s="99">
        <f>-2621-N336</f>
        <v>-1577</v>
      </c>
      <c r="P336" s="92">
        <f>-3994-O336-N336</f>
        <v>-1373</v>
      </c>
      <c r="Q336" s="99">
        <f>-5663-P336-O336-N336</f>
        <v>-1669</v>
      </c>
      <c r="R336" s="111">
        <f>SUM(N336:Q336)</f>
        <v>-5663</v>
      </c>
      <c r="S336" s="99">
        <v>-1179</v>
      </c>
      <c r="T336" s="99">
        <f>-2634-S336</f>
        <v>-1455</v>
      </c>
      <c r="U336" s="99">
        <f>-3757-T336-S336</f>
        <v>-1123</v>
      </c>
      <c r="V336" s="99">
        <f>-5490-U336-T336-S336</f>
        <v>-1733</v>
      </c>
      <c r="W336" s="111">
        <f>SUM(S336:V336)</f>
        <v>-5490</v>
      </c>
      <c r="X336" s="99">
        <f>-X13*X368</f>
        <v>-1342.8383082565081</v>
      </c>
      <c r="Y336" s="99">
        <f>-Y13*Y368</f>
        <v>-1463.8435205515955</v>
      </c>
      <c r="Z336" s="99">
        <f>-Z13*Z368</f>
        <v>-1436.2159400027833</v>
      </c>
      <c r="AA336" s="99">
        <f>-AA13*AA368</f>
        <v>-1657.1022311891124</v>
      </c>
      <c r="AB336" s="416">
        <f>SUM(X336:AA336)</f>
        <v>-5900</v>
      </c>
      <c r="AC336" s="99">
        <f>-AC13*AC368</f>
        <v>-1488.4707171132093</v>
      </c>
      <c r="AD336" s="99">
        <f>-AD13*AD368</f>
        <v>-1579.4573073775837</v>
      </c>
      <c r="AE336" s="99">
        <f>-AE13*AE368</f>
        <v>-1556.4927158896858</v>
      </c>
      <c r="AF336" s="99">
        <f>-AF13*AF368</f>
        <v>-1670.5812321506603</v>
      </c>
      <c r="AG336" s="111">
        <f>SUM(AC336:AF336)</f>
        <v>-6295.0019725311395</v>
      </c>
      <c r="AH336" s="99">
        <f>-AH13*AH368</f>
        <v>-1579.1580339109901</v>
      </c>
      <c r="AI336" s="99">
        <f>-AI13*AI368</f>
        <v>-1664.4650381800184</v>
      </c>
      <c r="AJ336" s="99">
        <f>-AJ13*AJ368</f>
        <v>-1631.4758256746888</v>
      </c>
      <c r="AK336" s="99">
        <f>-AK13*AK368</f>
        <v>-1731.1238262308252</v>
      </c>
      <c r="AL336" s="111">
        <f>SUM(AH336:AK336)</f>
        <v>-6606.2227239965223</v>
      </c>
      <c r="AM336" s="99">
        <f>-AM13*AM368</f>
        <v>-1650.8047446172604</v>
      </c>
      <c r="AN336" s="99">
        <f>-AN13*AN368</f>
        <v>-1734.1755660170145</v>
      </c>
      <c r="AO336" s="99">
        <f>-AO13*AO368</f>
        <v>-1695.6456859295388</v>
      </c>
      <c r="AP336" s="99">
        <f>-AP13*AP368</f>
        <v>-1795.1372875317068</v>
      </c>
      <c r="AQ336" s="111">
        <f>SUM(AM336:AP336)</f>
        <v>-6875.7632840955202</v>
      </c>
      <c r="AR336" s="99">
        <f>-AR13*AR368</f>
        <v>-1711.0466614877034</v>
      </c>
      <c r="AS336" s="99">
        <f>-AS13*AS368</f>
        <v>-1794.1218329480416</v>
      </c>
      <c r="AT336" s="99">
        <f>-AT13*AT368</f>
        <v>-1751.8683356478602</v>
      </c>
      <c r="AU336" s="99">
        <f>-AU13*AU368</f>
        <v>-1851.5940305061465</v>
      </c>
      <c r="AV336" s="111">
        <f>SUM(AR336:AU336)</f>
        <v>-7108.630860589752</v>
      </c>
    </row>
    <row r="337" spans="2:48" outlineLevel="1" x14ac:dyDescent="0.25">
      <c r="B337" s="701" t="s">
        <v>230</v>
      </c>
      <c r="C337" s="702"/>
      <c r="D337" s="99">
        <v>0</v>
      </c>
      <c r="E337" s="99">
        <f>0-D337</f>
        <v>0</v>
      </c>
      <c r="F337" s="92">
        <f>0-E337-D337</f>
        <v>0</v>
      </c>
      <c r="G337" s="99">
        <f>-4618-F337-E337-D337</f>
        <v>-4618</v>
      </c>
      <c r="H337" s="111">
        <f>SUM(D337:G337)</f>
        <v>-4618</v>
      </c>
      <c r="I337" s="99">
        <v>0</v>
      </c>
      <c r="J337" s="99">
        <f>0-I337</f>
        <v>0</v>
      </c>
      <c r="K337" s="92">
        <f>0-J337-I337</f>
        <v>0</v>
      </c>
      <c r="L337" s="99">
        <f>0-K337-J337-I337</f>
        <v>0</v>
      </c>
      <c r="M337" s="111">
        <f>SUM(I337:L337)</f>
        <v>0</v>
      </c>
      <c r="N337" s="99">
        <v>0</v>
      </c>
      <c r="O337" s="99">
        <f>-44-N337</f>
        <v>-44</v>
      </c>
      <c r="P337" s="92">
        <f>-44-O337-N337</f>
        <v>0</v>
      </c>
      <c r="Q337" s="99">
        <f>-179-P337-O337-N337</f>
        <v>-135</v>
      </c>
      <c r="R337" s="111">
        <f>SUM(N337:Q337)</f>
        <v>-179</v>
      </c>
      <c r="S337" s="99">
        <v>0</v>
      </c>
      <c r="T337" s="99">
        <v>0</v>
      </c>
      <c r="U337" s="99">
        <f t="shared" ref="U337" si="285">0-T337-S337</f>
        <v>0</v>
      </c>
      <c r="V337" s="99">
        <f>-66-U337-T337-S337</f>
        <v>-66</v>
      </c>
      <c r="W337" s="111">
        <f>SUM(S337:V337)</f>
        <v>-66</v>
      </c>
      <c r="X337" s="241">
        <v>0</v>
      </c>
      <c r="Y337" s="241">
        <v>0</v>
      </c>
      <c r="Z337" s="241">
        <v>0</v>
      </c>
      <c r="AA337" s="241">
        <v>0</v>
      </c>
      <c r="AB337" s="111">
        <f>SUM(X337:AA337)</f>
        <v>0</v>
      </c>
      <c r="AC337" s="241">
        <v>0</v>
      </c>
      <c r="AD337" s="241">
        <v>0</v>
      </c>
      <c r="AE337" s="241">
        <v>0</v>
      </c>
      <c r="AF337" s="241">
        <v>0</v>
      </c>
      <c r="AG337" s="111">
        <f>SUM(AC337:AF337)</f>
        <v>0</v>
      </c>
      <c r="AH337" s="241">
        <v>0</v>
      </c>
      <c r="AI337" s="241">
        <v>0</v>
      </c>
      <c r="AJ337" s="241">
        <v>0</v>
      </c>
      <c r="AK337" s="241">
        <v>0</v>
      </c>
      <c r="AL337" s="111">
        <f>SUM(AH337:AK337)</f>
        <v>0</v>
      </c>
      <c r="AM337" s="241">
        <v>0</v>
      </c>
      <c r="AN337" s="241">
        <v>0</v>
      </c>
      <c r="AO337" s="241">
        <v>0</v>
      </c>
      <c r="AP337" s="241">
        <v>0</v>
      </c>
      <c r="AQ337" s="111">
        <f>SUM(AM337:AP337)</f>
        <v>0</v>
      </c>
      <c r="AR337" s="241">
        <v>0</v>
      </c>
      <c r="AS337" s="241">
        <v>0</v>
      </c>
      <c r="AT337" s="241">
        <v>0</v>
      </c>
      <c r="AU337" s="241">
        <v>0</v>
      </c>
      <c r="AV337" s="111">
        <f>SUM(AR337:AU337)</f>
        <v>0</v>
      </c>
    </row>
    <row r="338" spans="2:48" ht="17.25" outlineLevel="1" x14ac:dyDescent="0.4">
      <c r="B338" s="701" t="s">
        <v>231</v>
      </c>
      <c r="C338" s="702"/>
      <c r="D338" s="100">
        <v>10</v>
      </c>
      <c r="E338" s="100">
        <f>12-D338</f>
        <v>2</v>
      </c>
      <c r="F338" s="97">
        <f>-17-E338-D338</f>
        <v>-29</v>
      </c>
      <c r="G338" s="100">
        <f>-10-F338-E338-D338</f>
        <v>7</v>
      </c>
      <c r="H338" s="152">
        <f>SUM(D338:G338)</f>
        <v>-10</v>
      </c>
      <c r="I338" s="100">
        <v>9</v>
      </c>
      <c r="J338" s="100">
        <f>100-I338</f>
        <v>91</v>
      </c>
      <c r="K338" s="97">
        <f>123-J338-I338</f>
        <v>23</v>
      </c>
      <c r="L338" s="100">
        <f>135-K338-J338-I338</f>
        <v>12</v>
      </c>
      <c r="M338" s="152">
        <f>SUM(I338:L338)</f>
        <v>135</v>
      </c>
      <c r="N338" s="100">
        <v>6</v>
      </c>
      <c r="O338" s="100">
        <f>12-N338</f>
        <v>6</v>
      </c>
      <c r="P338" s="97">
        <f>21-O338-N338</f>
        <v>9</v>
      </c>
      <c r="Q338" s="100">
        <f>123+42-P338-O338-N338</f>
        <v>144</v>
      </c>
      <c r="R338" s="152">
        <f>SUM(N338:Q338)</f>
        <v>165</v>
      </c>
      <c r="S338" s="100">
        <v>78</v>
      </c>
      <c r="T338" s="100">
        <f>53-S338</f>
        <v>-25</v>
      </c>
      <c r="U338" s="100">
        <f>62-T338-S338</f>
        <v>9</v>
      </c>
      <c r="V338" s="100">
        <f>83-U338-T338-S338</f>
        <v>21</v>
      </c>
      <c r="W338" s="152">
        <f>SUM(S338:V338)</f>
        <v>83</v>
      </c>
      <c r="X338" s="100">
        <f>-(X267-V267)</f>
        <v>-34.419999999999163</v>
      </c>
      <c r="Y338" s="100">
        <f>-(Y267-X267)</f>
        <v>-34.592099999998936</v>
      </c>
      <c r="Z338" s="100">
        <f>-(Z267-Y267)</f>
        <v>-34.765060499998981</v>
      </c>
      <c r="AA338" s="100">
        <f>-(AA267-Z267)</f>
        <v>-34.938885802499499</v>
      </c>
      <c r="AB338" s="152">
        <f>SUM(X338:AA338)</f>
        <v>-138.71604630249658</v>
      </c>
      <c r="AC338" s="100">
        <f>-(AC267-AA267)</f>
        <v>-35.11358023151206</v>
      </c>
      <c r="AD338" s="100">
        <f>-(AD267-AC267)</f>
        <v>-35.289148132669652</v>
      </c>
      <c r="AE338" s="100">
        <f>-(AE267-AD267)</f>
        <v>-35.465593873332182</v>
      </c>
      <c r="AF338" s="100">
        <f>-(AF267-AE267)</f>
        <v>-35.642921842699252</v>
      </c>
      <c r="AG338" s="152">
        <f>SUM(AC338:AF338)</f>
        <v>-141.51124408021315</v>
      </c>
      <c r="AH338" s="100">
        <f>-(AH267-AF267)</f>
        <v>-35.821136451912935</v>
      </c>
      <c r="AI338" s="100">
        <f>-(AI267-AH267)</f>
        <v>-36.000242134172368</v>
      </c>
      <c r="AJ338" s="100">
        <f>-(AJ267-AI267)</f>
        <v>-36.180243344842893</v>
      </c>
      <c r="AK338" s="100">
        <f>-(AK267-AJ267)</f>
        <v>-36.361144561567016</v>
      </c>
      <c r="AL338" s="152">
        <f>SUM(AH338:AK338)</f>
        <v>-144.36276649249521</v>
      </c>
      <c r="AM338" s="100">
        <f>-(AM267-AK267)</f>
        <v>-36.542950284375365</v>
      </c>
      <c r="AN338" s="100">
        <f>-(AN267-AM267)</f>
        <v>-36.725665035796737</v>
      </c>
      <c r="AO338" s="100">
        <f>-(AO267-AN267)</f>
        <v>-36.909293360976335</v>
      </c>
      <c r="AP338" s="100">
        <f>-(AP267-AO267)</f>
        <v>-37.093839827781267</v>
      </c>
      <c r="AQ338" s="152">
        <f>SUM(AM338:AP338)</f>
        <v>-147.2717485089297</v>
      </c>
      <c r="AR338" s="100">
        <f>-(AR267-AP267)</f>
        <v>-37.279309026919691</v>
      </c>
      <c r="AS338" s="100">
        <f>-(AS267-AR267)</f>
        <v>-37.465705572054503</v>
      </c>
      <c r="AT338" s="100">
        <f>-(AT267-AS267)</f>
        <v>-37.653034099914294</v>
      </c>
      <c r="AU338" s="100">
        <f>-(AU267-AT267)</f>
        <v>-37.841299270414311</v>
      </c>
      <c r="AV338" s="152">
        <f>SUM(AR338:AU338)</f>
        <v>-150.2393479693028</v>
      </c>
    </row>
    <row r="339" spans="2:48" outlineLevel="1" x14ac:dyDescent="0.25">
      <c r="B339" s="757" t="s">
        <v>17</v>
      </c>
      <c r="C339" s="758"/>
      <c r="D339" s="108">
        <f>SUM(D335:D338)</f>
        <v>-1199</v>
      </c>
      <c r="E339" s="108">
        <f>SUM(E335:E338)</f>
        <v>-1351</v>
      </c>
      <c r="F339" s="108">
        <f>SUM(F335:F338)</f>
        <v>-1029</v>
      </c>
      <c r="G339" s="108">
        <f>SUM(G335:G338)</f>
        <v>-5867</v>
      </c>
      <c r="H339" s="109">
        <f>SUM(H336:H338)</f>
        <v>-9446</v>
      </c>
      <c r="I339" s="108">
        <f>SUM(I335:I338)</f>
        <v>-1206</v>
      </c>
      <c r="J339" s="108">
        <f>SUM(J335:J338)</f>
        <v>-1375</v>
      </c>
      <c r="K339" s="108">
        <f>SUM(K335:K338)</f>
        <v>-1086</v>
      </c>
      <c r="L339" s="108">
        <f>SUM(L335:L338)</f>
        <v>-1314</v>
      </c>
      <c r="M339" s="109">
        <f>SUM(M336:M338)</f>
        <v>-4981</v>
      </c>
      <c r="N339" s="108">
        <f>SUM(N335:N338)</f>
        <v>-1038</v>
      </c>
      <c r="O339" s="108">
        <f>SUM(O335:O338)</f>
        <v>-1615</v>
      </c>
      <c r="P339" s="108">
        <f>SUM(P335:P338)</f>
        <v>-1364</v>
      </c>
      <c r="Q339" s="108">
        <f>SUM(Q335:Q338)</f>
        <v>-1660</v>
      </c>
      <c r="R339" s="109">
        <f>SUM(R336:R338)</f>
        <v>-5677</v>
      </c>
      <c r="S339" s="108">
        <f>SUM(S335:S338)</f>
        <v>-1101</v>
      </c>
      <c r="T339" s="108">
        <f>SUM(T335:T338)</f>
        <v>-1480</v>
      </c>
      <c r="U339" s="108">
        <f>SUM(U335:U338)</f>
        <v>-1114</v>
      </c>
      <c r="V339" s="108">
        <f>SUM(V335:V338)</f>
        <v>-1778</v>
      </c>
      <c r="W339" s="109">
        <f>SUM(W336:W338)</f>
        <v>-5473</v>
      </c>
      <c r="X339" s="108">
        <f>SUM(X335:X338)</f>
        <v>-1377.2583082565072</v>
      </c>
      <c r="Y339" s="108">
        <f>SUM(Y335:Y338)</f>
        <v>-1498.4356205515944</v>
      </c>
      <c r="Z339" s="108">
        <f>SUM(Z335:Z338)</f>
        <v>-1470.9810005027823</v>
      </c>
      <c r="AA339" s="108">
        <f>SUM(AA335:AA338)</f>
        <v>-1692.0411169916119</v>
      </c>
      <c r="AB339" s="109">
        <f>SUM(AB336:AB338)</f>
        <v>-6038.7160463024966</v>
      </c>
      <c r="AC339" s="108">
        <f>SUM(AC335:AC338)</f>
        <v>-1523.5842973447213</v>
      </c>
      <c r="AD339" s="108">
        <f>SUM(AD335:AD338)</f>
        <v>-1614.7464555102533</v>
      </c>
      <c r="AE339" s="108">
        <f>SUM(AE335:AE338)</f>
        <v>-1591.958309763018</v>
      </c>
      <c r="AF339" s="108">
        <f>SUM(AF335:AF338)</f>
        <v>-1706.2241539933596</v>
      </c>
      <c r="AG339" s="109">
        <f>SUM(AG336:AG338)</f>
        <v>-6436.5132166113526</v>
      </c>
      <c r="AH339" s="108">
        <f>SUM(AH335:AH338)</f>
        <v>-1614.979170362903</v>
      </c>
      <c r="AI339" s="108">
        <f>SUM(AI335:AI338)</f>
        <v>-1700.4652803141907</v>
      </c>
      <c r="AJ339" s="108">
        <f>SUM(AJ335:AJ338)</f>
        <v>-1667.6560690195317</v>
      </c>
      <c r="AK339" s="108">
        <f>SUM(AK335:AK338)</f>
        <v>-1767.4849707923922</v>
      </c>
      <c r="AL339" s="109">
        <f>SUM(AL336:AL338)</f>
        <v>-6750.5854904890175</v>
      </c>
      <c r="AM339" s="108">
        <f>SUM(AM335:AM338)</f>
        <v>-1687.3476949016358</v>
      </c>
      <c r="AN339" s="108">
        <f>SUM(AN335:AN338)</f>
        <v>-1770.9012310528112</v>
      </c>
      <c r="AO339" s="108">
        <f>SUM(AO335:AO338)</f>
        <v>-1732.5549792905151</v>
      </c>
      <c r="AP339" s="108">
        <f>SUM(AP335:AP338)</f>
        <v>-1832.231127359488</v>
      </c>
      <c r="AQ339" s="109">
        <f>SUM(AQ336:AQ338)</f>
        <v>-7023.03503260445</v>
      </c>
      <c r="AR339" s="108">
        <f>SUM(AR335:AR338)</f>
        <v>-1748.3259705146231</v>
      </c>
      <c r="AS339" s="108">
        <f>SUM(AS335:AS338)</f>
        <v>-1831.5875385200961</v>
      </c>
      <c r="AT339" s="108">
        <f>SUM(AT335:AT338)</f>
        <v>-1789.5213697477745</v>
      </c>
      <c r="AU339" s="108">
        <f>SUM(AU335:AU338)</f>
        <v>-1889.4353297765608</v>
      </c>
      <c r="AV339" s="109">
        <f>SUM(AV336:AV338)</f>
        <v>-7258.8702085590548</v>
      </c>
    </row>
    <row r="340" spans="2:48" outlineLevel="1" x14ac:dyDescent="0.25">
      <c r="B340" s="697" t="s">
        <v>18</v>
      </c>
      <c r="C340" s="698"/>
      <c r="D340" s="367"/>
      <c r="E340" s="367"/>
      <c r="F340" s="367"/>
      <c r="G340" s="367"/>
      <c r="H340" s="368"/>
      <c r="I340" s="367"/>
      <c r="J340" s="367"/>
      <c r="K340" s="367"/>
      <c r="L340" s="367"/>
      <c r="M340" s="368"/>
      <c r="N340" s="367"/>
      <c r="O340" s="367"/>
      <c r="P340" s="367"/>
      <c r="Q340" s="367"/>
      <c r="R340" s="368"/>
      <c r="S340" s="369"/>
      <c r="T340" s="369"/>
      <c r="U340" s="369"/>
      <c r="V340" s="369"/>
      <c r="W340" s="368"/>
      <c r="X340" s="369"/>
      <c r="Y340" s="369"/>
      <c r="Z340" s="369"/>
      <c r="AA340" s="369"/>
      <c r="AB340" s="368"/>
      <c r="AC340" s="369"/>
      <c r="AD340" s="369"/>
      <c r="AE340" s="369"/>
      <c r="AF340" s="369"/>
      <c r="AG340" s="368"/>
      <c r="AH340" s="369"/>
      <c r="AI340" s="369"/>
      <c r="AJ340" s="369"/>
      <c r="AK340" s="369"/>
      <c r="AL340" s="368"/>
      <c r="AM340" s="369"/>
      <c r="AN340" s="369"/>
      <c r="AO340" s="369"/>
      <c r="AP340" s="369"/>
      <c r="AQ340" s="368"/>
      <c r="AR340" s="369"/>
      <c r="AS340" s="369"/>
      <c r="AT340" s="369"/>
      <c r="AU340" s="369"/>
      <c r="AV340" s="368"/>
    </row>
    <row r="341" spans="2:48" outlineLevel="1" x14ac:dyDescent="0.25">
      <c r="B341" s="695" t="s">
        <v>232</v>
      </c>
      <c r="C341" s="696"/>
      <c r="D341" s="370">
        <v>0</v>
      </c>
      <c r="E341" s="370">
        <f>0-D341</f>
        <v>0</v>
      </c>
      <c r="F341" s="370">
        <f>0-E341-D341</f>
        <v>0</v>
      </c>
      <c r="G341" s="370">
        <f>0-F341-E341-D341</f>
        <v>0</v>
      </c>
      <c r="H341" s="371">
        <f t="shared" ref="H341:H348" si="286">SUM(D341:G341)</f>
        <v>0</v>
      </c>
      <c r="I341" s="370">
        <v>0</v>
      </c>
      <c r="J341" s="370">
        <f>0-I341</f>
        <v>0</v>
      </c>
      <c r="K341" s="370">
        <f>0-J341-I341</f>
        <v>0</v>
      </c>
      <c r="L341" s="370">
        <f>0-K341-J341-I341</f>
        <v>0</v>
      </c>
      <c r="M341" s="371">
        <f t="shared" ref="M341:M348" si="287">SUM(I341:L341)</f>
        <v>0</v>
      </c>
      <c r="N341" s="370">
        <v>0</v>
      </c>
      <c r="O341" s="370">
        <f>250-N341</f>
        <v>250</v>
      </c>
      <c r="P341" s="370">
        <f>797-O341-N341</f>
        <v>547</v>
      </c>
      <c r="Q341" s="370">
        <f>0-P341-O341-N341</f>
        <v>-797</v>
      </c>
      <c r="R341" s="371">
        <f t="shared" ref="R341:R348" si="288">SUM(N341:Q341)</f>
        <v>0</v>
      </c>
      <c r="S341" s="370">
        <v>299</v>
      </c>
      <c r="T341" s="370">
        <f>248-S341</f>
        <v>-51</v>
      </c>
      <c r="U341" s="370">
        <f>220-T341-S341</f>
        <v>-28</v>
      </c>
      <c r="V341" s="370">
        <f t="shared" ref="V341:V348" si="289">0-U341-T341-S341</f>
        <v>-220</v>
      </c>
      <c r="W341" s="371">
        <f t="shared" ref="W341:W348" si="290">SUM(S341:V341)</f>
        <v>0</v>
      </c>
      <c r="X341" s="370">
        <f>X271-V271</f>
        <v>198.90635954534375</v>
      </c>
      <c r="Y341" s="370">
        <f t="shared" ref="Y341:AA342" si="291">Y271-X271</f>
        <v>-24.666709068685208</v>
      </c>
      <c r="Z341" s="370">
        <f t="shared" si="291"/>
        <v>-19.967501592734578</v>
      </c>
      <c r="AA341" s="370">
        <f t="shared" si="291"/>
        <v>-12.134832231300805</v>
      </c>
      <c r="AB341" s="371">
        <f t="shared" ref="AB341:AB348" si="292">SUM(X341:AA341)</f>
        <v>142.13731665262316</v>
      </c>
      <c r="AC341" s="370">
        <f>AC271-AA271</f>
        <v>39.576692682499242</v>
      </c>
      <c r="AD341" s="370">
        <f t="shared" ref="AD341:AF342" si="293">AD271-AC271</f>
        <v>-5.7875139715896182</v>
      </c>
      <c r="AE341" s="370">
        <f t="shared" si="293"/>
        <v>-1.6223858456010873</v>
      </c>
      <c r="AF341" s="370">
        <f t="shared" si="293"/>
        <v>9.4199502229398604</v>
      </c>
      <c r="AG341" s="371">
        <f t="shared" ref="AG341:AG348" si="294">SUM(AC341:AF341)</f>
        <v>41.586743088248397</v>
      </c>
      <c r="AH341" s="370">
        <f>AH271-AF271</f>
        <v>8.5680396108500929</v>
      </c>
      <c r="AI341" s="370">
        <f t="shared" ref="AI341:AK342" si="295">AI271-AH271</f>
        <v>1.1859694635544429</v>
      </c>
      <c r="AJ341" s="370">
        <f t="shared" si="295"/>
        <v>2.1539542705086774</v>
      </c>
      <c r="AK341" s="370">
        <f t="shared" si="295"/>
        <v>9.7888967606227482</v>
      </c>
      <c r="AL341" s="371">
        <f t="shared" ref="AL341:AL348" si="296">SUM(AH341:AK341)</f>
        <v>21.696860105535961</v>
      </c>
      <c r="AM341" s="370">
        <f>AM271-AK271</f>
        <v>3.0035017278740384</v>
      </c>
      <c r="AN341" s="370">
        <f t="shared" ref="AN341:AP342" si="297">AN271-AM271</f>
        <v>2.9376044274489743</v>
      </c>
      <c r="AO341" s="370">
        <f t="shared" si="297"/>
        <v>2.2932789255827117</v>
      </c>
      <c r="AP341" s="370">
        <f t="shared" si="297"/>
        <v>8.9560658943325109</v>
      </c>
      <c r="AQ341" s="371">
        <f t="shared" ref="AQ341:AQ348" si="298">SUM(AM341:AP341)</f>
        <v>17.190450975238235</v>
      </c>
      <c r="AR341" s="370">
        <f>AR271-AP271</f>
        <v>1.642186883371096</v>
      </c>
      <c r="AS341" s="370">
        <f t="shared" ref="AS341:AS342" si="299">AS271-AR271</f>
        <v>2.7771872472269479</v>
      </c>
      <c r="AT341" s="370">
        <f t="shared" ref="AT341:AT342" si="300">AT271-AS271</f>
        <v>1.6187602621738222</v>
      </c>
      <c r="AU341" s="370">
        <f t="shared" ref="AU341:AU342" si="301">AU271-AT271</f>
        <v>8.1597604262812808</v>
      </c>
      <c r="AV341" s="371">
        <f t="shared" ref="AV341:AV348" si="302">SUM(AR341:AU341)</f>
        <v>14.197894819053147</v>
      </c>
    </row>
    <row r="342" spans="2:48" outlineLevel="1" x14ac:dyDescent="0.25">
      <c r="B342" s="177" t="s">
        <v>233</v>
      </c>
      <c r="C342" s="127"/>
      <c r="D342" s="370">
        <v>-15</v>
      </c>
      <c r="E342" s="370">
        <f>-17-D342</f>
        <v>-2</v>
      </c>
      <c r="F342" s="370">
        <f>-28-E342-D342</f>
        <v>-11</v>
      </c>
      <c r="G342" s="370">
        <f>-41-F342-E342-D342</f>
        <v>-13</v>
      </c>
      <c r="H342" s="371">
        <f t="shared" si="286"/>
        <v>-41</v>
      </c>
      <c r="I342" s="370">
        <v>-12</v>
      </c>
      <c r="J342" s="370">
        <f>-43-I342</f>
        <v>-31</v>
      </c>
      <c r="K342" s="370">
        <f>-49-J342-I342</f>
        <v>-6</v>
      </c>
      <c r="L342" s="370">
        <f>-82-K342-J342-I342</f>
        <v>-33</v>
      </c>
      <c r="M342" s="371">
        <f t="shared" si="287"/>
        <v>-82</v>
      </c>
      <c r="N342" s="370">
        <v>-12</v>
      </c>
      <c r="O342" s="370">
        <f>-28-N342</f>
        <v>-16</v>
      </c>
      <c r="P342" s="370">
        <f>-31-O342-N342</f>
        <v>-3</v>
      </c>
      <c r="Q342" s="370">
        <f>-38-P342-O342-N342</f>
        <v>-7</v>
      </c>
      <c r="R342" s="371">
        <f t="shared" si="288"/>
        <v>-38</v>
      </c>
      <c r="S342" s="370">
        <v>-2</v>
      </c>
      <c r="T342" s="370">
        <f>-785-S342</f>
        <v>-783</v>
      </c>
      <c r="U342" s="370">
        <f>-874-T342-S342</f>
        <v>-89</v>
      </c>
      <c r="V342" s="370">
        <f>-1436-U342-T342-S342</f>
        <v>-562</v>
      </c>
      <c r="W342" s="371">
        <f t="shared" si="290"/>
        <v>-1436</v>
      </c>
      <c r="X342" s="370">
        <f>X272-V272</f>
        <v>57.659125845581229</v>
      </c>
      <c r="Y342" s="370">
        <f t="shared" si="291"/>
        <v>-90.80694996690363</v>
      </c>
      <c r="Z342" s="370">
        <f t="shared" si="291"/>
        <v>82.354780861658128</v>
      </c>
      <c r="AA342" s="370">
        <f t="shared" si="291"/>
        <v>56.015819409785991</v>
      </c>
      <c r="AB342" s="371">
        <f t="shared" si="292"/>
        <v>105.22277615012172</v>
      </c>
      <c r="AC342" s="370">
        <f>AC272-AA272</f>
        <v>20.019321646201206</v>
      </c>
      <c r="AD342" s="370">
        <f t="shared" si="293"/>
        <v>14.830009406429554</v>
      </c>
      <c r="AE342" s="370">
        <f t="shared" si="293"/>
        <v>36.677066701967078</v>
      </c>
      <c r="AF342" s="370">
        <f t="shared" si="293"/>
        <v>60.591609915068602</v>
      </c>
      <c r="AG342" s="371">
        <f t="shared" si="294"/>
        <v>132.11800766966644</v>
      </c>
      <c r="AH342" s="370">
        <f>AH272-AF272</f>
        <v>15.869215761336591</v>
      </c>
      <c r="AI342" s="370">
        <f t="shared" si="295"/>
        <v>25.014855898694123</v>
      </c>
      <c r="AJ342" s="370">
        <f t="shared" si="295"/>
        <v>21.038522981927599</v>
      </c>
      <c r="AK342" s="370">
        <f t="shared" si="295"/>
        <v>58.794770872598065</v>
      </c>
      <c r="AL342" s="371">
        <f t="shared" si="296"/>
        <v>120.71736551455638</v>
      </c>
      <c r="AM342" s="370">
        <f>AM272-AK272</f>
        <v>14.059359087272242</v>
      </c>
      <c r="AN342" s="370">
        <f t="shared" si="297"/>
        <v>23.156558105664999</v>
      </c>
      <c r="AO342" s="370">
        <f t="shared" si="297"/>
        <v>15.310794988907674</v>
      </c>
      <c r="AP342" s="370">
        <f t="shared" si="297"/>
        <v>56.307149937946406</v>
      </c>
      <c r="AQ342" s="371">
        <f t="shared" si="298"/>
        <v>108.83386211979132</v>
      </c>
      <c r="AR342" s="370">
        <f>AR272-AP272</f>
        <v>10.102525050190934</v>
      </c>
      <c r="AS342" s="370">
        <f t="shared" si="299"/>
        <v>18.709290582985659</v>
      </c>
      <c r="AT342" s="370">
        <f t="shared" si="300"/>
        <v>10.323296126949117</v>
      </c>
      <c r="AU342" s="370">
        <f t="shared" si="301"/>
        <v>52.195234897992123</v>
      </c>
      <c r="AV342" s="371">
        <f t="shared" si="302"/>
        <v>91.330346658117833</v>
      </c>
    </row>
    <row r="343" spans="2:48" outlineLevel="1" x14ac:dyDescent="0.25">
      <c r="B343" s="695" t="s">
        <v>234</v>
      </c>
      <c r="C343" s="696"/>
      <c r="D343" s="370">
        <v>0</v>
      </c>
      <c r="E343" s="370">
        <f>1238-D343</f>
        <v>1238</v>
      </c>
      <c r="F343" s="370">
        <f>1238-E343-D343</f>
        <v>0</v>
      </c>
      <c r="G343" s="370">
        <f>6519-F343-E343-D343</f>
        <v>5281</v>
      </c>
      <c r="H343" s="371">
        <f t="shared" si="286"/>
        <v>6519</v>
      </c>
      <c r="I343" s="370">
        <v>0</v>
      </c>
      <c r="J343" s="370">
        <f>0-I343</f>
        <v>0</v>
      </c>
      <c r="K343" s="370">
        <f>1190-J343-I343</f>
        <v>1190</v>
      </c>
      <c r="L343" s="370">
        <f>1190-K343-J343-I343</f>
        <v>0</v>
      </c>
      <c r="M343" s="371">
        <f t="shared" si="287"/>
        <v>1190</v>
      </c>
      <c r="N343" s="370">
        <v>0</v>
      </c>
      <c r="O343" s="370">
        <f>0-N343</f>
        <v>0</v>
      </c>
      <c r="P343" s="370">
        <f>1481-O343-N343</f>
        <v>1481</v>
      </c>
      <c r="Q343" s="370">
        <f>1480-P343-O343-N343</f>
        <v>-1</v>
      </c>
      <c r="R343" s="371">
        <f t="shared" si="288"/>
        <v>1480</v>
      </c>
      <c r="S343" s="370">
        <v>0</v>
      </c>
      <c r="T343" s="370">
        <f>1233-S343</f>
        <v>1233</v>
      </c>
      <c r="U343" s="370">
        <f>2463-T343-S343</f>
        <v>1230</v>
      </c>
      <c r="V343" s="370">
        <f>2463-U343-T343-S343</f>
        <v>0</v>
      </c>
      <c r="W343" s="371">
        <f t="shared" si="290"/>
        <v>2463</v>
      </c>
      <c r="X343" s="370">
        <f>X277-V277</f>
        <v>113.30396399674646</v>
      </c>
      <c r="Y343" s="370">
        <f>Y277-X277</f>
        <v>623.845115428383</v>
      </c>
      <c r="Z343" s="370">
        <f>Z277-Y277</f>
        <v>328.02943617036362</v>
      </c>
      <c r="AA343" s="370">
        <f>AA277-Z277</f>
        <v>913.71018334430482</v>
      </c>
      <c r="AB343" s="371">
        <f t="shared" si="292"/>
        <v>1978.8886989397979</v>
      </c>
      <c r="AC343" s="370">
        <f>AC277-AA277</f>
        <v>391.05608362799831</v>
      </c>
      <c r="AD343" s="370">
        <f>AD277-AC277</f>
        <v>571.52714081028535</v>
      </c>
      <c r="AE343" s="370">
        <f>AE277-AD277</f>
        <v>400.71929175885816</v>
      </c>
      <c r="AF343" s="370">
        <f>AF277-AE277</f>
        <v>1073.6620277093061</v>
      </c>
      <c r="AG343" s="371">
        <f t="shared" si="294"/>
        <v>2436.9645439064479</v>
      </c>
      <c r="AH343" s="370">
        <f>AH277-AF277</f>
        <v>313.41172585751337</v>
      </c>
      <c r="AI343" s="370">
        <f>AI277-AH277</f>
        <v>471.72885893642888</v>
      </c>
      <c r="AJ343" s="370">
        <f>AJ277-AI277</f>
        <v>322.24805041340733</v>
      </c>
      <c r="AK343" s="370">
        <f>AK277-AJ277</f>
        <v>1040.2756827405719</v>
      </c>
      <c r="AL343" s="371">
        <f t="shared" si="296"/>
        <v>2147.6643179479215</v>
      </c>
      <c r="AM343" s="370">
        <f>AM277-AK277</f>
        <v>255.1609460503314</v>
      </c>
      <c r="AN343" s="370">
        <f>AN277-AM277</f>
        <v>407.21890391418492</v>
      </c>
      <c r="AO343" s="370">
        <f>AO277-AN277</f>
        <v>260.76341973979288</v>
      </c>
      <c r="AP343" s="370">
        <f>AP277-AO277</f>
        <v>990.58088070109807</v>
      </c>
      <c r="AQ343" s="371">
        <f t="shared" si="298"/>
        <v>1913.7241504054073</v>
      </c>
      <c r="AR343" s="370">
        <f>AR277-AP277</f>
        <v>178.54992945693812</v>
      </c>
      <c r="AS343" s="370">
        <f>AS277-AR277</f>
        <v>327.51289770249423</v>
      </c>
      <c r="AT343" s="370">
        <f>AT277-AS277</f>
        <v>179.98739626491806</v>
      </c>
      <c r="AU343" s="370">
        <f>AU277-AT277</f>
        <v>916.14726062150294</v>
      </c>
      <c r="AV343" s="371">
        <f t="shared" si="302"/>
        <v>1602.1974840458533</v>
      </c>
    </row>
    <row r="344" spans="2:48" outlineLevel="1" x14ac:dyDescent="0.25">
      <c r="B344" s="695" t="s">
        <v>235</v>
      </c>
      <c r="C344" s="696"/>
      <c r="D344" s="370">
        <v>46</v>
      </c>
      <c r="E344" s="370">
        <f>62-D344</f>
        <v>16</v>
      </c>
      <c r="F344" s="370">
        <f>79-E344-D344</f>
        <v>17</v>
      </c>
      <c r="G344" s="370">
        <f>183-F344-E344-D344</f>
        <v>104</v>
      </c>
      <c r="H344" s="371">
        <f t="shared" si="286"/>
        <v>183</v>
      </c>
      <c r="I344" s="370">
        <v>40</v>
      </c>
      <c r="J344" s="370">
        <f>164-I344</f>
        <v>124</v>
      </c>
      <c r="K344" s="370">
        <f>265-J344-I344</f>
        <v>101</v>
      </c>
      <c r="L344" s="370">
        <f>337-K344-J344-I344</f>
        <v>72</v>
      </c>
      <c r="M344" s="371">
        <f t="shared" si="287"/>
        <v>337</v>
      </c>
      <c r="N344" s="370">
        <v>150</v>
      </c>
      <c r="O344" s="370">
        <f>205-N344</f>
        <v>55</v>
      </c>
      <c r="P344" s="370">
        <f>284-O344-N344</f>
        <v>79</v>
      </c>
      <c r="Q344" s="370">
        <f>327-P344-O344-N344</f>
        <v>43</v>
      </c>
      <c r="R344" s="371">
        <f t="shared" si="288"/>
        <v>327</v>
      </c>
      <c r="S344" s="370">
        <v>25</v>
      </c>
      <c r="T344" s="370">
        <f>45-S344</f>
        <v>20</v>
      </c>
      <c r="U344" s="370">
        <f>58-T344-S344</f>
        <v>13</v>
      </c>
      <c r="V344" s="370">
        <f>101-U344-T344-S344</f>
        <v>43</v>
      </c>
      <c r="W344" s="371">
        <f t="shared" si="290"/>
        <v>101</v>
      </c>
      <c r="X344" s="241">
        <v>0</v>
      </c>
      <c r="Y344" s="241">
        <v>0</v>
      </c>
      <c r="Z344" s="241">
        <v>0</v>
      </c>
      <c r="AA344" s="241">
        <v>0</v>
      </c>
      <c r="AB344" s="371">
        <f t="shared" si="292"/>
        <v>0</v>
      </c>
      <c r="AC344" s="241">
        <v>0</v>
      </c>
      <c r="AD344" s="241">
        <v>0</v>
      </c>
      <c r="AE344" s="241">
        <v>0</v>
      </c>
      <c r="AF344" s="241">
        <v>0</v>
      </c>
      <c r="AG344" s="371">
        <f t="shared" si="294"/>
        <v>0</v>
      </c>
      <c r="AH344" s="241">
        <v>0</v>
      </c>
      <c r="AI344" s="241">
        <v>0</v>
      </c>
      <c r="AJ344" s="241">
        <v>0</v>
      </c>
      <c r="AK344" s="241">
        <v>0</v>
      </c>
      <c r="AL344" s="371">
        <f t="shared" si="296"/>
        <v>0</v>
      </c>
      <c r="AM344" s="241">
        <v>0</v>
      </c>
      <c r="AN344" s="241">
        <v>0</v>
      </c>
      <c r="AO344" s="241">
        <v>0</v>
      </c>
      <c r="AP344" s="241">
        <v>0</v>
      </c>
      <c r="AQ344" s="371">
        <f t="shared" si="298"/>
        <v>0</v>
      </c>
      <c r="AR344" s="241">
        <v>0</v>
      </c>
      <c r="AS344" s="241">
        <v>0</v>
      </c>
      <c r="AT344" s="241">
        <v>0</v>
      </c>
      <c r="AU344" s="241">
        <v>0</v>
      </c>
      <c r="AV344" s="371">
        <f t="shared" si="302"/>
        <v>0</v>
      </c>
    </row>
    <row r="345" spans="2:48" outlineLevel="1" x14ac:dyDescent="0.25">
      <c r="B345" s="695" t="s">
        <v>51</v>
      </c>
      <c r="C345" s="696"/>
      <c r="D345" s="370">
        <v>-71</v>
      </c>
      <c r="E345" s="370">
        <f>-141-D345</f>
        <v>-70</v>
      </c>
      <c r="F345" s="370">
        <f>-210-E345-D345</f>
        <v>-69</v>
      </c>
      <c r="G345" s="370">
        <f>-277-F345-E345-D345</f>
        <v>-67</v>
      </c>
      <c r="H345" s="371">
        <f t="shared" si="286"/>
        <v>-277</v>
      </c>
      <c r="I345" s="370">
        <v>-106</v>
      </c>
      <c r="J345" s="370">
        <f>-213-I345</f>
        <v>-107</v>
      </c>
      <c r="K345" s="370">
        <f>-319-J345-I345</f>
        <v>-106</v>
      </c>
      <c r="L345" s="370">
        <f>-426-K345-J345-I345</f>
        <v>-107</v>
      </c>
      <c r="M345" s="371">
        <f t="shared" si="287"/>
        <v>-426</v>
      </c>
      <c r="N345" s="370">
        <v>-134</v>
      </c>
      <c r="O345" s="370">
        <f>-268-N345</f>
        <v>-134</v>
      </c>
      <c r="P345" s="370">
        <f>-402-O345-N345</f>
        <v>-134</v>
      </c>
      <c r="Q345" s="370">
        <f>-535-P345-O345-N345</f>
        <v>-133</v>
      </c>
      <c r="R345" s="371">
        <f t="shared" si="288"/>
        <v>-535</v>
      </c>
      <c r="S345" s="370">
        <v>-173</v>
      </c>
      <c r="T345" s="370">
        <f>-173-S345</f>
        <v>0</v>
      </c>
      <c r="U345" s="370">
        <f>-514-T345-S345</f>
        <v>-341</v>
      </c>
      <c r="V345" s="370">
        <f>-683-U345-T345-S345</f>
        <v>-169</v>
      </c>
      <c r="W345" s="371">
        <f t="shared" si="290"/>
        <v>-683</v>
      </c>
      <c r="X345" s="370">
        <f>-X46*X41</f>
        <v>-212.86224467143242</v>
      </c>
      <c r="Y345" s="370">
        <f>-Y46*Y41</f>
        <v>-212.71983177147825</v>
      </c>
      <c r="Z345" s="370">
        <f>-Z46*Z41</f>
        <v>-212.61166427237669</v>
      </c>
      <c r="AA345" s="370">
        <f>-AA46*AA41</f>
        <v>-212.76346694493174</v>
      </c>
      <c r="AB345" s="371">
        <f t="shared" si="292"/>
        <v>-850.95720766021896</v>
      </c>
      <c r="AC345" s="370">
        <f>-AC46*AC41</f>
        <v>-265.91951928727781</v>
      </c>
      <c r="AD345" s="370">
        <f>-AD46*AD41</f>
        <v>-265.87999045861449</v>
      </c>
      <c r="AE345" s="370">
        <f>-AE46*AE41</f>
        <v>-265.87505774167948</v>
      </c>
      <c r="AF345" s="370">
        <f>-AF46*AF41</f>
        <v>-265.90269119564988</v>
      </c>
      <c r="AG345" s="371">
        <f t="shared" si="294"/>
        <v>-1063.5772586832215</v>
      </c>
      <c r="AH345" s="370">
        <f>-AH46*AH41</f>
        <v>-319.06772833801188</v>
      </c>
      <c r="AI345" s="370">
        <f>-AI46*AI41</f>
        <v>-319.05879466474408</v>
      </c>
      <c r="AJ345" s="370">
        <f>-AJ46*AJ41</f>
        <v>-319.05948485143881</v>
      </c>
      <c r="AK345" s="370">
        <f>-AK46*AK41</f>
        <v>-319.06182739319661</v>
      </c>
      <c r="AL345" s="371">
        <f t="shared" si="296"/>
        <v>-1276.2478352473913</v>
      </c>
      <c r="AM345" s="370">
        <f>-AM46*AM41</f>
        <v>-366.91493500900799</v>
      </c>
      <c r="AN345" s="370">
        <f>-AN46*AN41</f>
        <v>-366.91168318321303</v>
      </c>
      <c r="AO345" s="370">
        <f>-AO46*AO41</f>
        <v>-366.91018672445597</v>
      </c>
      <c r="AP345" s="370">
        <f>-AP46*AP41</f>
        <v>-366.90811770381788</v>
      </c>
      <c r="AQ345" s="371">
        <f t="shared" si="298"/>
        <v>-1467.644922620495</v>
      </c>
      <c r="AR345" s="370">
        <f>-AR46*AR41</f>
        <v>-421.94058664304322</v>
      </c>
      <c r="AS345" s="370">
        <f>-AS46*AS41</f>
        <v>-421.93767354253026</v>
      </c>
      <c r="AT345" s="370">
        <f>-AT46*AT41</f>
        <v>-421.93496702478927</v>
      </c>
      <c r="AU345" s="370">
        <f>-AU46*AU41</f>
        <v>-421.93201408238656</v>
      </c>
      <c r="AV345" s="371">
        <f t="shared" si="302"/>
        <v>-1687.7452412927494</v>
      </c>
    </row>
    <row r="346" spans="2:48" outlineLevel="1" x14ac:dyDescent="0.25">
      <c r="B346" s="695" t="s">
        <v>236</v>
      </c>
      <c r="C346" s="696"/>
      <c r="D346" s="370">
        <v>-190</v>
      </c>
      <c r="E346" s="370">
        <f>-1101-D346</f>
        <v>-911</v>
      </c>
      <c r="F346" s="370">
        <f>-2133-E346-D346</f>
        <v>-1032</v>
      </c>
      <c r="G346" s="370">
        <f>-2722-F346-E346-D346</f>
        <v>-589</v>
      </c>
      <c r="H346" s="371">
        <f t="shared" si="286"/>
        <v>-2722</v>
      </c>
      <c r="I346" s="370">
        <v>-222</v>
      </c>
      <c r="J346" s="370">
        <f>-334-I346</f>
        <v>-112</v>
      </c>
      <c r="K346" s="370">
        <f>-358-J346-I346</f>
        <v>-24</v>
      </c>
      <c r="L346" s="370">
        <f>-509-K346-J346-I346</f>
        <v>-151</v>
      </c>
      <c r="M346" s="371">
        <f t="shared" si="287"/>
        <v>-509</v>
      </c>
      <c r="N346" s="370">
        <v>-86</v>
      </c>
      <c r="O346" s="370">
        <f>-270-N346</f>
        <v>-184</v>
      </c>
      <c r="P346" s="370">
        <f>-558-O346-N346</f>
        <v>-288</v>
      </c>
      <c r="Q346" s="370">
        <f>-1017-P346-O346-N346</f>
        <v>-459</v>
      </c>
      <c r="R346" s="371">
        <f t="shared" si="288"/>
        <v>-1017</v>
      </c>
      <c r="S346" s="370">
        <v>-625</v>
      </c>
      <c r="T346" s="370">
        <f>-1271-S346</f>
        <v>-646</v>
      </c>
      <c r="U346" s="370">
        <f>-1365-T346-S346</f>
        <v>-94</v>
      </c>
      <c r="V346" s="370">
        <f>-1480-U346-T346-S346</f>
        <v>-115</v>
      </c>
      <c r="W346" s="371">
        <f t="shared" si="290"/>
        <v>-1480</v>
      </c>
      <c r="X346" s="370">
        <f>-X236</f>
        <v>-100</v>
      </c>
      <c r="Y346" s="370">
        <f>-Y236</f>
        <v>-100</v>
      </c>
      <c r="Z346" s="370">
        <f>-Z236</f>
        <v>-100</v>
      </c>
      <c r="AA346" s="370">
        <f>-AA236</f>
        <v>-100</v>
      </c>
      <c r="AB346" s="371">
        <f t="shared" si="292"/>
        <v>-400</v>
      </c>
      <c r="AC346" s="370">
        <f>-AC236</f>
        <v>-100</v>
      </c>
      <c r="AD346" s="370">
        <f>-AD236</f>
        <v>-100</v>
      </c>
      <c r="AE346" s="370">
        <f>-AE236</f>
        <v>-100</v>
      </c>
      <c r="AF346" s="370">
        <f>-AF236</f>
        <v>-100</v>
      </c>
      <c r="AG346" s="371">
        <f t="shared" si="294"/>
        <v>-400</v>
      </c>
      <c r="AH346" s="370">
        <f>-AH236</f>
        <v>-100</v>
      </c>
      <c r="AI346" s="370">
        <f>-AI236</f>
        <v>-100</v>
      </c>
      <c r="AJ346" s="370">
        <f>-AJ236</f>
        <v>-100</v>
      </c>
      <c r="AK346" s="370">
        <f>-AK236</f>
        <v>-100</v>
      </c>
      <c r="AL346" s="371">
        <f t="shared" si="296"/>
        <v>-400</v>
      </c>
      <c r="AM346" s="370">
        <f>-AM236</f>
        <v>-100</v>
      </c>
      <c r="AN346" s="370">
        <f>-AN236</f>
        <v>-100</v>
      </c>
      <c r="AO346" s="370">
        <f>-AO236</f>
        <v>-100</v>
      </c>
      <c r="AP346" s="370">
        <f>-AP236</f>
        <v>-100</v>
      </c>
      <c r="AQ346" s="371">
        <f t="shared" si="298"/>
        <v>-400</v>
      </c>
      <c r="AR346" s="370">
        <f>-AR236</f>
        <v>-100</v>
      </c>
      <c r="AS346" s="370">
        <f>-AS236</f>
        <v>-100</v>
      </c>
      <c r="AT346" s="370">
        <f>-AT236</f>
        <v>-100</v>
      </c>
      <c r="AU346" s="370">
        <f>-AU236</f>
        <v>-100</v>
      </c>
      <c r="AV346" s="371">
        <f t="shared" si="302"/>
        <v>-400</v>
      </c>
    </row>
    <row r="347" spans="2:48" outlineLevel="1" x14ac:dyDescent="0.25">
      <c r="B347" s="177" t="s">
        <v>238</v>
      </c>
      <c r="C347" s="127"/>
      <c r="D347" s="370"/>
      <c r="E347" s="370"/>
      <c r="F347" s="370"/>
      <c r="G347" s="370"/>
      <c r="H347" s="371">
        <f t="shared" si="286"/>
        <v>0</v>
      </c>
      <c r="I347" s="370"/>
      <c r="J347" s="370">
        <f>0-I347</f>
        <v>0</v>
      </c>
      <c r="K347" s="370">
        <f>0-J347-I347</f>
        <v>0</v>
      </c>
      <c r="L347" s="370">
        <f>0-K347-J347-I347</f>
        <v>0</v>
      </c>
      <c r="M347" s="371">
        <f t="shared" si="287"/>
        <v>0</v>
      </c>
      <c r="N347" s="370"/>
      <c r="O347" s="370"/>
      <c r="P347" s="370"/>
      <c r="Q347" s="370">
        <f>0-P347-O347-N347</f>
        <v>0</v>
      </c>
      <c r="R347" s="371">
        <f t="shared" si="288"/>
        <v>0</v>
      </c>
      <c r="S347" s="370">
        <v>0</v>
      </c>
      <c r="T347" s="370">
        <v>0</v>
      </c>
      <c r="U347" s="370">
        <f t="shared" ref="U347" si="303">0-T347-S347</f>
        <v>0</v>
      </c>
      <c r="V347" s="370">
        <f t="shared" si="289"/>
        <v>0</v>
      </c>
      <c r="W347" s="371">
        <f t="shared" si="290"/>
        <v>0</v>
      </c>
      <c r="X347" s="241">
        <v>0</v>
      </c>
      <c r="Y347" s="241">
        <v>0</v>
      </c>
      <c r="Z347" s="241">
        <v>0</v>
      </c>
      <c r="AA347" s="241">
        <v>0</v>
      </c>
      <c r="AB347" s="371">
        <f t="shared" si="292"/>
        <v>0</v>
      </c>
      <c r="AC347" s="241">
        <v>0</v>
      </c>
      <c r="AD347" s="241">
        <v>0</v>
      </c>
      <c r="AE347" s="241">
        <v>0</v>
      </c>
      <c r="AF347" s="241">
        <v>0</v>
      </c>
      <c r="AG347" s="371">
        <f t="shared" si="294"/>
        <v>0</v>
      </c>
      <c r="AH347" s="241">
        <v>0</v>
      </c>
      <c r="AI347" s="241">
        <v>0</v>
      </c>
      <c r="AJ347" s="241">
        <v>0</v>
      </c>
      <c r="AK347" s="241">
        <v>0</v>
      </c>
      <c r="AL347" s="371">
        <f t="shared" si="296"/>
        <v>0</v>
      </c>
      <c r="AM347" s="241">
        <v>0</v>
      </c>
      <c r="AN347" s="241">
        <v>0</v>
      </c>
      <c r="AO347" s="241">
        <v>0</v>
      </c>
      <c r="AP347" s="241">
        <v>0</v>
      </c>
      <c r="AQ347" s="371">
        <f t="shared" si="298"/>
        <v>0</v>
      </c>
      <c r="AR347" s="241">
        <v>0</v>
      </c>
      <c r="AS347" s="241">
        <v>0</v>
      </c>
      <c r="AT347" s="241">
        <v>0</v>
      </c>
      <c r="AU347" s="241">
        <v>0</v>
      </c>
      <c r="AV347" s="371">
        <f t="shared" si="302"/>
        <v>0</v>
      </c>
    </row>
    <row r="348" spans="2:48" ht="17.25" outlineLevel="1" x14ac:dyDescent="0.4">
      <c r="B348" s="695" t="s">
        <v>228</v>
      </c>
      <c r="C348" s="696"/>
      <c r="D348" s="372">
        <v>6</v>
      </c>
      <c r="E348" s="372">
        <f>-8-D348</f>
        <v>-14</v>
      </c>
      <c r="F348" s="372">
        <f>-16+9-E348-D348</f>
        <v>1</v>
      </c>
      <c r="G348" s="372">
        <f>3-54-F348-E348-D348</f>
        <v>-44</v>
      </c>
      <c r="H348" s="373">
        <f t="shared" si="286"/>
        <v>-51</v>
      </c>
      <c r="I348" s="372">
        <f>-15+2</f>
        <v>-13</v>
      </c>
      <c r="J348" s="372">
        <f>-5-I348</f>
        <v>8</v>
      </c>
      <c r="K348" s="372">
        <f>2-J348-I348</f>
        <v>7</v>
      </c>
      <c r="L348" s="372">
        <f>18-K348-J348-I348</f>
        <v>16</v>
      </c>
      <c r="M348" s="373">
        <f t="shared" si="287"/>
        <v>18</v>
      </c>
      <c r="N348" s="372">
        <v>-6</v>
      </c>
      <c r="O348" s="372">
        <f>3-N348</f>
        <v>9</v>
      </c>
      <c r="P348" s="372">
        <f>6-O348-N348</f>
        <v>3</v>
      </c>
      <c r="Q348" s="372">
        <f>10-P348-O348-N348</f>
        <v>4</v>
      </c>
      <c r="R348" s="373">
        <f t="shared" si="288"/>
        <v>10</v>
      </c>
      <c r="S348" s="372">
        <v>4</v>
      </c>
      <c r="T348" s="372">
        <f>1-S348</f>
        <v>-3</v>
      </c>
      <c r="U348" s="372">
        <f>5-T348-S348</f>
        <v>4</v>
      </c>
      <c r="V348" s="372">
        <f>-4-U348-T348-S348</f>
        <v>-9</v>
      </c>
      <c r="W348" s="373">
        <f t="shared" si="290"/>
        <v>-4</v>
      </c>
      <c r="X348" s="239">
        <v>0</v>
      </c>
      <c r="Y348" s="239">
        <v>0</v>
      </c>
      <c r="Z348" s="239">
        <v>0</v>
      </c>
      <c r="AA348" s="239">
        <v>0</v>
      </c>
      <c r="AB348" s="373">
        <f t="shared" si="292"/>
        <v>0</v>
      </c>
      <c r="AC348" s="239">
        <v>0</v>
      </c>
      <c r="AD348" s="239">
        <v>0</v>
      </c>
      <c r="AE348" s="239">
        <v>0</v>
      </c>
      <c r="AF348" s="239">
        <v>0</v>
      </c>
      <c r="AG348" s="373">
        <f t="shared" si="294"/>
        <v>0</v>
      </c>
      <c r="AH348" s="239">
        <v>0</v>
      </c>
      <c r="AI348" s="239">
        <v>0</v>
      </c>
      <c r="AJ348" s="239">
        <v>0</v>
      </c>
      <c r="AK348" s="239">
        <v>0</v>
      </c>
      <c r="AL348" s="373">
        <f t="shared" si="296"/>
        <v>0</v>
      </c>
      <c r="AM348" s="239">
        <v>0</v>
      </c>
      <c r="AN348" s="239">
        <v>0</v>
      </c>
      <c r="AO348" s="239">
        <v>0</v>
      </c>
      <c r="AP348" s="239">
        <v>0</v>
      </c>
      <c r="AQ348" s="373">
        <f t="shared" si="298"/>
        <v>0</v>
      </c>
      <c r="AR348" s="239">
        <v>0</v>
      </c>
      <c r="AS348" s="239">
        <v>0</v>
      </c>
      <c r="AT348" s="239">
        <v>0</v>
      </c>
      <c r="AU348" s="239">
        <v>0</v>
      </c>
      <c r="AV348" s="373">
        <f t="shared" si="302"/>
        <v>0</v>
      </c>
    </row>
    <row r="349" spans="2:48" outlineLevel="1" x14ac:dyDescent="0.25">
      <c r="B349" s="693" t="s">
        <v>19</v>
      </c>
      <c r="C349" s="694"/>
      <c r="D349" s="357">
        <f t="shared" ref="D349:AQ349" si="304">SUM(D341:D348)</f>
        <v>-224</v>
      </c>
      <c r="E349" s="357">
        <f t="shared" si="304"/>
        <v>257</v>
      </c>
      <c r="F349" s="357">
        <f t="shared" si="304"/>
        <v>-1094</v>
      </c>
      <c r="G349" s="357">
        <f t="shared" si="304"/>
        <v>4672</v>
      </c>
      <c r="H349" s="358">
        <f t="shared" si="304"/>
        <v>3611</v>
      </c>
      <c r="I349" s="357">
        <f t="shared" si="304"/>
        <v>-313</v>
      </c>
      <c r="J349" s="357">
        <f t="shared" si="304"/>
        <v>-118</v>
      </c>
      <c r="K349" s="357">
        <f t="shared" si="304"/>
        <v>1162</v>
      </c>
      <c r="L349" s="357">
        <f t="shared" si="304"/>
        <v>-203</v>
      </c>
      <c r="M349" s="358">
        <f t="shared" si="304"/>
        <v>528</v>
      </c>
      <c r="N349" s="357">
        <f t="shared" si="304"/>
        <v>-88</v>
      </c>
      <c r="O349" s="357">
        <f t="shared" si="304"/>
        <v>-20</v>
      </c>
      <c r="P349" s="357">
        <f t="shared" si="304"/>
        <v>1685</v>
      </c>
      <c r="Q349" s="357">
        <f t="shared" si="304"/>
        <v>-1350</v>
      </c>
      <c r="R349" s="358">
        <f t="shared" si="304"/>
        <v>227</v>
      </c>
      <c r="S349" s="357">
        <f t="shared" si="304"/>
        <v>-472</v>
      </c>
      <c r="T349" s="357">
        <f t="shared" si="304"/>
        <v>-230</v>
      </c>
      <c r="U349" s="357">
        <f t="shared" si="304"/>
        <v>695</v>
      </c>
      <c r="V349" s="357">
        <f t="shared" si="304"/>
        <v>-1032</v>
      </c>
      <c r="W349" s="358">
        <f t="shared" si="304"/>
        <v>-1039</v>
      </c>
      <c r="X349" s="357">
        <f t="shared" si="304"/>
        <v>57.007204716239045</v>
      </c>
      <c r="Y349" s="357">
        <f t="shared" si="304"/>
        <v>195.65162462131588</v>
      </c>
      <c r="Z349" s="357">
        <f t="shared" si="304"/>
        <v>77.805051166910459</v>
      </c>
      <c r="AA349" s="357">
        <f t="shared" si="304"/>
        <v>644.8277035778583</v>
      </c>
      <c r="AB349" s="358">
        <f t="shared" si="304"/>
        <v>975.29158408232388</v>
      </c>
      <c r="AC349" s="357">
        <f t="shared" si="304"/>
        <v>84.732578669420946</v>
      </c>
      <c r="AD349" s="357">
        <f t="shared" si="304"/>
        <v>214.68964578651077</v>
      </c>
      <c r="AE349" s="357">
        <f t="shared" si="304"/>
        <v>69.898914873544641</v>
      </c>
      <c r="AF349" s="357">
        <f t="shared" si="304"/>
        <v>777.77089665166477</v>
      </c>
      <c r="AG349" s="358">
        <f t="shared" si="304"/>
        <v>1147.0920359811414</v>
      </c>
      <c r="AH349" s="357">
        <f t="shared" si="304"/>
        <v>-81.218747108311845</v>
      </c>
      <c r="AI349" s="357">
        <f t="shared" si="304"/>
        <v>78.870889633933359</v>
      </c>
      <c r="AJ349" s="357">
        <f t="shared" si="304"/>
        <v>-73.618957185595207</v>
      </c>
      <c r="AK349" s="357">
        <f t="shared" si="304"/>
        <v>689.79752298059611</v>
      </c>
      <c r="AL349" s="358">
        <f t="shared" si="304"/>
        <v>613.83070832062231</v>
      </c>
      <c r="AM349" s="357">
        <f t="shared" si="304"/>
        <v>-194.69112814353031</v>
      </c>
      <c r="AN349" s="357">
        <f t="shared" si="304"/>
        <v>-33.598616735914163</v>
      </c>
      <c r="AO349" s="357">
        <f t="shared" si="304"/>
        <v>-188.54269307017267</v>
      </c>
      <c r="AP349" s="357">
        <f t="shared" si="304"/>
        <v>588.93597882955919</v>
      </c>
      <c r="AQ349" s="358">
        <f t="shared" si="304"/>
        <v>172.10354087994187</v>
      </c>
      <c r="AR349" s="357">
        <f t="shared" ref="AR349:AV349" si="305">SUM(AR341:AR348)</f>
        <v>-331.64594525254307</v>
      </c>
      <c r="AS349" s="357">
        <f t="shared" si="305"/>
        <v>-172.93829800982343</v>
      </c>
      <c r="AT349" s="357">
        <f t="shared" si="305"/>
        <v>-330.0055143707483</v>
      </c>
      <c r="AU349" s="357">
        <f t="shared" si="305"/>
        <v>454.57024186338981</v>
      </c>
      <c r="AV349" s="358">
        <f t="shared" si="305"/>
        <v>-380.0195157697251</v>
      </c>
    </row>
    <row r="350" spans="2:48" outlineLevel="1" x14ac:dyDescent="0.25">
      <c r="B350" s="295" t="s">
        <v>237</v>
      </c>
      <c r="C350" s="296"/>
      <c r="D350" s="275">
        <v>-38</v>
      </c>
      <c r="E350" s="275">
        <f>-53-D350</f>
        <v>-15</v>
      </c>
      <c r="F350" s="275">
        <f>-78-E350-D350</f>
        <v>-25</v>
      </c>
      <c r="G350" s="275">
        <f>-102-F350-E350-D350</f>
        <v>-24</v>
      </c>
      <c r="H350" s="393">
        <f>SUM(D350:G350)</f>
        <v>-102</v>
      </c>
      <c r="I350" s="275">
        <v>3</v>
      </c>
      <c r="J350" s="275">
        <f>-98-I350</f>
        <v>-101</v>
      </c>
      <c r="K350" s="275">
        <f>-70-J350-I350</f>
        <v>28</v>
      </c>
      <c r="L350" s="275">
        <f>-42-K350-J350-I350</f>
        <v>28</v>
      </c>
      <c r="M350" s="393">
        <f>SUM(I350:L350)</f>
        <v>-42</v>
      </c>
      <c r="N350" s="275">
        <v>70</v>
      </c>
      <c r="O350" s="275">
        <f>62-N350</f>
        <v>-8</v>
      </c>
      <c r="P350" s="275">
        <f>98-O350-N350</f>
        <v>36</v>
      </c>
      <c r="Q350" s="275">
        <f>72-P350-O350-N350</f>
        <v>-26</v>
      </c>
      <c r="R350" s="366">
        <f>SUM(N350:Q350)</f>
        <v>72</v>
      </c>
      <c r="S350" s="365">
        <v>-24</v>
      </c>
      <c r="T350" s="365">
        <f>-38-S350</f>
        <v>-14</v>
      </c>
      <c r="U350" s="365">
        <f>-14-T350-S350</f>
        <v>24</v>
      </c>
      <c r="V350" s="275">
        <f>-47-U350-T350-S350</f>
        <v>-33</v>
      </c>
      <c r="W350" s="393">
        <f>SUM(S350:V350)</f>
        <v>-47</v>
      </c>
      <c r="X350" s="395">
        <v>0</v>
      </c>
      <c r="Y350" s="395">
        <v>0</v>
      </c>
      <c r="Z350" s="395">
        <v>0</v>
      </c>
      <c r="AA350" s="395">
        <v>0</v>
      </c>
      <c r="AB350" s="393">
        <f>SUM(X350:AA350)</f>
        <v>0</v>
      </c>
      <c r="AC350" s="395">
        <v>0</v>
      </c>
      <c r="AD350" s="395">
        <v>0</v>
      </c>
      <c r="AE350" s="395">
        <v>0</v>
      </c>
      <c r="AF350" s="395">
        <v>0</v>
      </c>
      <c r="AG350" s="393">
        <f>SUM(AC350:AF350)</f>
        <v>0</v>
      </c>
      <c r="AH350" s="395">
        <v>0</v>
      </c>
      <c r="AI350" s="395">
        <v>0</v>
      </c>
      <c r="AJ350" s="395">
        <v>0</v>
      </c>
      <c r="AK350" s="395">
        <v>0</v>
      </c>
      <c r="AL350" s="393">
        <f>SUM(AH350:AK350)</f>
        <v>0</v>
      </c>
      <c r="AM350" s="395">
        <v>0</v>
      </c>
      <c r="AN350" s="395">
        <v>0</v>
      </c>
      <c r="AO350" s="395">
        <v>0</v>
      </c>
      <c r="AP350" s="395">
        <v>0</v>
      </c>
      <c r="AQ350" s="393">
        <f>SUM(AM350:AP350)</f>
        <v>0</v>
      </c>
      <c r="AR350" s="395">
        <v>0</v>
      </c>
      <c r="AS350" s="395">
        <v>0</v>
      </c>
      <c r="AT350" s="395">
        <v>0</v>
      </c>
      <c r="AU350" s="395">
        <v>0</v>
      </c>
      <c r="AV350" s="393">
        <f>SUM(AR350:AU350)</f>
        <v>0</v>
      </c>
    </row>
    <row r="351" spans="2:48" outlineLevel="1" x14ac:dyDescent="0.25">
      <c r="B351" s="701" t="s">
        <v>20</v>
      </c>
      <c r="C351" s="702"/>
      <c r="D351" s="92">
        <f t="shared" ref="D351:AQ351" si="306">D349+D339+D334+D350</f>
        <v>-220</v>
      </c>
      <c r="E351" s="92">
        <f t="shared" si="306"/>
        <v>104</v>
      </c>
      <c r="F351" s="92">
        <f t="shared" si="306"/>
        <v>-806</v>
      </c>
      <c r="G351" s="92">
        <f t="shared" si="306"/>
        <v>693</v>
      </c>
      <c r="H351" s="93">
        <f t="shared" si="306"/>
        <v>-229</v>
      </c>
      <c r="I351" s="92">
        <f t="shared" si="306"/>
        <v>-545</v>
      </c>
      <c r="J351" s="92">
        <f t="shared" si="306"/>
        <v>70</v>
      </c>
      <c r="K351" s="92">
        <f t="shared" si="306"/>
        <v>114</v>
      </c>
      <c r="L351" s="92">
        <f t="shared" si="306"/>
        <v>796</v>
      </c>
      <c r="M351" s="93">
        <f t="shared" si="306"/>
        <v>435</v>
      </c>
      <c r="N351" s="92">
        <f t="shared" si="306"/>
        <v>-466</v>
      </c>
      <c r="O351" s="92">
        <f t="shared" si="306"/>
        <v>-735</v>
      </c>
      <c r="P351" s="92">
        <f t="shared" si="306"/>
        <v>21</v>
      </c>
      <c r="Q351" s="92">
        <f t="shared" si="306"/>
        <v>476.12578599999688</v>
      </c>
      <c r="R351" s="93">
        <f t="shared" si="306"/>
        <v>-703.87421400000312</v>
      </c>
      <c r="S351" s="99">
        <f t="shared" si="306"/>
        <v>-896</v>
      </c>
      <c r="T351" s="92">
        <f t="shared" si="306"/>
        <v>-246</v>
      </c>
      <c r="U351" s="92">
        <f t="shared" si="306"/>
        <v>749</v>
      </c>
      <c r="V351" s="92">
        <f t="shared" si="306"/>
        <v>-553</v>
      </c>
      <c r="W351" s="93">
        <f t="shared" si="306"/>
        <v>-946</v>
      </c>
      <c r="X351" s="92">
        <f t="shared" si="306"/>
        <v>1159.8362798106796</v>
      </c>
      <c r="Y351" s="92">
        <f t="shared" si="306"/>
        <v>-947.221140231557</v>
      </c>
      <c r="Z351" s="92">
        <f t="shared" si="306"/>
        <v>1476.6393040285157</v>
      </c>
      <c r="AA351" s="92">
        <f t="shared" si="306"/>
        <v>424.13510926027266</v>
      </c>
      <c r="AB351" s="93">
        <f t="shared" si="306"/>
        <v>2113.3895528679077</v>
      </c>
      <c r="AC351" s="92">
        <f t="shared" si="306"/>
        <v>1699.6191638076837</v>
      </c>
      <c r="AD351" s="92">
        <f t="shared" si="306"/>
        <v>-1204.3660837028015</v>
      </c>
      <c r="AE351" s="92">
        <f t="shared" si="306"/>
        <v>1894.9460927252044</v>
      </c>
      <c r="AF351" s="92">
        <f t="shared" si="306"/>
        <v>264.59395347658256</v>
      </c>
      <c r="AG351" s="93">
        <f t="shared" si="306"/>
        <v>2654.7931263066539</v>
      </c>
      <c r="AH351" s="92">
        <f t="shared" si="306"/>
        <v>2515.8956853835762</v>
      </c>
      <c r="AI351" s="92">
        <f t="shared" si="306"/>
        <v>-2205.2272970972745</v>
      </c>
      <c r="AJ351" s="92">
        <f t="shared" si="306"/>
        <v>2849.7455928796116</v>
      </c>
      <c r="AK351" s="92">
        <f t="shared" si="306"/>
        <v>-557.84170988046731</v>
      </c>
      <c r="AL351" s="93">
        <f t="shared" si="306"/>
        <v>2602.5722712854367</v>
      </c>
      <c r="AM351" s="92">
        <f t="shared" si="306"/>
        <v>3544.7252805274939</v>
      </c>
      <c r="AN351" s="92">
        <f t="shared" si="306"/>
        <v>-3382.0324186318194</v>
      </c>
      <c r="AO351" s="92">
        <f t="shared" si="306"/>
        <v>3922.9790378824159</v>
      </c>
      <c r="AP351" s="92">
        <f t="shared" si="306"/>
        <v>-1663.1517266201893</v>
      </c>
      <c r="AQ351" s="93">
        <f t="shared" si="306"/>
        <v>2422.5201731579145</v>
      </c>
      <c r="AR351" s="92">
        <f t="shared" ref="AR351:AV351" si="307">AR349+AR339+AR334+AR350</f>
        <v>4581.3110462258301</v>
      </c>
      <c r="AS351" s="92">
        <f t="shared" si="307"/>
        <v>-4654.0702193252964</v>
      </c>
      <c r="AT351" s="92">
        <f t="shared" si="307"/>
        <v>4989.1109040952742</v>
      </c>
      <c r="AU351" s="92">
        <f t="shared" si="307"/>
        <v>-2883.5734846147589</v>
      </c>
      <c r="AV351" s="93">
        <f t="shared" si="307"/>
        <v>2032.7782463810408</v>
      </c>
    </row>
    <row r="352" spans="2:48" ht="17.25" outlineLevel="1" x14ac:dyDescent="0.4">
      <c r="B352" s="701" t="s">
        <v>21</v>
      </c>
      <c r="C352" s="702"/>
      <c r="D352" s="97">
        <v>3763</v>
      </c>
      <c r="E352" s="97">
        <f>D353</f>
        <v>3543</v>
      </c>
      <c r="F352" s="97">
        <f>E353</f>
        <v>3647</v>
      </c>
      <c r="G352" s="97">
        <f>F353</f>
        <v>2841</v>
      </c>
      <c r="H352" s="98">
        <v>3763</v>
      </c>
      <c r="I352" s="97">
        <f>H353</f>
        <v>3534</v>
      </c>
      <c r="J352" s="97">
        <f>I353</f>
        <v>2989</v>
      </c>
      <c r="K352" s="97">
        <f>J353</f>
        <v>3059</v>
      </c>
      <c r="L352" s="97">
        <f>K353</f>
        <v>3173</v>
      </c>
      <c r="M352" s="98">
        <f>H353</f>
        <v>3534</v>
      </c>
      <c r="N352" s="97">
        <f>M353</f>
        <v>3969</v>
      </c>
      <c r="O352" s="97">
        <f>N353</f>
        <v>3503</v>
      </c>
      <c r="P352" s="97">
        <f>O353</f>
        <v>2768</v>
      </c>
      <c r="Q352" s="97">
        <f>P353</f>
        <v>2789</v>
      </c>
      <c r="R352" s="98">
        <f>M353</f>
        <v>3969</v>
      </c>
      <c r="S352" s="100">
        <f>R353</f>
        <v>3265.1257859999969</v>
      </c>
      <c r="T352" s="97">
        <f>S353</f>
        <v>2369.1257859999969</v>
      </c>
      <c r="U352" s="97">
        <f>T353</f>
        <v>2123.1257859999969</v>
      </c>
      <c r="V352" s="97">
        <f>U353</f>
        <v>2872.1257859999969</v>
      </c>
      <c r="W352" s="98">
        <f>R353</f>
        <v>3265.1257859999969</v>
      </c>
      <c r="X352" s="97">
        <f>W353</f>
        <v>2319.1257859999969</v>
      </c>
      <c r="Y352" s="97">
        <f>X353</f>
        <v>3478.9620658106764</v>
      </c>
      <c r="Z352" s="97">
        <f>Y353</f>
        <v>2531.7409255791194</v>
      </c>
      <c r="AA352" s="97">
        <f>Z353</f>
        <v>4008.3802296076351</v>
      </c>
      <c r="AB352" s="98">
        <f>W353</f>
        <v>2319.1257859999969</v>
      </c>
      <c r="AC352" s="97">
        <f>AB353</f>
        <v>4432.5153388679046</v>
      </c>
      <c r="AD352" s="97">
        <f>AC353</f>
        <v>6132.134502675588</v>
      </c>
      <c r="AE352" s="97">
        <f>AD353</f>
        <v>4927.7684189727861</v>
      </c>
      <c r="AF352" s="97">
        <f>AE353</f>
        <v>6822.71451169799</v>
      </c>
      <c r="AG352" s="98">
        <f>AB353</f>
        <v>4432.5153388679046</v>
      </c>
      <c r="AH352" s="97">
        <f>AG353</f>
        <v>7087.3084651745585</v>
      </c>
      <c r="AI352" s="97">
        <f>AH353</f>
        <v>9603.2041505581346</v>
      </c>
      <c r="AJ352" s="97">
        <f>AI353</f>
        <v>7397.9768534608602</v>
      </c>
      <c r="AK352" s="97">
        <f>AJ353</f>
        <v>10247.722446340471</v>
      </c>
      <c r="AL352" s="98">
        <f>AG353</f>
        <v>7087.3084651745585</v>
      </c>
      <c r="AM352" s="97">
        <f>AL353</f>
        <v>9689.8807364599961</v>
      </c>
      <c r="AN352" s="97">
        <f>AM353</f>
        <v>13234.606016987491</v>
      </c>
      <c r="AO352" s="97">
        <f>AN353</f>
        <v>9852.5735983556715</v>
      </c>
      <c r="AP352" s="97">
        <f>AO353</f>
        <v>13775.552636238088</v>
      </c>
      <c r="AQ352" s="98">
        <f>AL353</f>
        <v>9689.8807364599961</v>
      </c>
      <c r="AR352" s="97">
        <f>AQ353</f>
        <v>12112.400909617911</v>
      </c>
      <c r="AS352" s="97">
        <f>AR353</f>
        <v>16693.711955843741</v>
      </c>
      <c r="AT352" s="97">
        <f>AS353</f>
        <v>12039.641736518444</v>
      </c>
      <c r="AU352" s="97">
        <f>AT353</f>
        <v>17028.752640613719</v>
      </c>
      <c r="AV352" s="98">
        <f>AQ353</f>
        <v>12112.400909617911</v>
      </c>
    </row>
    <row r="353" spans="2:48" outlineLevel="1" x14ac:dyDescent="0.25">
      <c r="B353" s="741" t="s">
        <v>22</v>
      </c>
      <c r="C353" s="742"/>
      <c r="D353" s="106">
        <f>D352+D351</f>
        <v>3543</v>
      </c>
      <c r="E353" s="106">
        <f>E352+E351</f>
        <v>3647</v>
      </c>
      <c r="F353" s="106">
        <f>F352+F351</f>
        <v>2841</v>
      </c>
      <c r="G353" s="106">
        <f>G352+G351</f>
        <v>3534</v>
      </c>
      <c r="H353" s="107">
        <f>G353</f>
        <v>3534</v>
      </c>
      <c r="I353" s="106">
        <f t="shared" ref="I353:AQ353" si="308">I352+I351</f>
        <v>2989</v>
      </c>
      <c r="J353" s="106">
        <f t="shared" si="308"/>
        <v>3059</v>
      </c>
      <c r="K353" s="106">
        <f t="shared" si="308"/>
        <v>3173</v>
      </c>
      <c r="L353" s="106">
        <f t="shared" si="308"/>
        <v>3969</v>
      </c>
      <c r="M353" s="107">
        <f t="shared" si="308"/>
        <v>3969</v>
      </c>
      <c r="N353" s="106">
        <f t="shared" si="308"/>
        <v>3503</v>
      </c>
      <c r="O353" s="106">
        <f t="shared" si="308"/>
        <v>2768</v>
      </c>
      <c r="P353" s="106">
        <f t="shared" si="308"/>
        <v>2789</v>
      </c>
      <c r="Q353" s="106">
        <f t="shared" si="308"/>
        <v>3265.1257859999969</v>
      </c>
      <c r="R353" s="107">
        <f t="shared" si="308"/>
        <v>3265.1257859999969</v>
      </c>
      <c r="S353" s="108">
        <f t="shared" si="308"/>
        <v>2369.1257859999969</v>
      </c>
      <c r="T353" s="106">
        <f t="shared" si="308"/>
        <v>2123.1257859999969</v>
      </c>
      <c r="U353" s="106">
        <f t="shared" si="308"/>
        <v>2872.1257859999969</v>
      </c>
      <c r="V353" s="106">
        <f t="shared" si="308"/>
        <v>2319.1257859999969</v>
      </c>
      <c r="W353" s="107">
        <f t="shared" si="308"/>
        <v>2319.1257859999969</v>
      </c>
      <c r="X353" s="106">
        <f t="shared" si="308"/>
        <v>3478.9620658106764</v>
      </c>
      <c r="Y353" s="106">
        <f t="shared" si="308"/>
        <v>2531.7409255791194</v>
      </c>
      <c r="Z353" s="106">
        <f t="shared" si="308"/>
        <v>4008.3802296076351</v>
      </c>
      <c r="AA353" s="106">
        <f t="shared" si="308"/>
        <v>4432.5153388679082</v>
      </c>
      <c r="AB353" s="107">
        <f t="shared" si="308"/>
        <v>4432.5153388679046</v>
      </c>
      <c r="AC353" s="106">
        <f t="shared" si="308"/>
        <v>6132.134502675588</v>
      </c>
      <c r="AD353" s="106">
        <f t="shared" si="308"/>
        <v>4927.7684189727861</v>
      </c>
      <c r="AE353" s="106">
        <f t="shared" si="308"/>
        <v>6822.71451169799</v>
      </c>
      <c r="AF353" s="106">
        <f t="shared" si="308"/>
        <v>7087.3084651745721</v>
      </c>
      <c r="AG353" s="107">
        <f t="shared" si="308"/>
        <v>7087.3084651745585</v>
      </c>
      <c r="AH353" s="106">
        <f t="shared" si="308"/>
        <v>9603.2041505581346</v>
      </c>
      <c r="AI353" s="106">
        <f t="shared" si="308"/>
        <v>7397.9768534608602</v>
      </c>
      <c r="AJ353" s="106">
        <f t="shared" si="308"/>
        <v>10247.722446340471</v>
      </c>
      <c r="AK353" s="106">
        <f t="shared" si="308"/>
        <v>9689.8807364600034</v>
      </c>
      <c r="AL353" s="107">
        <f t="shared" si="308"/>
        <v>9689.8807364599961</v>
      </c>
      <c r="AM353" s="106">
        <f t="shared" si="308"/>
        <v>13234.606016987491</v>
      </c>
      <c r="AN353" s="106">
        <f t="shared" si="308"/>
        <v>9852.5735983556715</v>
      </c>
      <c r="AO353" s="106">
        <f t="shared" si="308"/>
        <v>13775.552636238088</v>
      </c>
      <c r="AP353" s="106">
        <f t="shared" si="308"/>
        <v>12112.400909617898</v>
      </c>
      <c r="AQ353" s="107">
        <f t="shared" si="308"/>
        <v>12112.400909617911</v>
      </c>
      <c r="AR353" s="106">
        <f t="shared" ref="AR353:AV353" si="309">AR352+AR351</f>
        <v>16693.711955843741</v>
      </c>
      <c r="AS353" s="106">
        <f t="shared" si="309"/>
        <v>12039.641736518444</v>
      </c>
      <c r="AT353" s="106">
        <f t="shared" si="309"/>
        <v>17028.752640613719</v>
      </c>
      <c r="AU353" s="106">
        <f t="shared" si="309"/>
        <v>14145.17915599896</v>
      </c>
      <c r="AV353" s="107">
        <f t="shared" si="309"/>
        <v>14145.179155998951</v>
      </c>
    </row>
    <row r="354" spans="2:48" s="110" customFormat="1" outlineLevel="1" x14ac:dyDescent="0.25">
      <c r="B354" s="750" t="s">
        <v>337</v>
      </c>
      <c r="C354" s="751"/>
      <c r="D354" s="367"/>
      <c r="E354" s="367"/>
      <c r="F354" s="367"/>
      <c r="G354" s="367"/>
      <c r="H354" s="368">
        <f>H334-(-H336)+((-H29)*(1-$C$393))</f>
        <v>1148.72</v>
      </c>
      <c r="I354" s="367"/>
      <c r="J354" s="367"/>
      <c r="K354" s="367"/>
      <c r="L354" s="367"/>
      <c r="M354" s="368">
        <f>M334-(-M336)+((-M29)*(1-$C$393))</f>
        <v>208.24</v>
      </c>
      <c r="N354" s="367"/>
      <c r="O354" s="367"/>
      <c r="P354" s="367"/>
      <c r="Q354" s="367"/>
      <c r="R354" s="368">
        <f>R334-(-R336)+((-R29)*(1-$C$393))</f>
        <v>-559.21421400000304</v>
      </c>
      <c r="S354" s="367"/>
      <c r="T354" s="367"/>
      <c r="U354" s="367"/>
      <c r="V354" s="367"/>
      <c r="W354" s="368">
        <f>W334-(-W336)+((-W29)*(1-$C$393))</f>
        <v>575.76</v>
      </c>
      <c r="X354" s="367"/>
      <c r="Y354" s="367"/>
      <c r="Z354" s="367"/>
      <c r="AA354" s="367"/>
      <c r="AB354" s="368">
        <f>AB334-(-AB336)+((-AB29)*(1-$C$393))</f>
        <v>1734.8992181465214</v>
      </c>
      <c r="AC354" s="367"/>
      <c r="AD354" s="367"/>
      <c r="AE354" s="367"/>
      <c r="AF354" s="367"/>
      <c r="AG354" s="368">
        <f>AG334-(-AG336)+((-AG29)*(1-$C$393))</f>
        <v>2166.0172073710282</v>
      </c>
      <c r="AH354" s="367"/>
      <c r="AI354" s="367"/>
      <c r="AJ354" s="367"/>
      <c r="AK354" s="367"/>
      <c r="AL354" s="368">
        <f>AL334-(-AL336)+((-AL29)*(1-$C$393))</f>
        <v>2711.8459860740159</v>
      </c>
      <c r="AM354" s="367"/>
      <c r="AN354" s="367"/>
      <c r="AO354" s="367"/>
      <c r="AP354" s="367"/>
      <c r="AQ354" s="368">
        <f>AQ334-(-AQ336)+((-AQ29)*(1-$C$393))</f>
        <v>3031.565282799505</v>
      </c>
      <c r="AR354" s="367"/>
      <c r="AS354" s="367"/>
      <c r="AT354" s="367"/>
      <c r="AU354" s="367"/>
      <c r="AV354" s="368">
        <f>AV334-(-AV336)+((-AV29)*(1-$C$393))</f>
        <v>3245.0749684570346</v>
      </c>
    </row>
    <row r="355" spans="2:48" s="110" customFormat="1" outlineLevel="1" x14ac:dyDescent="0.25">
      <c r="B355" s="177" t="s">
        <v>61</v>
      </c>
      <c r="C355" s="127"/>
      <c r="D355" s="370"/>
      <c r="E355" s="370"/>
      <c r="F355" s="370"/>
      <c r="G355" s="370"/>
      <c r="H355" s="371">
        <v>0</v>
      </c>
      <c r="I355" s="370"/>
      <c r="J355" s="370"/>
      <c r="K355" s="370"/>
      <c r="L355" s="370"/>
      <c r="M355" s="371">
        <v>0</v>
      </c>
      <c r="N355" s="370"/>
      <c r="O355" s="370"/>
      <c r="P355" s="370"/>
      <c r="Q355" s="370"/>
      <c r="R355" s="371">
        <v>0</v>
      </c>
      <c r="S355" s="370"/>
      <c r="T355" s="370"/>
      <c r="U355" s="370"/>
      <c r="V355" s="370"/>
      <c r="W355" s="371">
        <v>0</v>
      </c>
      <c r="X355" s="370"/>
      <c r="Y355" s="370"/>
      <c r="Z355" s="370"/>
      <c r="AA355" s="370"/>
      <c r="AB355" s="371">
        <f>W355+1</f>
        <v>1</v>
      </c>
      <c r="AC355" s="370"/>
      <c r="AD355" s="370"/>
      <c r="AE355" s="370"/>
      <c r="AF355" s="370"/>
      <c r="AG355" s="371">
        <f>AB355+1</f>
        <v>2</v>
      </c>
      <c r="AH355" s="370"/>
      <c r="AI355" s="370"/>
      <c r="AJ355" s="370"/>
      <c r="AK355" s="370"/>
      <c r="AL355" s="371">
        <f>AG355+1</f>
        <v>3</v>
      </c>
      <c r="AM355" s="370"/>
      <c r="AN355" s="370"/>
      <c r="AO355" s="370"/>
      <c r="AP355" s="370"/>
      <c r="AQ355" s="371">
        <f>AL355+1</f>
        <v>4</v>
      </c>
      <c r="AR355" s="370"/>
      <c r="AS355" s="370"/>
      <c r="AT355" s="370"/>
      <c r="AU355" s="370"/>
      <c r="AV355" s="371">
        <f>AQ355+1</f>
        <v>5</v>
      </c>
    </row>
    <row r="356" spans="2:48" s="110" customFormat="1" outlineLevel="1" x14ac:dyDescent="0.25">
      <c r="B356" s="729" t="s">
        <v>31</v>
      </c>
      <c r="C356" s="730"/>
      <c r="D356" s="378"/>
      <c r="E356" s="378"/>
      <c r="F356" s="378"/>
      <c r="G356" s="378"/>
      <c r="H356" s="379">
        <f>H354/(1+$C$395)^H355</f>
        <v>1148.72</v>
      </c>
      <c r="I356" s="378"/>
      <c r="J356" s="378"/>
      <c r="K356" s="378"/>
      <c r="L356" s="378"/>
      <c r="M356" s="379">
        <f>M354/(1+$C$395)^M355</f>
        <v>208.24</v>
      </c>
      <c r="N356" s="378"/>
      <c r="O356" s="378"/>
      <c r="P356" s="378"/>
      <c r="Q356" s="378"/>
      <c r="R356" s="379">
        <f>R354/(1+$C$395)^R355</f>
        <v>-559.21421400000304</v>
      </c>
      <c r="S356" s="378"/>
      <c r="T356" s="378"/>
      <c r="U356" s="378"/>
      <c r="V356" s="378"/>
      <c r="W356" s="379">
        <f>W354/(1+$C$395)^W355</f>
        <v>575.76</v>
      </c>
      <c r="X356" s="378"/>
      <c r="Y356" s="378"/>
      <c r="Z356" s="378"/>
      <c r="AA356" s="378"/>
      <c r="AB356" s="379">
        <f>AB354/(1+$C$395)^AB355</f>
        <v>1596.6845718759735</v>
      </c>
      <c r="AC356" s="378"/>
      <c r="AD356" s="378"/>
      <c r="AE356" s="378"/>
      <c r="AF356" s="378"/>
      <c r="AG356" s="379">
        <f>AG354/(1+$C$395)^AG355</f>
        <v>1834.6433778070671</v>
      </c>
      <c r="AH356" s="378"/>
      <c r="AI356" s="378"/>
      <c r="AJ356" s="378"/>
      <c r="AK356" s="378"/>
      <c r="AL356" s="379">
        <f>AL354/(1+$C$395)^AL355</f>
        <v>2113.9740594529035</v>
      </c>
      <c r="AM356" s="378"/>
      <c r="AN356" s="378"/>
      <c r="AO356" s="378"/>
      <c r="AP356" s="378"/>
      <c r="AQ356" s="379">
        <f>AQ354/(1+$C$395)^AQ355</f>
        <v>2174.9357668128791</v>
      </c>
      <c r="AR356" s="378"/>
      <c r="AS356" s="378"/>
      <c r="AT356" s="378"/>
      <c r="AU356" s="378"/>
      <c r="AV356" s="379">
        <f>AV354/(1+$C$395)^AV355</f>
        <v>2142.6395761476278</v>
      </c>
    </row>
    <row r="357" spans="2:48" outlineLevel="1" x14ac:dyDescent="0.25">
      <c r="B357" s="254" t="s">
        <v>79</v>
      </c>
      <c r="C357" s="310"/>
      <c r="D357" s="275"/>
      <c r="E357" s="72"/>
      <c r="F357" s="72"/>
      <c r="G357" s="72"/>
      <c r="H357" s="73"/>
      <c r="I357" s="72"/>
      <c r="J357" s="72"/>
      <c r="K357" s="72"/>
      <c r="L357" s="72"/>
      <c r="M357" s="73"/>
      <c r="N357" s="72"/>
      <c r="O357" s="72"/>
      <c r="P357" s="72"/>
      <c r="Q357" s="72"/>
      <c r="R357" s="73"/>
      <c r="S357" s="72"/>
      <c r="T357" s="72"/>
      <c r="U357" s="72"/>
      <c r="V357" s="72"/>
      <c r="W357" s="73"/>
      <c r="X357" s="72"/>
      <c r="Y357" s="72"/>
      <c r="Z357" s="72"/>
      <c r="AA357" s="72"/>
      <c r="AB357" s="73"/>
      <c r="AC357" s="72"/>
      <c r="AD357" s="72"/>
      <c r="AE357" s="72"/>
      <c r="AF357" s="72"/>
      <c r="AG357" s="73"/>
      <c r="AH357" s="72"/>
      <c r="AI357" s="72"/>
      <c r="AJ357" s="72"/>
      <c r="AK357" s="72"/>
      <c r="AL357" s="73"/>
      <c r="AM357" s="72"/>
      <c r="AN357" s="72"/>
      <c r="AO357" s="72"/>
      <c r="AP357" s="72"/>
      <c r="AQ357" s="73"/>
      <c r="AR357" s="72"/>
      <c r="AS357" s="72"/>
      <c r="AT357" s="72"/>
      <c r="AU357" s="72"/>
      <c r="AV357" s="73"/>
    </row>
    <row r="358" spans="2:48" outlineLevel="1" x14ac:dyDescent="0.25">
      <c r="B358" s="282" t="s">
        <v>339</v>
      </c>
      <c r="C358" s="283"/>
      <c r="D358" s="92">
        <f t="shared" ref="D358:AQ358" si="310">+D258</f>
        <v>3543</v>
      </c>
      <c r="E358" s="92">
        <f t="shared" si="310"/>
        <v>3647</v>
      </c>
      <c r="F358" s="92">
        <f t="shared" si="310"/>
        <v>2841</v>
      </c>
      <c r="G358" s="92">
        <f t="shared" si="310"/>
        <v>3534</v>
      </c>
      <c r="H358" s="93">
        <f t="shared" si="310"/>
        <v>3534</v>
      </c>
      <c r="I358" s="92">
        <f t="shared" si="310"/>
        <v>2989</v>
      </c>
      <c r="J358" s="92">
        <f t="shared" si="310"/>
        <v>3059</v>
      </c>
      <c r="K358" s="92">
        <f t="shared" si="310"/>
        <v>3173</v>
      </c>
      <c r="L358" s="92">
        <f t="shared" si="310"/>
        <v>3969</v>
      </c>
      <c r="M358" s="93">
        <f t="shared" si="310"/>
        <v>3969</v>
      </c>
      <c r="N358" s="92">
        <f t="shared" si="310"/>
        <v>3503</v>
      </c>
      <c r="O358" s="92">
        <f t="shared" si="310"/>
        <v>2768</v>
      </c>
      <c r="P358" s="92">
        <f t="shared" si="310"/>
        <v>2789</v>
      </c>
      <c r="Q358" s="92">
        <f t="shared" si="310"/>
        <v>3265.1257859999969</v>
      </c>
      <c r="R358" s="93">
        <f t="shared" si="310"/>
        <v>3265.1257859999969</v>
      </c>
      <c r="S358" s="92">
        <f t="shared" si="310"/>
        <v>2369.1257859999969</v>
      </c>
      <c r="T358" s="92">
        <f t="shared" si="310"/>
        <v>2123.1257859999969</v>
      </c>
      <c r="U358" s="92">
        <f t="shared" si="310"/>
        <v>2872.1257859999969</v>
      </c>
      <c r="V358" s="92">
        <f t="shared" si="310"/>
        <v>2319.1257859999969</v>
      </c>
      <c r="W358" s="93">
        <f t="shared" si="310"/>
        <v>2319.1257859999969</v>
      </c>
      <c r="X358" s="92">
        <f t="shared" si="310"/>
        <v>3478.9620658106764</v>
      </c>
      <c r="Y358" s="92">
        <f t="shared" si="310"/>
        <v>2531.7409255791194</v>
      </c>
      <c r="Z358" s="92">
        <f t="shared" si="310"/>
        <v>4008.3802296076351</v>
      </c>
      <c r="AA358" s="92">
        <f t="shared" si="310"/>
        <v>4432.5153388679082</v>
      </c>
      <c r="AB358" s="93">
        <f t="shared" si="310"/>
        <v>4432.5153388679082</v>
      </c>
      <c r="AC358" s="92">
        <f t="shared" si="310"/>
        <v>6132.134502675588</v>
      </c>
      <c r="AD358" s="92">
        <f t="shared" si="310"/>
        <v>4927.7684189727861</v>
      </c>
      <c r="AE358" s="92">
        <f t="shared" si="310"/>
        <v>6822.71451169799</v>
      </c>
      <c r="AF358" s="92">
        <f t="shared" si="310"/>
        <v>7087.3084651745721</v>
      </c>
      <c r="AG358" s="93">
        <f t="shared" si="310"/>
        <v>7087.3084651745721</v>
      </c>
      <c r="AH358" s="92">
        <f t="shared" si="310"/>
        <v>9603.2041505581346</v>
      </c>
      <c r="AI358" s="92">
        <f t="shared" si="310"/>
        <v>7397.9768534608602</v>
      </c>
      <c r="AJ358" s="92">
        <f t="shared" si="310"/>
        <v>10247.722446340471</v>
      </c>
      <c r="AK358" s="92">
        <f t="shared" si="310"/>
        <v>9689.8807364600034</v>
      </c>
      <c r="AL358" s="93">
        <f t="shared" si="310"/>
        <v>9689.8807364600034</v>
      </c>
      <c r="AM358" s="92">
        <f t="shared" si="310"/>
        <v>13234.606016987491</v>
      </c>
      <c r="AN358" s="92">
        <f t="shared" si="310"/>
        <v>9852.5735983556715</v>
      </c>
      <c r="AO358" s="92">
        <f t="shared" si="310"/>
        <v>13775.552636238088</v>
      </c>
      <c r="AP358" s="92">
        <f t="shared" si="310"/>
        <v>12112.400909617898</v>
      </c>
      <c r="AQ358" s="93">
        <f t="shared" si="310"/>
        <v>12112.400909617898</v>
      </c>
      <c r="AR358" s="92">
        <f t="shared" ref="AR358:AV358" si="311">+AR258</f>
        <v>16693.711955843741</v>
      </c>
      <c r="AS358" s="92">
        <f t="shared" si="311"/>
        <v>12039.641736518444</v>
      </c>
      <c r="AT358" s="92">
        <f t="shared" si="311"/>
        <v>17028.752640613719</v>
      </c>
      <c r="AU358" s="92">
        <f t="shared" si="311"/>
        <v>14145.17915599896</v>
      </c>
      <c r="AV358" s="93">
        <f t="shared" si="311"/>
        <v>14145.17915599896</v>
      </c>
    </row>
    <row r="359" spans="2:48" outlineLevel="1" x14ac:dyDescent="0.25">
      <c r="B359" s="282" t="s">
        <v>338</v>
      </c>
      <c r="C359" s="283"/>
      <c r="D359" s="92">
        <f t="shared" ref="D359:AQ359" si="312">-D271-D272-D277</f>
        <v>-7258</v>
      </c>
      <c r="E359" s="92">
        <f t="shared" si="312"/>
        <v>-8495</v>
      </c>
      <c r="F359" s="92">
        <f t="shared" si="312"/>
        <v>-8488</v>
      </c>
      <c r="G359" s="92">
        <f t="shared" si="312"/>
        <v>-13762</v>
      </c>
      <c r="H359" s="93">
        <f t="shared" si="312"/>
        <v>-13762</v>
      </c>
      <c r="I359" s="92">
        <f t="shared" si="312"/>
        <v>-13782</v>
      </c>
      <c r="J359" s="92">
        <f t="shared" si="312"/>
        <v>-13596</v>
      </c>
      <c r="K359" s="92">
        <f t="shared" si="312"/>
        <v>-14758</v>
      </c>
      <c r="L359" s="92">
        <f t="shared" si="312"/>
        <v>-14931</v>
      </c>
      <c r="M359" s="93">
        <f t="shared" si="312"/>
        <v>-14931</v>
      </c>
      <c r="N359" s="92">
        <f t="shared" si="312"/>
        <v>-15156</v>
      </c>
      <c r="O359" s="92">
        <f t="shared" si="312"/>
        <v>-15441</v>
      </c>
      <c r="P359" s="92">
        <f t="shared" si="312"/>
        <v>-17580</v>
      </c>
      <c r="Q359" s="92">
        <f t="shared" si="312"/>
        <v>-16585</v>
      </c>
      <c r="R359" s="93">
        <f t="shared" si="312"/>
        <v>-16585</v>
      </c>
      <c r="S359" s="92">
        <f t="shared" si="312"/>
        <v>-16944</v>
      </c>
      <c r="T359" s="92">
        <f t="shared" si="312"/>
        <v>-17291</v>
      </c>
      <c r="U359" s="92">
        <f t="shared" si="312"/>
        <v>-18416</v>
      </c>
      <c r="V359" s="92">
        <f t="shared" si="312"/>
        <v>-17581</v>
      </c>
      <c r="W359" s="93">
        <f t="shared" si="312"/>
        <v>-17581</v>
      </c>
      <c r="X359" s="92">
        <f t="shared" si="312"/>
        <v>-17950.869449387672</v>
      </c>
      <c r="Y359" s="92">
        <f t="shared" si="312"/>
        <v>-18459.240905780465</v>
      </c>
      <c r="Z359" s="92">
        <f t="shared" si="312"/>
        <v>-18849.657621219754</v>
      </c>
      <c r="AA359" s="92">
        <f t="shared" si="312"/>
        <v>-19807.248791742542</v>
      </c>
      <c r="AB359" s="93">
        <f t="shared" si="312"/>
        <v>-19807.248791742542</v>
      </c>
      <c r="AC359" s="92">
        <f t="shared" si="312"/>
        <v>-20257.900889699242</v>
      </c>
      <c r="AD359" s="92">
        <f t="shared" si="312"/>
        <v>-20838.470525944365</v>
      </c>
      <c r="AE359" s="92">
        <f t="shared" si="312"/>
        <v>-21274.24449855959</v>
      </c>
      <c r="AF359" s="92">
        <f t="shared" si="312"/>
        <v>-22417.918086406906</v>
      </c>
      <c r="AG359" s="93">
        <f t="shared" si="312"/>
        <v>-22417.918086406906</v>
      </c>
      <c r="AH359" s="92">
        <f t="shared" si="312"/>
        <v>-22755.767067636607</v>
      </c>
      <c r="AI359" s="92">
        <f t="shared" si="312"/>
        <v>-23253.696751935284</v>
      </c>
      <c r="AJ359" s="92">
        <f t="shared" si="312"/>
        <v>-23599.137279601127</v>
      </c>
      <c r="AK359" s="92">
        <f t="shared" si="312"/>
        <v>-24707.996629974921</v>
      </c>
      <c r="AL359" s="93">
        <f t="shared" si="312"/>
        <v>-24707.996629974921</v>
      </c>
      <c r="AM359" s="92">
        <f t="shared" si="312"/>
        <v>-24980.220436840398</v>
      </c>
      <c r="AN359" s="92">
        <f t="shared" si="312"/>
        <v>-25413.533503287697</v>
      </c>
      <c r="AO359" s="92">
        <f t="shared" si="312"/>
        <v>-25691.900996941979</v>
      </c>
      <c r="AP359" s="92">
        <f t="shared" si="312"/>
        <v>-26747.745093475358</v>
      </c>
      <c r="AQ359" s="93">
        <f t="shared" si="312"/>
        <v>-26747.745093475358</v>
      </c>
      <c r="AR359" s="92">
        <f t="shared" ref="AR359:AV359" si="313">-AR271-AR272-AR277</f>
        <v>-26938.039734865855</v>
      </c>
      <c r="AS359" s="92">
        <f t="shared" si="313"/>
        <v>-27287.039110398564</v>
      </c>
      <c r="AT359" s="92">
        <f t="shared" si="313"/>
        <v>-27478.968563052604</v>
      </c>
      <c r="AU359" s="92">
        <f t="shared" si="313"/>
        <v>-28455.470818998379</v>
      </c>
      <c r="AV359" s="93">
        <f t="shared" si="313"/>
        <v>-28455.470818998379</v>
      </c>
    </row>
    <row r="360" spans="2:48" outlineLevel="1" x14ac:dyDescent="0.25">
      <c r="B360" s="711" t="s">
        <v>340</v>
      </c>
      <c r="C360" s="712"/>
      <c r="D360" s="276">
        <f t="shared" ref="D360:AQ360" si="314">(D358+D359)/D42</f>
        <v>-12.98951048951049</v>
      </c>
      <c r="E360" s="276">
        <f t="shared" si="314"/>
        <v>-17.130742049469966</v>
      </c>
      <c r="F360" s="276">
        <f t="shared" si="314"/>
        <v>-20.534545454545455</v>
      </c>
      <c r="G360" s="276">
        <f t="shared" si="314"/>
        <v>-38.022304832713758</v>
      </c>
      <c r="H360" s="277">
        <f t="shared" si="314"/>
        <v>-36.584177015744814</v>
      </c>
      <c r="I360" s="276">
        <f t="shared" si="314"/>
        <v>-40.063103192279144</v>
      </c>
      <c r="J360" s="276">
        <f t="shared" si="314"/>
        <v>-39.025925925925925</v>
      </c>
      <c r="K360" s="276">
        <f t="shared" si="314"/>
        <v>-42.749077490774908</v>
      </c>
      <c r="L360" s="276">
        <f t="shared" si="314"/>
        <v>-40.34596981965403</v>
      </c>
      <c r="M360" s="277">
        <f t="shared" si="314"/>
        <v>-40.489474677232423</v>
      </c>
      <c r="N360" s="276">
        <f t="shared" si="314"/>
        <v>-42.841911764705884</v>
      </c>
      <c r="O360" s="276">
        <f t="shared" si="314"/>
        <v>-46.43939878690918</v>
      </c>
      <c r="P360" s="276">
        <f t="shared" si="314"/>
        <v>-54.179487179487182</v>
      </c>
      <c r="Q360" s="276">
        <f t="shared" si="314"/>
        <v>-49.078386934414162</v>
      </c>
      <c r="R360" s="277">
        <f t="shared" si="314"/>
        <v>-48.916174124127807</v>
      </c>
      <c r="S360" s="276">
        <f t="shared" si="314"/>
        <v>-54.141434673105515</v>
      </c>
      <c r="T360" s="276">
        <f t="shared" si="314"/>
        <v>-56.936464767267282</v>
      </c>
      <c r="U360" s="276">
        <f t="shared" si="314"/>
        <v>-58.996751865487539</v>
      </c>
      <c r="V360" s="276">
        <f t="shared" si="314"/>
        <v>-58.609347980030741</v>
      </c>
      <c r="W360" s="277">
        <f t="shared" si="314"/>
        <v>-57.298944715922758</v>
      </c>
      <c r="X360" s="276">
        <f t="shared" si="314"/>
        <v>-55.586488663935413</v>
      </c>
      <c r="Y360" s="276">
        <f t="shared" si="314"/>
        <v>-61.55922930293616</v>
      </c>
      <c r="Z360" s="276">
        <f t="shared" si="314"/>
        <v>-57.779631443622719</v>
      </c>
      <c r="AA360" s="276">
        <f t="shared" si="314"/>
        <v>-60.235435926291181</v>
      </c>
      <c r="AB360" s="277">
        <f t="shared" si="314"/>
        <v>-59.734311914876159</v>
      </c>
      <c r="AC360" s="276">
        <f t="shared" si="314"/>
        <v>-55.621230554377902</v>
      </c>
      <c r="AD360" s="276">
        <f t="shared" si="314"/>
        <v>-63.04180286645483</v>
      </c>
      <c r="AE360" s="276">
        <f t="shared" si="314"/>
        <v>-57.619050225329012</v>
      </c>
      <c r="AF360" s="276">
        <f t="shared" si="314"/>
        <v>-61.4912956195042</v>
      </c>
      <c r="AG360" s="277">
        <f t="shared" si="314"/>
        <v>-61.01811075425767</v>
      </c>
      <c r="AH360" s="276">
        <f t="shared" si="314"/>
        <v>-53.06790354856075</v>
      </c>
      <c r="AI360" s="276">
        <f t="shared" si="314"/>
        <v>-64.368117698603442</v>
      </c>
      <c r="AJ360" s="276">
        <f t="shared" si="314"/>
        <v>-54.533542796395551</v>
      </c>
      <c r="AK360" s="276">
        <f t="shared" si="314"/>
        <v>-61.714644392528413</v>
      </c>
      <c r="AL360" s="277">
        <f t="shared" si="314"/>
        <v>-61.247362760017054</v>
      </c>
      <c r="AM360" s="276">
        <f t="shared" si="314"/>
        <v>-48.561669166279856</v>
      </c>
      <c r="AN360" s="276">
        <f t="shared" si="314"/>
        <v>-64.731982676339825</v>
      </c>
      <c r="AO360" s="276">
        <f t="shared" si="314"/>
        <v>-49.875911790506869</v>
      </c>
      <c r="AP360" s="276">
        <f t="shared" si="314"/>
        <v>-61.633843561417649</v>
      </c>
      <c r="AQ360" s="277">
        <f t="shared" si="314"/>
        <v>-61.16598058665739</v>
      </c>
      <c r="AR360" s="276">
        <f t="shared" ref="AR360:AV360" si="315">(AR358+AR359)/AR42</f>
        <v>-43.408686143817441</v>
      </c>
      <c r="AS360" s="276">
        <f t="shared" si="315"/>
        <v>-65.0090530760761</v>
      </c>
      <c r="AT360" s="276">
        <f t="shared" si="315"/>
        <v>-44.832560318902154</v>
      </c>
      <c r="AU360" s="276">
        <f t="shared" si="315"/>
        <v>-61.775079920195367</v>
      </c>
      <c r="AV360" s="277">
        <f t="shared" si="315"/>
        <v>-61.304387556595678</v>
      </c>
    </row>
    <row r="361" spans="2:48" x14ac:dyDescent="0.25">
      <c r="B361" s="749"/>
      <c r="C361" s="749"/>
      <c r="D361" s="81"/>
      <c r="E361" s="80"/>
      <c r="F361" s="80"/>
      <c r="G361" s="81"/>
      <c r="H361" s="80"/>
      <c r="I361" s="80"/>
      <c r="J361" s="80"/>
      <c r="K361" s="80"/>
      <c r="L361" s="80"/>
      <c r="M361" s="80"/>
      <c r="N361" s="80"/>
      <c r="O361" s="80"/>
      <c r="P361" s="80"/>
      <c r="Q361" s="80"/>
      <c r="R361" s="80"/>
      <c r="S361" s="80"/>
      <c r="T361" s="80"/>
      <c r="U361" s="80"/>
      <c r="V361" s="80"/>
      <c r="W361" s="80"/>
      <c r="X361" s="80"/>
      <c r="Y361" s="80"/>
      <c r="Z361" s="80"/>
      <c r="AA361" s="80"/>
      <c r="AB361" s="80"/>
      <c r="AC361" s="80"/>
      <c r="AD361" s="80"/>
      <c r="AE361" s="80"/>
      <c r="AF361" s="80"/>
      <c r="AG361" s="80"/>
      <c r="AH361" s="80"/>
      <c r="AI361" s="80"/>
      <c r="AJ361" s="80"/>
      <c r="AK361" s="80"/>
      <c r="AL361" s="80"/>
      <c r="AM361" s="80"/>
      <c r="AN361" s="80"/>
      <c r="AO361" s="80"/>
      <c r="AP361" s="80"/>
      <c r="AQ361" s="80"/>
      <c r="AR361" s="80"/>
      <c r="AS361" s="80"/>
      <c r="AT361" s="80"/>
      <c r="AU361" s="80"/>
      <c r="AV361" s="80"/>
    </row>
    <row r="362" spans="2:48" ht="15.75" x14ac:dyDescent="0.25">
      <c r="B362" s="691" t="s">
        <v>27</v>
      </c>
      <c r="C362" s="692"/>
      <c r="D362" s="89" t="s">
        <v>116</v>
      </c>
      <c r="E362" s="89" t="s">
        <v>117</v>
      </c>
      <c r="F362" s="89" t="s">
        <v>118</v>
      </c>
      <c r="G362" s="89" t="s">
        <v>119</v>
      </c>
      <c r="H362" s="396" t="s">
        <v>119</v>
      </c>
      <c r="I362" s="89" t="s">
        <v>120</v>
      </c>
      <c r="J362" s="89" t="s">
        <v>121</v>
      </c>
      <c r="K362" s="89" t="s">
        <v>122</v>
      </c>
      <c r="L362" s="89" t="s">
        <v>123</v>
      </c>
      <c r="M362" s="396" t="s">
        <v>123</v>
      </c>
      <c r="N362" s="89" t="s">
        <v>124</v>
      </c>
      <c r="O362" s="89" t="s">
        <v>125</v>
      </c>
      <c r="P362" s="89" t="s">
        <v>126</v>
      </c>
      <c r="Q362" s="89" t="s">
        <v>127</v>
      </c>
      <c r="R362" s="396" t="s">
        <v>127</v>
      </c>
      <c r="S362" s="89" t="s">
        <v>128</v>
      </c>
      <c r="T362" s="89" t="s">
        <v>129</v>
      </c>
      <c r="U362" s="89" t="s">
        <v>130</v>
      </c>
      <c r="V362" s="89" t="s">
        <v>131</v>
      </c>
      <c r="W362" s="396" t="s">
        <v>131</v>
      </c>
      <c r="X362" s="91" t="s">
        <v>132</v>
      </c>
      <c r="Y362" s="91" t="s">
        <v>133</v>
      </c>
      <c r="Z362" s="91" t="s">
        <v>134</v>
      </c>
      <c r="AA362" s="91" t="s">
        <v>135</v>
      </c>
      <c r="AB362" s="400" t="s">
        <v>135</v>
      </c>
      <c r="AC362" s="91" t="s">
        <v>136</v>
      </c>
      <c r="AD362" s="91" t="s">
        <v>137</v>
      </c>
      <c r="AE362" s="91" t="s">
        <v>138</v>
      </c>
      <c r="AF362" s="91" t="s">
        <v>139</v>
      </c>
      <c r="AG362" s="400" t="s">
        <v>139</v>
      </c>
      <c r="AH362" s="91" t="s">
        <v>140</v>
      </c>
      <c r="AI362" s="91" t="s">
        <v>141</v>
      </c>
      <c r="AJ362" s="91" t="s">
        <v>142</v>
      </c>
      <c r="AK362" s="91" t="s">
        <v>143</v>
      </c>
      <c r="AL362" s="400" t="s">
        <v>143</v>
      </c>
      <c r="AM362" s="91" t="s">
        <v>144</v>
      </c>
      <c r="AN362" s="91" t="s">
        <v>145</v>
      </c>
      <c r="AO362" s="91" t="s">
        <v>146</v>
      </c>
      <c r="AP362" s="91" t="s">
        <v>147</v>
      </c>
      <c r="AQ362" s="400" t="s">
        <v>147</v>
      </c>
      <c r="AR362" s="91" t="s">
        <v>777</v>
      </c>
      <c r="AS362" s="91" t="s">
        <v>778</v>
      </c>
      <c r="AT362" s="91" t="s">
        <v>779</v>
      </c>
      <c r="AU362" s="91" t="s">
        <v>780</v>
      </c>
      <c r="AV362" s="400" t="s">
        <v>780</v>
      </c>
    </row>
    <row r="363" spans="2:48" ht="17.25" x14ac:dyDescent="0.4">
      <c r="B363" s="715"/>
      <c r="C363" s="716"/>
      <c r="D363" s="90" t="s">
        <v>69</v>
      </c>
      <c r="E363" s="90" t="s">
        <v>72</v>
      </c>
      <c r="F363" s="90" t="s">
        <v>73</v>
      </c>
      <c r="G363" s="90" t="s">
        <v>76</v>
      </c>
      <c r="H363" s="397" t="s">
        <v>77</v>
      </c>
      <c r="I363" s="90" t="s">
        <v>78</v>
      </c>
      <c r="J363" s="90" t="s">
        <v>89</v>
      </c>
      <c r="K363" s="90" t="s">
        <v>105</v>
      </c>
      <c r="L363" s="90" t="s">
        <v>109</v>
      </c>
      <c r="M363" s="397" t="s">
        <v>110</v>
      </c>
      <c r="N363" s="90" t="s">
        <v>111</v>
      </c>
      <c r="O363" s="90" t="s">
        <v>112</v>
      </c>
      <c r="P363" s="90" t="s">
        <v>113</v>
      </c>
      <c r="Q363" s="90" t="s">
        <v>114</v>
      </c>
      <c r="R363" s="397" t="s">
        <v>115</v>
      </c>
      <c r="S363" s="90" t="s">
        <v>492</v>
      </c>
      <c r="T363" s="90" t="s">
        <v>734</v>
      </c>
      <c r="U363" s="90" t="s">
        <v>753</v>
      </c>
      <c r="V363" s="90" t="s">
        <v>771</v>
      </c>
      <c r="W363" s="397" t="s">
        <v>773</v>
      </c>
      <c r="X363" s="88" t="s">
        <v>371</v>
      </c>
      <c r="Y363" s="88" t="s">
        <v>372</v>
      </c>
      <c r="Z363" s="88" t="s">
        <v>373</v>
      </c>
      <c r="AA363" s="88" t="s">
        <v>374</v>
      </c>
      <c r="AB363" s="401" t="s">
        <v>375</v>
      </c>
      <c r="AC363" s="88" t="s">
        <v>376</v>
      </c>
      <c r="AD363" s="88" t="s">
        <v>377</v>
      </c>
      <c r="AE363" s="88" t="s">
        <v>378</v>
      </c>
      <c r="AF363" s="88" t="s">
        <v>379</v>
      </c>
      <c r="AG363" s="401" t="s">
        <v>380</v>
      </c>
      <c r="AH363" s="88" t="s">
        <v>381</v>
      </c>
      <c r="AI363" s="88" t="s">
        <v>382</v>
      </c>
      <c r="AJ363" s="88" t="s">
        <v>383</v>
      </c>
      <c r="AK363" s="88" t="s">
        <v>384</v>
      </c>
      <c r="AL363" s="401" t="s">
        <v>385</v>
      </c>
      <c r="AM363" s="88" t="s">
        <v>386</v>
      </c>
      <c r="AN363" s="88" t="s">
        <v>387</v>
      </c>
      <c r="AO363" s="88" t="s">
        <v>388</v>
      </c>
      <c r="AP363" s="88" t="s">
        <v>389</v>
      </c>
      <c r="AQ363" s="401" t="s">
        <v>390</v>
      </c>
      <c r="AR363" s="88" t="s">
        <v>781</v>
      </c>
      <c r="AS363" s="88" t="s">
        <v>782</v>
      </c>
      <c r="AT363" s="88" t="s">
        <v>783</v>
      </c>
      <c r="AU363" s="88" t="s">
        <v>784</v>
      </c>
      <c r="AV363" s="401" t="s">
        <v>785</v>
      </c>
    </row>
    <row r="364" spans="2:48" ht="17.25" outlineLevel="1" x14ac:dyDescent="0.4">
      <c r="B364" s="713" t="s">
        <v>392</v>
      </c>
      <c r="C364" s="714"/>
      <c r="D364" s="47"/>
      <c r="E364" s="46"/>
      <c r="F364" s="46"/>
      <c r="G364" s="46"/>
      <c r="H364" s="48"/>
      <c r="I364" s="46"/>
      <c r="J364" s="46"/>
      <c r="K364" s="46"/>
      <c r="L364" s="46"/>
      <c r="M364" s="48"/>
      <c r="N364" s="46"/>
      <c r="O364" s="46"/>
      <c r="P364" s="46"/>
      <c r="Q364" s="46"/>
      <c r="R364" s="48"/>
      <c r="S364" s="46"/>
      <c r="T364" s="46"/>
      <c r="U364" s="46"/>
      <c r="V364" s="46"/>
      <c r="W364" s="48"/>
      <c r="X364" s="46"/>
      <c r="Y364" s="46"/>
      <c r="Z364" s="46"/>
      <c r="AA364" s="46"/>
      <c r="AB364" s="48"/>
      <c r="AC364" s="46"/>
      <c r="AD364" s="46"/>
      <c r="AE364" s="46"/>
      <c r="AF364" s="46"/>
      <c r="AG364" s="48"/>
      <c r="AH364" s="46"/>
      <c r="AI364" s="46"/>
      <c r="AJ364" s="46"/>
      <c r="AK364" s="46"/>
      <c r="AL364" s="48"/>
      <c r="AM364" s="46"/>
      <c r="AN364" s="46"/>
      <c r="AO364" s="46"/>
      <c r="AP364" s="46"/>
      <c r="AQ364" s="48"/>
      <c r="AR364" s="46"/>
      <c r="AS364" s="46"/>
      <c r="AT364" s="46"/>
      <c r="AU364" s="46"/>
      <c r="AV364" s="48"/>
    </row>
    <row r="365" spans="2:48" outlineLevel="1" x14ac:dyDescent="0.25">
      <c r="B365" s="287" t="s">
        <v>391</v>
      </c>
      <c r="C365" s="281"/>
      <c r="D365" s="165">
        <f>D322/(D259+D322)</f>
        <v>4.9601417183348095E-3</v>
      </c>
      <c r="E365" s="165">
        <f>E322/(E259+E322)</f>
        <v>4.9202578893790296E-3</v>
      </c>
      <c r="F365" s="165">
        <f>F322/(F259+F322)</f>
        <v>5.8231868713605082E-3</v>
      </c>
      <c r="G365" s="165">
        <f>G322/(G259+G322)</f>
        <v>4.2564877111080602E-3</v>
      </c>
      <c r="H365" s="303"/>
      <c r="I365" s="165">
        <f>I322/(I259+I322)</f>
        <v>5.3630363036303629E-3</v>
      </c>
      <c r="J365" s="165">
        <f>J322/(J259+J322)</f>
        <v>4.8607461902259591E-3</v>
      </c>
      <c r="K365" s="165">
        <f>K322/(K259+K322)</f>
        <v>5.229985248759555E-3</v>
      </c>
      <c r="L365" s="165">
        <f>L322/(L259+L322)</f>
        <v>2.7559055118110236E-3</v>
      </c>
      <c r="M365" s="303"/>
      <c r="N365" s="165">
        <f>N322/(N259+N322)</f>
        <v>7.4386312918423014E-3</v>
      </c>
      <c r="O365" s="165">
        <f>O322/(O259+O322)</f>
        <v>6.4286534267018712E-3</v>
      </c>
      <c r="P365" s="165">
        <f>P322/(P259+P322)</f>
        <v>6.9857993586807145E-3</v>
      </c>
      <c r="Q365" s="165">
        <f>Q322/(Q259+Q322)</f>
        <v>8.0316610406239095E-3</v>
      </c>
      <c r="R365" s="303"/>
      <c r="S365" s="165">
        <f>S322/(S259+S322)</f>
        <v>9.3203000681973177E-3</v>
      </c>
      <c r="T365" s="165">
        <f>T322/(T259+T322)</f>
        <v>8.0820640348150449E-3</v>
      </c>
      <c r="U365" s="165">
        <f>U322/(U259+U322)</f>
        <v>6.7047702791822377E-3</v>
      </c>
      <c r="V365" s="165">
        <f>V322/(V259+V322)</f>
        <v>8.0522306855277479E-3</v>
      </c>
      <c r="W365" s="75"/>
      <c r="X365" s="243">
        <f>AVERAGE(V365,U365,T365,S365)</f>
        <v>8.0398412669305877E-3</v>
      </c>
      <c r="Y365" s="243">
        <f>AVERAGE(X365,V365,U365,T365)</f>
        <v>7.7197265666139048E-3</v>
      </c>
      <c r="Z365" s="243">
        <f>AVERAGE(Y365,X365,V365,U365)</f>
        <v>7.6291421995636193E-3</v>
      </c>
      <c r="AA365" s="243">
        <f>AVERAGE(Z365,Y365,X365,V365)</f>
        <v>7.8602351796589649E-3</v>
      </c>
      <c r="AB365" s="75"/>
      <c r="AC365" s="243">
        <f>AVERAGE(AA365,Z365,Y365,X365)</f>
        <v>7.8122363031917687E-3</v>
      </c>
      <c r="AD365" s="243">
        <f>AVERAGE(AC365,AA365,Z365,Y365)</f>
        <v>7.7553350622570644E-3</v>
      </c>
      <c r="AE365" s="243">
        <f>AVERAGE(AD365,AC365,AA365,Z365)</f>
        <v>7.7642371861678539E-3</v>
      </c>
      <c r="AF365" s="243">
        <f>AVERAGE(AE365,AD365,AC365,AA365)</f>
        <v>7.7980109328189126E-3</v>
      </c>
      <c r="AG365" s="75"/>
      <c r="AH365" s="243">
        <f>AVERAGE(AF365,AE365,AD365,AC365)</f>
        <v>7.7824548711088997E-3</v>
      </c>
      <c r="AI365" s="243">
        <f>AVERAGE(AH365,AF365,AE365,AD365)</f>
        <v>7.7750095130881824E-3</v>
      </c>
      <c r="AJ365" s="243">
        <f>AVERAGE(AI365,AH365,AF365,AE365)</f>
        <v>7.7799281257959624E-3</v>
      </c>
      <c r="AK365" s="243">
        <f>AVERAGE(AJ365,AI365,AH365,AF365)</f>
        <v>7.7838508607029899E-3</v>
      </c>
      <c r="AL365" s="75"/>
      <c r="AM365" s="243">
        <f>AVERAGE(AK365,AJ365,AI365,AH365)</f>
        <v>7.780310842674009E-3</v>
      </c>
      <c r="AN365" s="243">
        <f>AVERAGE(AM365,AK365,AJ365,AI365)</f>
        <v>7.7797748355652859E-3</v>
      </c>
      <c r="AO365" s="243">
        <f>AVERAGE(AN365,AM365,AK365,AJ365)</f>
        <v>7.780966166184562E-3</v>
      </c>
      <c r="AP365" s="243">
        <f>AVERAGE(AO365,AN365,AM365,AK365)</f>
        <v>7.7812256762817122E-3</v>
      </c>
      <c r="AQ365" s="75"/>
      <c r="AR365" s="243">
        <f>AVERAGE(AP365,AO365,AN365,AM365)</f>
        <v>7.7805693801763923E-3</v>
      </c>
      <c r="AS365" s="243">
        <f>AVERAGE(AR365,AP365,AO365,AN365)</f>
        <v>7.7806340145519888E-3</v>
      </c>
      <c r="AT365" s="243">
        <f>AVERAGE(AS365,AR365,AP365,AO365)</f>
        <v>7.7808488092986636E-3</v>
      </c>
      <c r="AU365" s="243">
        <f>AVERAGE(AT365,AS365,AR365,AP365)</f>
        <v>7.7808194700771886E-3</v>
      </c>
      <c r="AV365" s="75"/>
    </row>
    <row r="366" spans="2:48" s="110" customFormat="1" outlineLevel="1" x14ac:dyDescent="0.25">
      <c r="B366" s="282" t="s">
        <v>486</v>
      </c>
      <c r="C366" s="283"/>
      <c r="D366" s="165">
        <f>D323/D13</f>
        <v>4.3163124032901705E-3</v>
      </c>
      <c r="E366" s="165">
        <f>E323/E13</f>
        <v>2.6499638641291254E-3</v>
      </c>
      <c r="F366" s="165">
        <f>F323/F13</f>
        <v>2.2917654496601866E-3</v>
      </c>
      <c r="G366" s="165">
        <f>G323/G13</f>
        <v>2.2343786116033591E-3</v>
      </c>
      <c r="H366" s="303"/>
      <c r="I366" s="165">
        <f>I323/I13</f>
        <v>3.8873354702311943E-3</v>
      </c>
      <c r="J366" s="165">
        <f>J323/J13</f>
        <v>2.4110910186859553E-3</v>
      </c>
      <c r="K366" s="165">
        <f>K323/K13</f>
        <v>2.0004000800160032E-3</v>
      </c>
      <c r="L366" s="165">
        <f>L323/L13</f>
        <v>1.9710071210579856E-3</v>
      </c>
      <c r="M366" s="303"/>
      <c r="N366" s="165">
        <f>N323/N13</f>
        <v>4.0530823037196835E-3</v>
      </c>
      <c r="O366" s="165">
        <f>O323/O13</f>
        <v>2.5133329246613129E-3</v>
      </c>
      <c r="P366" s="165">
        <f>P323/P13</f>
        <v>1.9363427326636814E-3</v>
      </c>
      <c r="Q366" s="165">
        <f>Q323/Q13</f>
        <v>1.848201889920127E-3</v>
      </c>
      <c r="R366" s="303"/>
      <c r="S366" s="165">
        <f>S323/S13</f>
        <v>3.9878020173586678E-3</v>
      </c>
      <c r="T366" s="165">
        <f>T323/T13</f>
        <v>2.244165170556553E-3</v>
      </c>
      <c r="U366" s="165">
        <f>U323/U13</f>
        <v>1.9400352733686067E-3</v>
      </c>
      <c r="V366" s="165">
        <f>V323/V13</f>
        <v>1.8532037962598977E-3</v>
      </c>
      <c r="W366" s="303"/>
      <c r="X366" s="243">
        <f>AVERAGE(V366,U366,T366,S366)</f>
        <v>2.5063015643859311E-3</v>
      </c>
      <c r="Y366" s="243">
        <f>AVERAGE(X366,V366,U366,T366)</f>
        <v>2.1359264511427471E-3</v>
      </c>
      <c r="Z366" s="243">
        <f>AVERAGE(Y366,X366,V366,U366)</f>
        <v>2.1088667712892955E-3</v>
      </c>
      <c r="AA366" s="243">
        <f>AVERAGE(Z366,Y366,X366,V366)</f>
        <v>2.1510746457694676E-3</v>
      </c>
      <c r="AB366" s="303"/>
      <c r="AC366" s="243">
        <f>AVERAGE(AA366,Z366,Y366,X366)</f>
        <v>2.2255423581468603E-3</v>
      </c>
      <c r="AD366" s="243">
        <f>AVERAGE(AC366,AA366,Z366,Y366)</f>
        <v>2.1553525565870925E-3</v>
      </c>
      <c r="AE366" s="243">
        <f>AVERAGE(AD366,AC366,AA366,Z366)</f>
        <v>2.1602090829481793E-3</v>
      </c>
      <c r="AF366" s="243">
        <f>AVERAGE(AE366,AD366,AC366,AA366)</f>
        <v>2.1730446608628998E-3</v>
      </c>
      <c r="AG366" s="303"/>
      <c r="AH366" s="243">
        <f>AVERAGE(AF366,AE366,AD366,AC366)</f>
        <v>2.1785371646362581E-3</v>
      </c>
      <c r="AI366" s="243">
        <f>AVERAGE(AH366,AF366,AE366,AD366)</f>
        <v>2.1667858662586074E-3</v>
      </c>
      <c r="AJ366" s="243">
        <f>AVERAGE(AI366,AH366,AF366,AE366)</f>
        <v>2.1696441936764864E-3</v>
      </c>
      <c r="AK366" s="243">
        <f>AVERAGE(AJ366,AI366,AH366,AF366)</f>
        <v>2.1720029713585632E-3</v>
      </c>
      <c r="AL366" s="303"/>
      <c r="AM366" s="243">
        <f>AVERAGE(AK366,AJ366,AI366,AH366)</f>
        <v>2.1717425489824788E-3</v>
      </c>
      <c r="AN366" s="243">
        <f>AVERAGE(AM366,AK366,AJ366,AI366)</f>
        <v>2.1700438950690341E-3</v>
      </c>
      <c r="AO366" s="243">
        <f>AVERAGE(AN366,AM366,AK366,AJ366)</f>
        <v>2.1708584022716408E-3</v>
      </c>
      <c r="AP366" s="243">
        <f>AVERAGE(AO366,AN366,AM366,AK366)</f>
        <v>2.1711619544204294E-3</v>
      </c>
      <c r="AQ366" s="303"/>
      <c r="AR366" s="243">
        <f>AVERAGE(AP366,AO366,AN366,AM366)</f>
        <v>2.1709517001858958E-3</v>
      </c>
      <c r="AS366" s="243">
        <f>AVERAGE(AR366,AP366,AO366,AN366)</f>
        <v>2.1707539879867502E-3</v>
      </c>
      <c r="AT366" s="243">
        <f>AVERAGE(AS366,AR366,AP366,AO366)</f>
        <v>2.1709315112161788E-3</v>
      </c>
      <c r="AU366" s="243">
        <f>AVERAGE(AT366,AS366,AR366,AP366)</f>
        <v>2.1709497884523136E-3</v>
      </c>
      <c r="AV366" s="303"/>
    </row>
    <row r="367" spans="2:48" s="228" customFormat="1" outlineLevel="1" x14ac:dyDescent="0.25">
      <c r="B367" s="687" t="s">
        <v>88</v>
      </c>
      <c r="C367" s="688"/>
      <c r="D367" s="185"/>
      <c r="E367" s="185"/>
      <c r="F367" s="185"/>
      <c r="G367" s="185"/>
      <c r="H367" s="240"/>
      <c r="I367" s="185">
        <f t="shared" ref="I367:AQ367" si="316">I334/D334-1</f>
        <v>-0.217566478646253</v>
      </c>
      <c r="J367" s="185">
        <f t="shared" si="316"/>
        <v>0.37180544105523494</v>
      </c>
      <c r="K367" s="185">
        <f t="shared" si="316"/>
        <v>-0.99254843517138602</v>
      </c>
      <c r="L367" s="185">
        <f t="shared" si="316"/>
        <v>0.19508368200836812</v>
      </c>
      <c r="M367" s="240">
        <f t="shared" si="316"/>
        <v>-0.13629992992291518</v>
      </c>
      <c r="N367" s="185">
        <f t="shared" si="316"/>
        <v>-0.39237899073120497</v>
      </c>
      <c r="O367" s="185">
        <f t="shared" si="316"/>
        <v>-0.45432692307692313</v>
      </c>
      <c r="P367" s="185">
        <f t="shared" si="316"/>
        <v>-34.6</v>
      </c>
      <c r="Q367" s="185">
        <f t="shared" si="316"/>
        <v>0.53703535492341214</v>
      </c>
      <c r="R367" s="240">
        <f t="shared" si="316"/>
        <v>-5.1901463286004645E-2</v>
      </c>
      <c r="S367" s="185">
        <f t="shared" si="316"/>
        <v>0.18813559322033901</v>
      </c>
      <c r="T367" s="185">
        <f t="shared" si="316"/>
        <v>0.62775330396475781</v>
      </c>
      <c r="U367" s="185">
        <f>U334/P334-1</f>
        <v>-4.4047619047619051</v>
      </c>
      <c r="V367" s="185">
        <f t="shared" si="316"/>
        <v>-0.3479732391338668</v>
      </c>
      <c r="W367" s="240">
        <f t="shared" si="316"/>
        <v>0.20086627039694394</v>
      </c>
      <c r="X367" s="185">
        <f t="shared" si="316"/>
        <v>2.5379277936532776</v>
      </c>
      <c r="Y367" s="185">
        <f t="shared" si="316"/>
        <v>-0.7594297322742074</v>
      </c>
      <c r="Z367" s="185">
        <f t="shared" si="316"/>
        <v>1.5085797669269123</v>
      </c>
      <c r="AA367" s="185">
        <f t="shared" si="316"/>
        <v>-0.35748972808994484</v>
      </c>
      <c r="AB367" s="240">
        <f t="shared" si="316"/>
        <v>0.27860573937076083</v>
      </c>
      <c r="AC367" s="185">
        <f t="shared" si="316"/>
        <v>0.26546786357280183</v>
      </c>
      <c r="AD367" s="185">
        <f t="shared" si="316"/>
        <v>-0.4496311330485111</v>
      </c>
      <c r="AE367" s="185">
        <f t="shared" si="316"/>
        <v>0.19067089200560883</v>
      </c>
      <c r="AF367" s="185">
        <f t="shared" si="316"/>
        <v>-0.18914710387581357</v>
      </c>
      <c r="AG367" s="240">
        <f t="shared" si="316"/>
        <v>0.10692771057400252</v>
      </c>
      <c r="AH367" s="185">
        <f t="shared" si="316"/>
        <v>0.34208465223115803</v>
      </c>
      <c r="AI367" s="185">
        <f t="shared" si="316"/>
        <v>-3.9824249635343576</v>
      </c>
      <c r="AJ367" s="185">
        <f t="shared" si="316"/>
        <v>0.3435801129747702</v>
      </c>
      <c r="AK367" s="185">
        <f t="shared" si="316"/>
        <v>-0.56427060621114788</v>
      </c>
      <c r="AL367" s="240">
        <f t="shared" si="316"/>
        <v>0.10008702129582225</v>
      </c>
      <c r="AM367" s="185">
        <f t="shared" si="316"/>
        <v>0.2883769011910402</v>
      </c>
      <c r="AN367" s="185">
        <f t="shared" si="316"/>
        <v>1.7029534378514226</v>
      </c>
      <c r="AO367" s="185">
        <f t="shared" si="316"/>
        <v>0.27293628043172968</v>
      </c>
      <c r="AP367" s="185">
        <f t="shared" si="316"/>
        <v>-1.8076560938270561</v>
      </c>
      <c r="AQ367" s="240">
        <f t="shared" si="316"/>
        <v>6.1117361572765816E-2</v>
      </c>
      <c r="AR367" s="185">
        <f t="shared" ref="AR367" si="317">AR334/AM334-1</f>
        <v>0.227487105549254</v>
      </c>
      <c r="AS367" s="185">
        <f t="shared" ref="AS367" si="318">AS334/AN334-1</f>
        <v>0.67954971692239519</v>
      </c>
      <c r="AT367" s="185">
        <f t="shared" ref="AT367" si="319">AT334/AO334-1</f>
        <v>0.21638338110008992</v>
      </c>
      <c r="AU367" s="185">
        <f t="shared" ref="AU367" si="320">AU334/AP334-1</f>
        <v>2.4504839802465725</v>
      </c>
      <c r="AV367" s="240">
        <f t="shared" ref="AV367" si="321">AV334/AQ334-1</f>
        <v>4.2941541102263114E-2</v>
      </c>
    </row>
    <row r="368" spans="2:48" s="53" customFormat="1" outlineLevel="1" x14ac:dyDescent="0.25">
      <c r="B368" s="301" t="s">
        <v>394</v>
      </c>
      <c r="C368" s="399"/>
      <c r="D368" s="165">
        <f t="shared" ref="D368:T368" si="322">-D336/D13</f>
        <v>9.8460786709015397E-2</v>
      </c>
      <c r="E368" s="165">
        <f t="shared" si="322"/>
        <v>0.10864851842929414</v>
      </c>
      <c r="F368" s="165">
        <f t="shared" si="322"/>
        <v>7.9026394815868498E-2</v>
      </c>
      <c r="G368" s="165">
        <f t="shared" si="322"/>
        <v>9.6771708143924801E-2</v>
      </c>
      <c r="H368" s="478">
        <f t="shared" si="322"/>
        <v>9.5661669810384195E-2</v>
      </c>
      <c r="I368" s="165">
        <f t="shared" si="322"/>
        <v>8.2861624497033354E-2</v>
      </c>
      <c r="J368" s="165">
        <f t="shared" si="322"/>
        <v>9.8184984260933625E-2</v>
      </c>
      <c r="K368" s="165">
        <f t="shared" si="322"/>
        <v>7.3948122957924925E-2</v>
      </c>
      <c r="L368" s="165">
        <f t="shared" si="322"/>
        <v>8.4308240081383518E-2</v>
      </c>
      <c r="M368" s="478">
        <f t="shared" si="322"/>
        <v>8.481572970374178E-2</v>
      </c>
      <c r="N368" s="165">
        <f t="shared" si="322"/>
        <v>6.8248676211021764E-2</v>
      </c>
      <c r="O368" s="165">
        <f t="shared" si="322"/>
        <v>9.6671366394899774E-2</v>
      </c>
      <c r="P368" s="165">
        <f t="shared" si="322"/>
        <v>8.3081205373351077E-2</v>
      </c>
      <c r="Q368" s="165">
        <f t="shared" si="322"/>
        <v>9.6395279821146623E-2</v>
      </c>
      <c r="R368" s="478">
        <f t="shared" si="322"/>
        <v>8.6523897883956924E-2</v>
      </c>
      <c r="S368" s="165">
        <f t="shared" si="322"/>
        <v>6.9141449683321601E-2</v>
      </c>
      <c r="T368" s="165">
        <f t="shared" si="322"/>
        <v>8.1631508078994608E-2</v>
      </c>
      <c r="U368" s="165">
        <f t="shared" ref="U368:V368" si="323">-U336/U13</f>
        <v>6.6019988242210462E-2</v>
      </c>
      <c r="V368" s="165">
        <f t="shared" si="323"/>
        <v>9.7321278149042512E-2</v>
      </c>
      <c r="W368" s="398">
        <f>-W336/W13</f>
        <v>7.8774051913391582E-2</v>
      </c>
      <c r="X368" s="176">
        <f>AVERAGE(S368,T368,U368,V368)</f>
        <v>7.8528556038392289E-2</v>
      </c>
      <c r="Y368" s="176">
        <f>AVERAGE(T368,U368,V368,X368)</f>
        <v>8.0875332627159957E-2</v>
      </c>
      <c r="Z368" s="176">
        <f>AVERAGE(U368,V368,X368,Y368)</f>
        <v>8.0686288764201308E-2</v>
      </c>
      <c r="AA368" s="176">
        <f>AVERAGE(V368,X368,Y368,Z368)+0.619917059650929%</f>
        <v>9.0552034491208314E-2</v>
      </c>
      <c r="AB368" s="398">
        <f>-AB336/AB13</f>
        <v>8.2748948106591863E-2</v>
      </c>
      <c r="AC368" s="176">
        <f>AVERAGE(X368,Y368,Z368,AA368)</f>
        <v>8.266055298024047E-2</v>
      </c>
      <c r="AD368" s="176">
        <f>AVERAGE(Y368,Z368,AA368,AC368)</f>
        <v>8.3693552215702516E-2</v>
      </c>
      <c r="AE368" s="176">
        <f>AVERAGE(Z368,AA368,AC368,AD368)</f>
        <v>8.4398107112838155E-2</v>
      </c>
      <c r="AF368" s="176">
        <f>AVERAGE(AA368,AC368,AD368,AE368)</f>
        <v>8.5326061699997374E-2</v>
      </c>
      <c r="AG368" s="398">
        <f>-AG336/AG13</f>
        <v>8.4045420199102119E-2</v>
      </c>
      <c r="AH368" s="176">
        <f>AVERAGE(AC368,AD368,AE368,AF368)</f>
        <v>8.4019568502194636E-2</v>
      </c>
      <c r="AI368" s="176">
        <f>AVERAGE(AD368,AE368,AF368,AH368)</f>
        <v>8.4359322382683177E-2</v>
      </c>
      <c r="AJ368" s="176">
        <f>AVERAGE(AE368,AF368,AH368,AI368)</f>
        <v>8.4525764924428343E-2</v>
      </c>
      <c r="AK368" s="176">
        <f>AVERAGE(AF368,AH368,AI368,AJ368)</f>
        <v>8.4557679377325889E-2</v>
      </c>
      <c r="AL368" s="478">
        <f>-AL336/AL13</f>
        <v>8.4370660587480856E-2</v>
      </c>
      <c r="AM368" s="176">
        <f>AVERAGE(AH368,AI368,AJ368,AK368)</f>
        <v>8.4365583796658011E-2</v>
      </c>
      <c r="AN368" s="176">
        <f>AVERAGE(AI368,AJ368,AK368,AM368)</f>
        <v>8.4452087620273869E-2</v>
      </c>
      <c r="AO368" s="176">
        <f>AVERAGE(AJ368,AK368,AM368,AN368)</f>
        <v>8.4475278929671521E-2</v>
      </c>
      <c r="AP368" s="176">
        <f>AVERAGE(AK368,AM368,AN368,AO368)</f>
        <v>8.446265743098233E-2</v>
      </c>
      <c r="AQ368" s="478">
        <f>-AQ336/AQ13</f>
        <v>8.4439776308425266E-2</v>
      </c>
      <c r="AR368" s="176">
        <f>AVERAGE(AM368,AN368,AO368,AP368)</f>
        <v>8.4438901944396433E-2</v>
      </c>
      <c r="AS368" s="176">
        <f>AVERAGE(AN368,AO368,AP368,AR368)</f>
        <v>8.4457231481331024E-2</v>
      </c>
      <c r="AT368" s="176">
        <f>AVERAGE(AO368,AP368,AR368,AS368)</f>
        <v>8.4458517446595327E-2</v>
      </c>
      <c r="AU368" s="176">
        <f>AVERAGE(AP368,AR368,AS368,AT368)</f>
        <v>8.4454327075826272E-2</v>
      </c>
      <c r="AV368" s="478">
        <f>-AV336/AV13</f>
        <v>8.4452379256306581E-2</v>
      </c>
    </row>
    <row r="369" spans="1:48" ht="17.25" x14ac:dyDescent="0.4">
      <c r="B369" s="82"/>
      <c r="C369" s="82"/>
      <c r="D369" s="85"/>
      <c r="E369" s="85"/>
      <c r="F369" s="85"/>
      <c r="G369" s="85"/>
      <c r="H369" s="84"/>
      <c r="I369" s="85"/>
      <c r="J369" s="85"/>
      <c r="K369" s="85"/>
      <c r="L369" s="85"/>
      <c r="M369" s="84"/>
      <c r="N369" s="85"/>
      <c r="O369" s="85"/>
      <c r="P369" s="85"/>
      <c r="Q369" s="85"/>
      <c r="R369" s="84"/>
      <c r="S369" s="85"/>
      <c r="T369" s="85"/>
      <c r="U369" s="85"/>
      <c r="V369" s="85"/>
      <c r="W369" s="84"/>
      <c r="X369" s="85"/>
      <c r="Y369" s="85"/>
      <c r="Z369" s="85"/>
      <c r="AA369" s="85"/>
      <c r="AB369" s="84"/>
      <c r="AC369" s="85"/>
      <c r="AD369" s="85"/>
      <c r="AE369" s="85"/>
      <c r="AF369" s="85"/>
      <c r="AG369" s="84"/>
      <c r="AH369" s="85"/>
      <c r="AI369" s="85"/>
      <c r="AJ369" s="85"/>
      <c r="AK369" s="85"/>
      <c r="AL369" s="84"/>
      <c r="AM369" s="85"/>
      <c r="AN369" s="85"/>
      <c r="AO369" s="85"/>
      <c r="AP369" s="85"/>
      <c r="AQ369" s="84"/>
      <c r="AR369" s="85"/>
      <c r="AS369" s="85"/>
      <c r="AT369" s="85"/>
      <c r="AU369" s="85"/>
      <c r="AV369" s="84"/>
    </row>
    <row r="370" spans="1:48" ht="15.75" x14ac:dyDescent="0.25">
      <c r="B370" s="691" t="s">
        <v>23</v>
      </c>
      <c r="C370" s="752"/>
      <c r="D370" s="685"/>
      <c r="E370" s="686"/>
      <c r="F370" s="65"/>
      <c r="G370" s="65"/>
      <c r="H370" s="65"/>
      <c r="I370" s="65"/>
      <c r="J370" s="65"/>
      <c r="K370" s="65"/>
      <c r="L370" s="65"/>
      <c r="M370" s="65"/>
      <c r="N370" s="65"/>
      <c r="O370" s="65"/>
      <c r="P370" s="65"/>
      <c r="Q370" s="65"/>
      <c r="R370" s="65"/>
      <c r="S370" s="65"/>
      <c r="T370" s="65"/>
      <c r="U370" s="65"/>
      <c r="V370" s="65"/>
      <c r="W370" s="65"/>
      <c r="X370" s="65"/>
      <c r="Y370" s="65"/>
      <c r="Z370" s="65"/>
      <c r="AA370" s="65"/>
      <c r="AB370" s="65"/>
      <c r="AC370" s="65"/>
      <c r="AD370" s="65"/>
      <c r="AE370" s="65"/>
      <c r="AF370" s="65"/>
      <c r="AG370" s="65"/>
      <c r="AH370" s="65"/>
      <c r="AI370" s="65"/>
      <c r="AJ370" s="65"/>
      <c r="AK370" s="65"/>
      <c r="AL370" s="65"/>
      <c r="AM370" s="65"/>
      <c r="AN370" s="65"/>
      <c r="AO370" s="65"/>
      <c r="AP370" s="65"/>
      <c r="AQ370" s="65"/>
      <c r="AR370" s="65"/>
      <c r="AS370" s="65"/>
      <c r="AT370" s="65"/>
      <c r="AU370" s="65"/>
      <c r="AV370" s="65"/>
    </row>
    <row r="371" spans="1:48" outlineLevel="1" x14ac:dyDescent="0.25">
      <c r="A371" s="53"/>
      <c r="B371" s="273" t="s">
        <v>787</v>
      </c>
      <c r="C371" s="633">
        <v>11.2</v>
      </c>
      <c r="D371" s="685"/>
      <c r="E371" s="686"/>
      <c r="F371" s="60"/>
      <c r="G371" s="60"/>
      <c r="H371" s="60"/>
      <c r="I371" s="60"/>
      <c r="J371" s="60"/>
      <c r="K371" s="60"/>
      <c r="L371" s="60"/>
      <c r="M371" s="676"/>
      <c r="N371" s="60"/>
      <c r="O371" s="60"/>
      <c r="P371" s="60"/>
      <c r="Q371" s="60"/>
      <c r="R371" s="60"/>
      <c r="S371" s="60"/>
      <c r="T371" s="60"/>
      <c r="U371" s="60"/>
      <c r="V371" s="60"/>
      <c r="W371" s="60"/>
      <c r="X371" s="60"/>
      <c r="Y371" s="60"/>
      <c r="Z371" s="60"/>
      <c r="AA371" s="60"/>
      <c r="AB371" s="60"/>
      <c r="AC371" s="60"/>
      <c r="AD371" s="60"/>
      <c r="AE371" s="60"/>
      <c r="AF371" s="60"/>
      <c r="AG371" s="60"/>
      <c r="AH371" s="60"/>
      <c r="AI371" s="60"/>
      <c r="AJ371" s="60"/>
      <c r="AK371" s="60"/>
      <c r="AL371" s="60"/>
      <c r="AM371" s="60"/>
      <c r="AN371" s="60"/>
      <c r="AO371" s="60"/>
      <c r="AP371" s="60"/>
      <c r="AQ371" s="60"/>
      <c r="AR371" s="60"/>
      <c r="AS371" s="60"/>
      <c r="AT371" s="60"/>
      <c r="AU371" s="60"/>
      <c r="AV371" s="60"/>
    </row>
    <row r="372" spans="1:48" outlineLevel="1" x14ac:dyDescent="0.25">
      <c r="A372" s="53"/>
      <c r="B372" s="273" t="s">
        <v>59</v>
      </c>
      <c r="C372" s="495">
        <v>12</v>
      </c>
      <c r="D372" s="685"/>
      <c r="E372" s="686"/>
      <c r="F372" s="67"/>
      <c r="G372" s="67"/>
      <c r="H372" s="67"/>
      <c r="I372" s="66"/>
      <c r="J372" s="66"/>
      <c r="K372" s="67"/>
      <c r="L372" s="67"/>
      <c r="M372" s="82"/>
      <c r="N372" s="66"/>
      <c r="O372" s="66"/>
      <c r="P372" s="67"/>
      <c r="Q372" s="67"/>
      <c r="R372" s="67"/>
      <c r="S372" s="66"/>
      <c r="T372" s="66"/>
    </row>
    <row r="373" spans="1:48" outlineLevel="1" x14ac:dyDescent="0.25">
      <c r="A373" s="53"/>
      <c r="B373" s="273" t="s">
        <v>60</v>
      </c>
      <c r="C373" s="495">
        <v>10.3</v>
      </c>
      <c r="D373" s="685"/>
      <c r="E373" s="686"/>
      <c r="F373" s="67"/>
      <c r="G373" s="67"/>
      <c r="H373" s="67"/>
      <c r="I373" s="66"/>
      <c r="J373" s="66"/>
      <c r="K373" s="67"/>
      <c r="L373" s="67"/>
      <c r="M373" s="82"/>
      <c r="N373" s="66"/>
      <c r="O373" s="66"/>
      <c r="P373" s="67"/>
      <c r="Q373" s="67"/>
      <c r="R373" s="67"/>
      <c r="S373" s="66"/>
      <c r="T373" s="66"/>
    </row>
    <row r="374" spans="1:48" outlineLevel="1" x14ac:dyDescent="0.25">
      <c r="A374" s="53"/>
      <c r="B374" s="273" t="s">
        <v>40</v>
      </c>
      <c r="C374" s="495">
        <v>11.2</v>
      </c>
      <c r="D374" s="685"/>
      <c r="E374" s="686"/>
      <c r="F374" s="67"/>
      <c r="G374" s="67"/>
      <c r="H374" s="67"/>
      <c r="I374" s="66"/>
      <c r="J374" s="66"/>
      <c r="K374" s="67"/>
      <c r="L374" s="67"/>
      <c r="M374" s="82"/>
      <c r="N374" s="66"/>
      <c r="O374" s="66"/>
      <c r="P374" s="67"/>
      <c r="Q374" s="67"/>
      <c r="R374" s="67"/>
      <c r="S374" s="66"/>
      <c r="T374" s="66"/>
    </row>
    <row r="375" spans="1:48" outlineLevel="1" x14ac:dyDescent="0.25">
      <c r="A375" s="53"/>
      <c r="B375" s="278" t="s">
        <v>490</v>
      </c>
      <c r="C375" s="496">
        <v>0</v>
      </c>
      <c r="D375" s="685"/>
      <c r="E375" s="686"/>
      <c r="F375" s="68"/>
      <c r="G375" s="68"/>
      <c r="H375" s="69"/>
      <c r="I375" s="68"/>
      <c r="J375" s="68"/>
      <c r="K375" s="68"/>
      <c r="L375" s="68"/>
      <c r="M375" s="69"/>
      <c r="N375" s="68"/>
      <c r="O375" s="68"/>
      <c r="P375" s="68"/>
      <c r="Q375" s="68"/>
      <c r="R375" s="69"/>
      <c r="S375" s="68"/>
      <c r="T375" s="68"/>
      <c r="U375" s="68"/>
      <c r="V375" s="68"/>
      <c r="W375" s="69"/>
      <c r="X375" s="68"/>
      <c r="Y375" s="68"/>
      <c r="Z375" s="68"/>
      <c r="AA375" s="68"/>
      <c r="AB375" s="69"/>
      <c r="AC375" s="68"/>
      <c r="AD375" s="68"/>
      <c r="AE375" s="68"/>
      <c r="AF375" s="68"/>
      <c r="AG375" s="69"/>
      <c r="AH375" s="68"/>
      <c r="AI375" s="68"/>
      <c r="AJ375" s="68"/>
      <c r="AK375" s="68"/>
      <c r="AL375" s="69"/>
      <c r="AM375" s="68"/>
      <c r="AN375" s="68"/>
      <c r="AO375" s="68"/>
      <c r="AP375" s="68"/>
      <c r="AQ375" s="69"/>
      <c r="AR375" s="68"/>
      <c r="AS375" s="68"/>
      <c r="AT375" s="68"/>
      <c r="AU375" s="68"/>
      <c r="AV375" s="69"/>
    </row>
    <row r="376" spans="1:48" outlineLevel="1" x14ac:dyDescent="0.25">
      <c r="A376" s="53"/>
      <c r="B376" s="278" t="s">
        <v>491</v>
      </c>
      <c r="C376" s="496">
        <v>0</v>
      </c>
      <c r="D376" s="685"/>
      <c r="E376" s="686"/>
      <c r="F376" s="68"/>
      <c r="G376" s="68"/>
      <c r="H376" s="69"/>
      <c r="I376" s="68"/>
      <c r="J376" s="68"/>
      <c r="K376" s="68"/>
      <c r="L376" s="68"/>
      <c r="M376" s="69"/>
      <c r="N376" s="68"/>
      <c r="O376" s="68"/>
      <c r="P376" s="68"/>
      <c r="Q376" s="68"/>
      <c r="R376" s="69"/>
      <c r="S376" s="68"/>
      <c r="T376" s="68"/>
      <c r="U376" s="68"/>
      <c r="V376" s="68"/>
      <c r="W376" s="69"/>
      <c r="X376" s="68"/>
      <c r="Y376" s="68"/>
      <c r="Z376" s="68"/>
      <c r="AA376" s="68"/>
      <c r="AB376" s="69"/>
      <c r="AC376" s="68"/>
      <c r="AD376" s="68"/>
      <c r="AE376" s="68"/>
      <c r="AF376" s="68"/>
      <c r="AG376" s="69"/>
      <c r="AH376" s="68"/>
      <c r="AI376" s="68"/>
      <c r="AJ376" s="68"/>
      <c r="AK376" s="68"/>
      <c r="AL376" s="69"/>
      <c r="AM376" s="68"/>
      <c r="AN376" s="68"/>
      <c r="AO376" s="68"/>
      <c r="AP376" s="68"/>
      <c r="AQ376" s="69"/>
      <c r="AR376" s="68"/>
      <c r="AS376" s="68"/>
      <c r="AT376" s="68"/>
      <c r="AU376" s="68"/>
      <c r="AV376" s="69"/>
    </row>
    <row r="377" spans="1:48" ht="17.25" outlineLevel="1" x14ac:dyDescent="0.4">
      <c r="A377" s="53"/>
      <c r="B377" s="278" t="s">
        <v>788</v>
      </c>
      <c r="C377" s="846">
        <v>0</v>
      </c>
      <c r="D377" s="685"/>
      <c r="E377" s="686"/>
      <c r="F377" s="68"/>
      <c r="G377" s="68"/>
      <c r="H377" s="69"/>
      <c r="I377" s="68"/>
      <c r="J377" s="68"/>
      <c r="K377" s="68"/>
      <c r="L377" s="68"/>
      <c r="M377" s="69"/>
      <c r="N377" s="68"/>
      <c r="O377" s="68"/>
      <c r="P377" s="68"/>
      <c r="Q377" s="68"/>
      <c r="R377" s="69"/>
      <c r="S377" s="68"/>
      <c r="T377" s="68"/>
      <c r="U377" s="68"/>
      <c r="V377" s="68"/>
      <c r="W377" s="69"/>
      <c r="X377" s="68"/>
      <c r="Y377" s="68"/>
      <c r="Z377" s="68"/>
      <c r="AA377" s="68"/>
      <c r="AB377" s="69"/>
      <c r="AC377" s="68"/>
      <c r="AD377" s="68"/>
      <c r="AE377" s="68"/>
      <c r="AF377" s="68"/>
      <c r="AG377" s="69"/>
      <c r="AH377" s="68"/>
      <c r="AI377" s="68"/>
      <c r="AJ377" s="68"/>
      <c r="AK377" s="68"/>
      <c r="AL377" s="69"/>
      <c r="AM377" s="68"/>
      <c r="AN377" s="68"/>
      <c r="AO377" s="68"/>
      <c r="AP377" s="68"/>
      <c r="AQ377" s="69"/>
      <c r="AR377" s="68"/>
      <c r="AS377" s="68"/>
      <c r="AT377" s="68"/>
      <c r="AU377" s="68"/>
      <c r="AV377" s="69"/>
    </row>
    <row r="378" spans="1:48" outlineLevel="1" x14ac:dyDescent="0.25">
      <c r="A378" s="53"/>
      <c r="B378" s="847" t="s">
        <v>63</v>
      </c>
      <c r="C378" s="848">
        <f>(C374*(X45+Y45+Z45+AA45))</f>
        <v>164.54399825208429</v>
      </c>
      <c r="D378" s="685"/>
      <c r="E378" s="686"/>
      <c r="F378" s="67"/>
      <c r="G378" s="67"/>
      <c r="H378" s="67"/>
      <c r="I378" s="66"/>
      <c r="J378" s="66"/>
      <c r="K378" s="67"/>
      <c r="L378" s="67"/>
      <c r="M378" s="67"/>
      <c r="N378" s="66"/>
      <c r="O378" s="66"/>
      <c r="P378" s="67"/>
      <c r="Q378" s="67"/>
      <c r="R378" s="67"/>
      <c r="S378" s="66"/>
      <c r="T378" s="66"/>
    </row>
    <row r="379" spans="1:48" ht="15" customHeight="1" x14ac:dyDescent="0.25">
      <c r="B379" s="632" t="s">
        <v>732</v>
      </c>
      <c r="C379" s="634">
        <f>ROUND((C382-C405),0)</f>
        <v>0</v>
      </c>
      <c r="D379" s="79"/>
      <c r="E379" s="64"/>
    </row>
    <row r="380" spans="1:48" ht="15.75" x14ac:dyDescent="0.25">
      <c r="B380" s="691" t="s">
        <v>32</v>
      </c>
      <c r="C380" s="752"/>
      <c r="D380" s="79"/>
      <c r="E380" s="64"/>
    </row>
    <row r="381" spans="1:48" outlineLevel="1" x14ac:dyDescent="0.25">
      <c r="B381" s="459" t="s">
        <v>484</v>
      </c>
      <c r="C381" s="86"/>
      <c r="D381" s="79"/>
      <c r="E381" s="64"/>
    </row>
    <row r="382" spans="1:48" outlineLevel="1" x14ac:dyDescent="0.25">
      <c r="B382" s="460" t="s">
        <v>731</v>
      </c>
      <c r="C382" s="461">
        <v>160.53333333333333</v>
      </c>
      <c r="D382" s="79"/>
      <c r="E382" s="64"/>
      <c r="F382" s="666"/>
      <c r="G382" s="666"/>
      <c r="H382" s="666"/>
    </row>
    <row r="383" spans="1:48" ht="17.25" outlineLevel="1" x14ac:dyDescent="0.4">
      <c r="B383" s="460" t="s">
        <v>33</v>
      </c>
      <c r="C383" s="477">
        <f>V42</f>
        <v>260.39999999999998</v>
      </c>
      <c r="D383" s="79"/>
      <c r="E383" s="64"/>
    </row>
    <row r="384" spans="1:48" outlineLevel="1" x14ac:dyDescent="0.25">
      <c r="B384" s="470" t="s">
        <v>34</v>
      </c>
      <c r="C384" s="462">
        <f>C383*C382</f>
        <v>41802.879999999997</v>
      </c>
      <c r="D384" s="79"/>
      <c r="E384" s="64"/>
    </row>
    <row r="385" spans="2:5" outlineLevel="1" x14ac:dyDescent="0.25">
      <c r="B385" s="463" t="s">
        <v>52</v>
      </c>
      <c r="C385" s="627">
        <v>1.75</v>
      </c>
      <c r="D385" s="79"/>
      <c r="E385" s="64"/>
    </row>
    <row r="386" spans="2:5" outlineLevel="1" x14ac:dyDescent="0.25">
      <c r="B386" s="463" t="s">
        <v>789</v>
      </c>
      <c r="C386" s="464">
        <v>0.31900000000000001</v>
      </c>
      <c r="D386" s="79"/>
      <c r="E386" s="64"/>
    </row>
    <row r="387" spans="2:5" outlineLevel="1" x14ac:dyDescent="0.25">
      <c r="B387" s="463" t="s">
        <v>790</v>
      </c>
      <c r="C387" s="465">
        <v>0.16520000000000001</v>
      </c>
      <c r="D387" s="79"/>
      <c r="E387" s="64"/>
    </row>
    <row r="388" spans="2:5" outlineLevel="1" x14ac:dyDescent="0.25">
      <c r="B388" s="471" t="s">
        <v>35</v>
      </c>
      <c r="C388" s="466">
        <f>C386*C387</f>
        <v>5.2698800000000004E-2</v>
      </c>
      <c r="D388" s="79"/>
      <c r="E388" s="64"/>
    </row>
    <row r="389" spans="2:5" outlineLevel="1" x14ac:dyDescent="0.25">
      <c r="B389" s="463" t="s">
        <v>752</v>
      </c>
      <c r="C389" s="467">
        <v>1.9599999999999999E-2</v>
      </c>
    </row>
    <row r="390" spans="2:5" outlineLevel="1" x14ac:dyDescent="0.25">
      <c r="B390" s="470" t="s">
        <v>36</v>
      </c>
      <c r="C390" s="473">
        <f>C389+(C385*C388)</f>
        <v>0.1118229</v>
      </c>
    </row>
    <row r="391" spans="2:5" outlineLevel="1" x14ac:dyDescent="0.25">
      <c r="B391" s="273" t="s">
        <v>37</v>
      </c>
      <c r="C391" s="468">
        <f>C384/(C384+V272+V277+V271)</f>
        <v>0.70394322499641315</v>
      </c>
    </row>
    <row r="392" spans="2:5" outlineLevel="1" x14ac:dyDescent="0.25">
      <c r="B392" s="273" t="s">
        <v>38</v>
      </c>
      <c r="C392" s="468">
        <f>-W231</f>
        <v>3.4420183808464552E-2</v>
      </c>
    </row>
    <row r="393" spans="2:5" outlineLevel="1" x14ac:dyDescent="0.25">
      <c r="B393" s="273" t="s">
        <v>2</v>
      </c>
      <c r="C393" s="274">
        <v>0.23</v>
      </c>
    </row>
    <row r="394" spans="2:5" outlineLevel="1" x14ac:dyDescent="0.25">
      <c r="B394" s="273" t="s">
        <v>39</v>
      </c>
      <c r="C394" s="468">
        <f>C392*(1-C393)</f>
        <v>2.6503541532517706E-2</v>
      </c>
    </row>
    <row r="395" spans="2:5" outlineLevel="1" x14ac:dyDescent="0.25">
      <c r="B395" s="472" t="s">
        <v>485</v>
      </c>
      <c r="C395" s="469">
        <f>(C391*C390)+((1-C391)*C394)</f>
        <v>8.6563525886742224E-2</v>
      </c>
    </row>
    <row r="396" spans="2:5" outlineLevel="1" x14ac:dyDescent="0.25">
      <c r="B396" s="475" t="s">
        <v>791</v>
      </c>
      <c r="C396" s="476"/>
    </row>
    <row r="397" spans="2:5" outlineLevel="1" x14ac:dyDescent="0.25">
      <c r="B397" s="278" t="s">
        <v>53</v>
      </c>
      <c r="C397" s="474">
        <v>0.06</v>
      </c>
    </row>
    <row r="398" spans="2:5" outlineLevel="1" x14ac:dyDescent="0.25">
      <c r="B398" s="278" t="s">
        <v>54</v>
      </c>
      <c r="C398" s="474">
        <v>0.06</v>
      </c>
    </row>
    <row r="399" spans="2:5" outlineLevel="1" x14ac:dyDescent="0.25">
      <c r="B399" s="278" t="s">
        <v>483</v>
      </c>
      <c r="C399" s="474">
        <v>0.08</v>
      </c>
    </row>
    <row r="400" spans="2:5" outlineLevel="1" x14ac:dyDescent="0.25">
      <c r="B400" s="278" t="s">
        <v>792</v>
      </c>
      <c r="C400" s="474">
        <f>(C391*(0.063+(1.34*(0.325*0.1859))))+((1-C391)*C394)</f>
        <v>0.10918583253400072</v>
      </c>
    </row>
    <row r="401" spans="2:3" outlineLevel="1" x14ac:dyDescent="0.25">
      <c r="B401" s="475" t="s">
        <v>55</v>
      </c>
      <c r="C401" s="86"/>
    </row>
    <row r="402" spans="2:3" outlineLevel="1" x14ac:dyDescent="0.25">
      <c r="B402" s="278" t="s">
        <v>489</v>
      </c>
      <c r="C402" s="486">
        <f>((((AV334*(1+C398))-(C399*AV13*(1+C397))+(C394*(AV277+AV271+AV272))))/(C400-C397))/(1+$C$400)^5</f>
        <v>46843.859135108163</v>
      </c>
    </row>
    <row r="403" spans="2:3" outlineLevel="1" x14ac:dyDescent="0.25">
      <c r="B403" s="278" t="s">
        <v>488</v>
      </c>
      <c r="C403" s="487">
        <f>AB356+AG356+AL356+AQ356+AV356</f>
        <v>9862.8773520964496</v>
      </c>
    </row>
    <row r="404" spans="2:3" ht="17.25" outlineLevel="1" x14ac:dyDescent="0.4">
      <c r="B404" s="278" t="s">
        <v>62</v>
      </c>
      <c r="C404" s="488">
        <f>W360</f>
        <v>-57.298944715922758</v>
      </c>
    </row>
    <row r="405" spans="2:3" outlineLevel="1" x14ac:dyDescent="0.25">
      <c r="B405" s="847" t="s">
        <v>64</v>
      </c>
      <c r="C405" s="848">
        <f>(C402+C403)/C383+C404</f>
        <v>160.46886053447901</v>
      </c>
    </row>
    <row r="406" spans="2:3" ht="13.5" customHeight="1" x14ac:dyDescent="0.25">
      <c r="C406" s="87"/>
    </row>
    <row r="407" spans="2:3" ht="15.75" x14ac:dyDescent="0.25">
      <c r="B407" s="691" t="s">
        <v>793</v>
      </c>
      <c r="C407" s="752"/>
    </row>
    <row r="408" spans="2:3" outlineLevel="1" x14ac:dyDescent="0.25">
      <c r="B408" s="502" t="s">
        <v>98</v>
      </c>
      <c r="C408" s="504">
        <f>ABS('Std Dev &amp; Mean Return'!I17)</f>
        <v>2.5312530848564763E-2</v>
      </c>
    </row>
    <row r="409" spans="2:3" outlineLevel="1" x14ac:dyDescent="0.25">
      <c r="B409" s="278" t="s">
        <v>99</v>
      </c>
      <c r="C409" s="505">
        <f>'Std Dev &amp; Mean Return'!K20</f>
        <v>0.10873304023865202</v>
      </c>
    </row>
    <row r="410" spans="2:3" outlineLevel="1" x14ac:dyDescent="0.25">
      <c r="B410" s="278" t="s">
        <v>102</v>
      </c>
      <c r="C410" s="503">
        <f>C8</f>
        <v>162.50642939328165</v>
      </c>
    </row>
    <row r="411" spans="2:3" outlineLevel="1" x14ac:dyDescent="0.25">
      <c r="B411" s="273" t="s">
        <v>100</v>
      </c>
      <c r="C411" s="503">
        <f>C410*(1+(C408+(2*C409)))</f>
        <v>201.9595146529079</v>
      </c>
    </row>
    <row r="412" spans="2:3" outlineLevel="1" x14ac:dyDescent="0.25">
      <c r="B412" s="849" t="s">
        <v>101</v>
      </c>
      <c r="C412" s="850">
        <f>C410*(1+(C408-(2*C409)))</f>
        <v>131.2802421478705</v>
      </c>
    </row>
    <row r="413" spans="2:3" ht="14.45" customHeight="1" x14ac:dyDescent="0.25"/>
  </sheetData>
  <dataConsolidate/>
  <mergeCells count="135">
    <mergeCell ref="B336:C336"/>
    <mergeCell ref="B337:C337"/>
    <mergeCell ref="B380:C380"/>
    <mergeCell ref="B335:C335"/>
    <mergeCell ref="B269:C269"/>
    <mergeCell ref="B338:C338"/>
    <mergeCell ref="A11:A12"/>
    <mergeCell ref="B51:C51"/>
    <mergeCell ref="B139:C139"/>
    <mergeCell ref="B340:C340"/>
    <mergeCell ref="B339:C339"/>
    <mergeCell ref="B319:C319"/>
    <mergeCell ref="B320:C320"/>
    <mergeCell ref="B321:C321"/>
    <mergeCell ref="B323:C323"/>
    <mergeCell ref="B324:C324"/>
    <mergeCell ref="B276:C276"/>
    <mergeCell ref="B272:C272"/>
    <mergeCell ref="B301:C301"/>
    <mergeCell ref="B298:C298"/>
    <mergeCell ref="B234:C234"/>
    <mergeCell ref="B233:C233"/>
    <mergeCell ref="B229:C229"/>
    <mergeCell ref="B300:C300"/>
    <mergeCell ref="B407:C407"/>
    <mergeCell ref="B341:C341"/>
    <mergeCell ref="B343:C343"/>
    <mergeCell ref="B346:C346"/>
    <mergeCell ref="B345:C345"/>
    <mergeCell ref="B344:C344"/>
    <mergeCell ref="B2:C2"/>
    <mergeCell ref="B351:C351"/>
    <mergeCell ref="B349:C349"/>
    <mergeCell ref="B348:C348"/>
    <mergeCell ref="B367:C367"/>
    <mergeCell ref="B311:C311"/>
    <mergeCell ref="B364:C364"/>
    <mergeCell ref="B363:C363"/>
    <mergeCell ref="B362:C362"/>
    <mergeCell ref="B361:C361"/>
    <mergeCell ref="B356:C356"/>
    <mergeCell ref="B354:C354"/>
    <mergeCell ref="B84:C84"/>
    <mergeCell ref="B360:C360"/>
    <mergeCell ref="B353:C353"/>
    <mergeCell ref="B352:C352"/>
    <mergeCell ref="B370:C370"/>
    <mergeCell ref="B237:C237"/>
    <mergeCell ref="B236:C236"/>
    <mergeCell ref="B235:C235"/>
    <mergeCell ref="B223:C223"/>
    <mergeCell ref="B287:C287"/>
    <mergeCell ref="B230:C230"/>
    <mergeCell ref="B232:C232"/>
    <mergeCell ref="B262:C262"/>
    <mergeCell ref="B261:C261"/>
    <mergeCell ref="B259:C259"/>
    <mergeCell ref="B267:C267"/>
    <mergeCell ref="B268:C268"/>
    <mergeCell ref="B270:C270"/>
    <mergeCell ref="B286:C286"/>
    <mergeCell ref="B285:C285"/>
    <mergeCell ref="B284:C284"/>
    <mergeCell ref="B238:C238"/>
    <mergeCell ref="B239:C239"/>
    <mergeCell ref="B240:C240"/>
    <mergeCell ref="B253:C253"/>
    <mergeCell ref="B275:C275"/>
    <mergeCell ref="B274:C274"/>
    <mergeCell ref="B216:C216"/>
    <mergeCell ref="B3:C3"/>
    <mergeCell ref="B4:C4"/>
    <mergeCell ref="B5:C5"/>
    <mergeCell ref="B11:C11"/>
    <mergeCell ref="B12:C12"/>
    <mergeCell ref="B46:C46"/>
    <mergeCell ref="B44:C44"/>
    <mergeCell ref="B43:C43"/>
    <mergeCell ref="B42:C42"/>
    <mergeCell ref="B41:C41"/>
    <mergeCell ref="B38:C38"/>
    <mergeCell ref="B13:C13"/>
    <mergeCell ref="B29:C29"/>
    <mergeCell ref="B37:C37"/>
    <mergeCell ref="B35:C35"/>
    <mergeCell ref="B33:C33"/>
    <mergeCell ref="B32:C32"/>
    <mergeCell ref="B220:C220"/>
    <mergeCell ref="B78:C78"/>
    <mergeCell ref="B222:C222"/>
    <mergeCell ref="B221:C221"/>
    <mergeCell ref="B50:C50"/>
    <mergeCell ref="B49:C49"/>
    <mergeCell ref="B102:C102"/>
    <mergeCell ref="B90:C90"/>
    <mergeCell ref="B77:C77"/>
    <mergeCell ref="B190:C190"/>
    <mergeCell ref="B156:C156"/>
    <mergeCell ref="B173:C173"/>
    <mergeCell ref="B141:C141"/>
    <mergeCell ref="B96:C96"/>
    <mergeCell ref="B108:C108"/>
    <mergeCell ref="B114:C114"/>
    <mergeCell ref="B120:C120"/>
    <mergeCell ref="B126:C126"/>
    <mergeCell ref="B132:C132"/>
    <mergeCell ref="B183:C183"/>
    <mergeCell ref="B137:C137"/>
    <mergeCell ref="B197:C197"/>
    <mergeCell ref="B179:C179"/>
    <mergeCell ref="B195:C195"/>
    <mergeCell ref="B224:C224"/>
    <mergeCell ref="B315:C315"/>
    <mergeCell ref="B258:C258"/>
    <mergeCell ref="B257:C257"/>
    <mergeCell ref="B255:C255"/>
    <mergeCell ref="B327:C327"/>
    <mergeCell ref="B334:C334"/>
    <mergeCell ref="B333:C333"/>
    <mergeCell ref="B332:C332"/>
    <mergeCell ref="B330:C330"/>
    <mergeCell ref="B329:C329"/>
    <mergeCell ref="B328:C328"/>
    <mergeCell ref="B317:C317"/>
    <mergeCell ref="B312:C312"/>
    <mergeCell ref="B308:C308"/>
    <mergeCell ref="B307:C307"/>
    <mergeCell ref="B304:C304"/>
    <mergeCell ref="B303:C303"/>
    <mergeCell ref="B283:C283"/>
    <mergeCell ref="B277:C277"/>
    <mergeCell ref="B297:C297"/>
    <mergeCell ref="B295:C295"/>
    <mergeCell ref="B290:C290"/>
    <mergeCell ref="B288:C288"/>
  </mergeCells>
  <phoneticPr fontId="98" type="noConversion"/>
  <conditionalFormatting sqref="AM189:AP189">
    <cfRule type="cellIs" dxfId="67" priority="65" operator="lessThan">
      <formula>-2</formula>
    </cfRule>
    <cfRule type="cellIs" dxfId="66" priority="66" operator="greaterThan">
      <formula>2</formula>
    </cfRule>
  </conditionalFormatting>
  <conditionalFormatting sqref="S186:V187">
    <cfRule type="cellIs" dxfId="65" priority="87" operator="lessThan">
      <formula>-2</formula>
    </cfRule>
    <cfRule type="cellIs" dxfId="64" priority="88" operator="greaterThan">
      <formula>2</formula>
    </cfRule>
  </conditionalFormatting>
  <conditionalFormatting sqref="S189:V189">
    <cfRule type="cellIs" dxfId="63" priority="89" operator="lessThan">
      <formula>-2</formula>
    </cfRule>
    <cfRule type="cellIs" dxfId="62" priority="90" operator="greaterThan">
      <formula>2</formula>
    </cfRule>
  </conditionalFormatting>
  <conditionalFormatting sqref="N189:Q189">
    <cfRule type="cellIs" dxfId="61" priority="85" operator="lessThan">
      <formula>-2</formula>
    </cfRule>
    <cfRule type="cellIs" dxfId="60" priority="86" operator="greaterThan">
      <formula>2</formula>
    </cfRule>
  </conditionalFormatting>
  <conditionalFormatting sqref="N186:Q187">
    <cfRule type="cellIs" dxfId="59" priority="83" operator="lessThan">
      <formula>-2</formula>
    </cfRule>
    <cfRule type="cellIs" dxfId="58" priority="84" operator="greaterThan">
      <formula>2</formula>
    </cfRule>
  </conditionalFormatting>
  <conditionalFormatting sqref="I186:L188">
    <cfRule type="cellIs" dxfId="57" priority="79" operator="lessThan">
      <formula>-2</formula>
    </cfRule>
    <cfRule type="cellIs" dxfId="56" priority="80" operator="greaterThan">
      <formula>2</formula>
    </cfRule>
  </conditionalFormatting>
  <conditionalFormatting sqref="D185:G187">
    <cfRule type="cellIs" dxfId="55" priority="75" operator="lessThan">
      <formula>-2</formula>
    </cfRule>
    <cfRule type="cellIs" dxfId="54" priority="76" operator="greaterThan">
      <formula>2</formula>
    </cfRule>
  </conditionalFormatting>
  <conditionalFormatting sqref="AC189:AF189">
    <cfRule type="cellIs" dxfId="53" priority="73" operator="lessThan">
      <formula>-2</formula>
    </cfRule>
    <cfRule type="cellIs" dxfId="52" priority="74" operator="greaterThan">
      <formula>2</formula>
    </cfRule>
  </conditionalFormatting>
  <conditionalFormatting sqref="AC186:AF187">
    <cfRule type="cellIs" dxfId="51" priority="71" operator="lessThan">
      <formula>-2</formula>
    </cfRule>
    <cfRule type="cellIs" dxfId="50" priority="72" operator="greaterThan">
      <formula>2</formula>
    </cfRule>
  </conditionalFormatting>
  <conditionalFormatting sqref="AH189:AK189">
    <cfRule type="cellIs" dxfId="49" priority="69" operator="lessThan">
      <formula>-2</formula>
    </cfRule>
    <cfRule type="cellIs" dxfId="48" priority="70" operator="greaterThan">
      <formula>2</formula>
    </cfRule>
  </conditionalFormatting>
  <conditionalFormatting sqref="AH186:AK187">
    <cfRule type="cellIs" dxfId="47" priority="67" operator="lessThan">
      <formula>-2</formula>
    </cfRule>
    <cfRule type="cellIs" dxfId="46" priority="68" operator="greaterThan">
      <formula>2</formula>
    </cfRule>
  </conditionalFormatting>
  <conditionalFormatting sqref="AM186:AP187">
    <cfRule type="cellIs" dxfId="45" priority="63" operator="lessThan">
      <formula>-2</formula>
    </cfRule>
    <cfRule type="cellIs" dxfId="44" priority="64" operator="greaterThan">
      <formula>2</formula>
    </cfRule>
  </conditionalFormatting>
  <conditionalFormatting sqref="X189:AA189">
    <cfRule type="cellIs" dxfId="43" priority="61" operator="lessThan">
      <formula>-2</formula>
    </cfRule>
    <cfRule type="cellIs" dxfId="42" priority="62" operator="greaterThan">
      <formula>2</formula>
    </cfRule>
  </conditionalFormatting>
  <conditionalFormatting sqref="X186:AA187">
    <cfRule type="cellIs" dxfId="41" priority="59" operator="lessThan">
      <formula>-2</formula>
    </cfRule>
    <cfRule type="cellIs" dxfId="40" priority="60" operator="greaterThan">
      <formula>2</formula>
    </cfRule>
  </conditionalFormatting>
  <conditionalFormatting sqref="AM188:AP188">
    <cfRule type="cellIs" dxfId="39" priority="43" operator="lessThan">
      <formula>-2</formula>
    </cfRule>
    <cfRule type="cellIs" dxfId="38" priority="44" operator="greaterThan">
      <formula>2</formula>
    </cfRule>
  </conditionalFormatting>
  <conditionalFormatting sqref="D188:G188">
    <cfRule type="cellIs" dxfId="37" priority="55" operator="lessThan">
      <formula>-2</formula>
    </cfRule>
    <cfRule type="cellIs" dxfId="36" priority="56" operator="greaterThan">
      <formula>2</formula>
    </cfRule>
  </conditionalFormatting>
  <conditionalFormatting sqref="AC188:AF188">
    <cfRule type="cellIs" dxfId="35" priority="47" operator="lessThan">
      <formula>-2</formula>
    </cfRule>
    <cfRule type="cellIs" dxfId="34" priority="48" operator="greaterThan">
      <formula>2</formula>
    </cfRule>
  </conditionalFormatting>
  <conditionalFormatting sqref="S188:V188">
    <cfRule type="cellIs" dxfId="33" priority="51" operator="lessThan">
      <formula>-2</formula>
    </cfRule>
    <cfRule type="cellIs" dxfId="32" priority="52" operator="greaterThan">
      <formula>2</formula>
    </cfRule>
  </conditionalFormatting>
  <conditionalFormatting sqref="X188:AA188">
    <cfRule type="cellIs" dxfId="31" priority="49" operator="lessThan">
      <formula>-2</formula>
    </cfRule>
    <cfRule type="cellIs" dxfId="30" priority="50" operator="greaterThan">
      <formula>2</formula>
    </cfRule>
  </conditionalFormatting>
  <conditionalFormatting sqref="AH188:AK188">
    <cfRule type="cellIs" dxfId="29" priority="45" operator="lessThan">
      <formula>-2</formula>
    </cfRule>
    <cfRule type="cellIs" dxfId="28" priority="46" operator="greaterThan">
      <formula>2</formula>
    </cfRule>
  </conditionalFormatting>
  <conditionalFormatting sqref="N188:Q188">
    <cfRule type="cellIs" dxfId="27" priority="41" operator="lessThan">
      <formula>-2</formula>
    </cfRule>
    <cfRule type="cellIs" dxfId="26" priority="42" operator="greaterThan">
      <formula>2</formula>
    </cfRule>
  </conditionalFormatting>
  <conditionalFormatting sqref="I189:L189">
    <cfRule type="cellIs" dxfId="25" priority="39" operator="lessThan">
      <formula>-2</formula>
    </cfRule>
    <cfRule type="cellIs" dxfId="24" priority="40" operator="greaterThan">
      <formula>2</formula>
    </cfRule>
  </conditionalFormatting>
  <conditionalFormatting sqref="D189:G189">
    <cfRule type="cellIs" dxfId="23" priority="37" operator="lessThan">
      <formula>-2</formula>
    </cfRule>
    <cfRule type="cellIs" dxfId="22" priority="38" operator="greaterThan">
      <formula>2</formula>
    </cfRule>
  </conditionalFormatting>
  <conditionalFormatting sqref="I185:L185">
    <cfRule type="cellIs" dxfId="21" priority="21" operator="lessThan">
      <formula>-2</formula>
    </cfRule>
    <cfRule type="cellIs" dxfId="20" priority="22" operator="greaterThan">
      <formula>2</formula>
    </cfRule>
  </conditionalFormatting>
  <conditionalFormatting sqref="N185:Q185">
    <cfRule type="cellIs" dxfId="19" priority="19" operator="lessThan">
      <formula>-2</formula>
    </cfRule>
    <cfRule type="cellIs" dxfId="18" priority="20" operator="greaterThan">
      <formula>2</formula>
    </cfRule>
  </conditionalFormatting>
  <conditionalFormatting sqref="S185:V185">
    <cfRule type="cellIs" dxfId="17" priority="17" operator="lessThan">
      <formula>-2</formula>
    </cfRule>
    <cfRule type="cellIs" dxfId="16" priority="18" operator="greaterThan">
      <formula>2</formula>
    </cfRule>
  </conditionalFormatting>
  <conditionalFormatting sqref="X185:AA185">
    <cfRule type="cellIs" dxfId="15" priority="15" operator="lessThan">
      <formula>-2</formula>
    </cfRule>
    <cfRule type="cellIs" dxfId="14" priority="16" operator="greaterThan">
      <formula>2</formula>
    </cfRule>
  </conditionalFormatting>
  <conditionalFormatting sqref="AC185:AF185">
    <cfRule type="cellIs" dxfId="13" priority="13" operator="lessThan">
      <formula>-2</formula>
    </cfRule>
    <cfRule type="cellIs" dxfId="12" priority="14" operator="greaterThan">
      <formula>2</formula>
    </cfRule>
  </conditionalFormatting>
  <conditionalFormatting sqref="AH185:AK185">
    <cfRule type="cellIs" dxfId="11" priority="11" operator="lessThan">
      <formula>-2</formula>
    </cfRule>
    <cfRule type="cellIs" dxfId="10" priority="12" operator="greaterThan">
      <formula>2</formula>
    </cfRule>
  </conditionalFormatting>
  <conditionalFormatting sqref="AM185:AP185">
    <cfRule type="cellIs" dxfId="9" priority="9" operator="lessThan">
      <formula>-2</formula>
    </cfRule>
    <cfRule type="cellIs" dxfId="8" priority="10" operator="greaterThan">
      <formula>2</formula>
    </cfRule>
  </conditionalFormatting>
  <conditionalFormatting sqref="AR189:AU189">
    <cfRule type="cellIs" dxfId="7" priority="7" operator="lessThan">
      <formula>-2</formula>
    </cfRule>
    <cfRule type="cellIs" dxfId="6" priority="8" operator="greaterThan">
      <formula>2</formula>
    </cfRule>
  </conditionalFormatting>
  <conditionalFormatting sqref="AR186:AU187">
    <cfRule type="cellIs" dxfId="5" priority="5" operator="lessThan">
      <formula>-2</formula>
    </cfRule>
    <cfRule type="cellIs" dxfId="4" priority="6" operator="greaterThan">
      <formula>2</formula>
    </cfRule>
  </conditionalFormatting>
  <conditionalFormatting sqref="AR188:AU188">
    <cfRule type="cellIs" dxfId="3" priority="3" operator="lessThan">
      <formula>-2</formula>
    </cfRule>
    <cfRule type="cellIs" dxfId="2" priority="4" operator="greaterThan">
      <formula>2</formula>
    </cfRule>
  </conditionalFormatting>
  <conditionalFormatting sqref="AR185:AU185">
    <cfRule type="cellIs" dxfId="1" priority="1" operator="lessThan">
      <formula>-2</formula>
    </cfRule>
    <cfRule type="cellIs" dxfId="0" priority="2" operator="greaterThan">
      <formula>2</formula>
    </cfRule>
  </conditionalFormatting>
  <pageMargins left="0.7" right="0.7" top="0.75" bottom="0.75" header="0.3" footer="0.3"/>
  <pageSetup scale="43" orientation="landscape" r:id="rId1"/>
  <headerFooter>
    <oddFooter>&amp;CGutenberg Research LLC prohibits the redistribution of this document in whole or part without the written permission. 
© Gutenberg Research LLC 2018.</oddFooter>
  </headerFooter>
  <rowBreaks count="1" manualBreakCount="1">
    <brk id="253" max="16383" man="1"/>
  </rowBreaks>
  <ignoredErrors>
    <ignoredError sqref="G326" formula="1"/>
  </ignoredErrors>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2995-7B9E-4033-B251-A9F6C619E9A9}">
  <sheetPr>
    <tabColor theme="4" tint="0.39997558519241921"/>
  </sheetPr>
  <dimension ref="B1:T55"/>
  <sheetViews>
    <sheetView showGridLines="0" zoomScaleNormal="100" workbookViewId="0">
      <selection activeCell="H48" sqref="H48"/>
    </sheetView>
  </sheetViews>
  <sheetFormatPr defaultColWidth="9.140625" defaultRowHeight="15" x14ac:dyDescent="0.25"/>
  <cols>
    <col min="1" max="1" width="1.140625" style="6" customWidth="1"/>
    <col min="2" max="2" width="26.7109375" style="6" customWidth="1"/>
    <col min="3" max="3" width="8.7109375" style="6" customWidth="1"/>
    <col min="4" max="4" width="12.28515625" style="6" customWidth="1"/>
    <col min="5" max="6" width="11.140625" style="6" customWidth="1"/>
    <col min="7" max="7" width="13.28515625" style="6" customWidth="1"/>
    <col min="8" max="8" width="8.7109375" style="6" customWidth="1"/>
    <col min="9" max="10" width="11.140625" style="6" customWidth="1"/>
    <col min="11" max="11" width="8.7109375" style="6" customWidth="1"/>
    <col min="12" max="13" width="11.140625" style="6" customWidth="1"/>
    <col min="14" max="14" width="8.7109375" style="6" customWidth="1"/>
    <col min="15" max="16" width="11.140625" style="6" customWidth="1"/>
    <col min="17" max="17" width="8.7109375" style="6" customWidth="1"/>
    <col min="18" max="19" width="11.140625" style="6" customWidth="1"/>
    <col min="20" max="20" width="1.140625" style="6" customWidth="1"/>
    <col min="21" max="16384" width="9.140625" style="6"/>
  </cols>
  <sheetData>
    <row r="1" spans="2:20" x14ac:dyDescent="0.25">
      <c r="B1" s="6" t="s">
        <v>494</v>
      </c>
    </row>
    <row r="2" spans="2:20" x14ac:dyDescent="0.25">
      <c r="B2" s="6" t="s">
        <v>457</v>
      </c>
    </row>
    <row r="3" spans="2:20" x14ac:dyDescent="0.25">
      <c r="B3" s="6" t="s">
        <v>480</v>
      </c>
    </row>
    <row r="4" spans="2:20" ht="5.45" customHeight="1" x14ac:dyDescent="0.25">
      <c r="D4" s="1"/>
      <c r="E4" s="1"/>
      <c r="F4" s="1"/>
      <c r="G4" s="1"/>
      <c r="H4" s="2"/>
      <c r="I4" s="2"/>
      <c r="J4" s="1"/>
      <c r="K4" s="9"/>
      <c r="M4" s="1"/>
      <c r="P4" s="1"/>
      <c r="S4" s="1"/>
    </row>
    <row r="5" spans="2:20" ht="16.899999999999999" customHeight="1" x14ac:dyDescent="0.25">
      <c r="B5" s="784" t="s">
        <v>473</v>
      </c>
      <c r="C5" s="785"/>
      <c r="D5" s="785"/>
      <c r="E5" s="785"/>
      <c r="F5" s="785"/>
      <c r="G5" s="785"/>
      <c r="H5" s="785"/>
      <c r="I5" s="785"/>
      <c r="J5" s="785"/>
      <c r="K5" s="785"/>
      <c r="L5" s="785"/>
      <c r="M5" s="785"/>
      <c r="N5" s="785"/>
      <c r="O5" s="785"/>
      <c r="P5" s="785"/>
      <c r="Q5" s="785"/>
      <c r="R5" s="785"/>
      <c r="S5" s="786"/>
    </row>
    <row r="6" spans="2:20" ht="16.899999999999999" customHeight="1" x14ac:dyDescent="0.25">
      <c r="B6" s="445"/>
      <c r="C6" s="455"/>
      <c r="D6" s="456"/>
      <c r="E6" s="446" t="s">
        <v>458</v>
      </c>
      <c r="F6" s="456"/>
      <c r="G6" s="456"/>
      <c r="H6" s="455"/>
      <c r="I6" s="446" t="s">
        <v>459</v>
      </c>
      <c r="J6" s="456"/>
      <c r="K6" s="455"/>
      <c r="L6" s="446" t="s">
        <v>460</v>
      </c>
      <c r="M6" s="457"/>
      <c r="N6" s="456"/>
      <c r="O6" s="446" t="s">
        <v>461</v>
      </c>
      <c r="P6" s="457"/>
      <c r="Q6" s="456"/>
      <c r="R6" s="446" t="s">
        <v>475</v>
      </c>
      <c r="S6" s="458"/>
    </row>
    <row r="7" spans="2:20" ht="27.6" customHeight="1" x14ac:dyDescent="0.25">
      <c r="B7" s="415"/>
      <c r="C7" s="25" t="s">
        <v>93</v>
      </c>
      <c r="D7" s="440" t="s">
        <v>68</v>
      </c>
      <c r="E7" s="440" t="s">
        <v>476</v>
      </c>
      <c r="F7" s="440" t="s">
        <v>477</v>
      </c>
      <c r="G7" s="26" t="s">
        <v>478</v>
      </c>
      <c r="H7" s="21" t="s">
        <v>93</v>
      </c>
      <c r="I7" s="23" t="s">
        <v>68</v>
      </c>
      <c r="J7" s="440" t="s">
        <v>476</v>
      </c>
      <c r="K7" s="25" t="s">
        <v>93</v>
      </c>
      <c r="L7" s="440" t="s">
        <v>68</v>
      </c>
      <c r="M7" s="440" t="s">
        <v>476</v>
      </c>
      <c r="N7" s="25" t="s">
        <v>93</v>
      </c>
      <c r="O7" s="440" t="s">
        <v>68</v>
      </c>
      <c r="P7" s="440" t="s">
        <v>476</v>
      </c>
      <c r="Q7" s="25" t="s">
        <v>93</v>
      </c>
      <c r="R7" s="440" t="s">
        <v>68</v>
      </c>
      <c r="S7" s="440" t="s">
        <v>476</v>
      </c>
      <c r="T7" s="10"/>
    </row>
    <row r="8" spans="2:20" x14ac:dyDescent="0.25">
      <c r="B8" s="17" t="s">
        <v>464</v>
      </c>
      <c r="C8" s="19">
        <v>18</v>
      </c>
      <c r="D8" s="441">
        <v>16871.400000000001</v>
      </c>
      <c r="E8" s="441">
        <v>16856.352795851482</v>
      </c>
      <c r="F8" s="507">
        <v>17052</v>
      </c>
      <c r="G8" s="447">
        <v>195.64720414851763</v>
      </c>
      <c r="H8" s="19">
        <v>18</v>
      </c>
      <c r="I8" s="441">
        <v>17782.3</v>
      </c>
      <c r="J8" s="441">
        <v>18044.557902588942</v>
      </c>
      <c r="K8" s="19">
        <v>18</v>
      </c>
      <c r="L8" s="441">
        <v>17880.400000000001</v>
      </c>
      <c r="M8" s="441">
        <v>17874.463721077576</v>
      </c>
      <c r="N8" s="19">
        <v>18</v>
      </c>
      <c r="O8" s="441">
        <v>18674.400000000001</v>
      </c>
      <c r="P8" s="441">
        <v>18669.58214467749</v>
      </c>
      <c r="Q8" s="19"/>
      <c r="R8" s="441"/>
      <c r="S8" s="436">
        <v>17710.844728893226</v>
      </c>
      <c r="T8" s="11"/>
    </row>
    <row r="9" spans="2:20" x14ac:dyDescent="0.25">
      <c r="B9" s="17" t="s">
        <v>479</v>
      </c>
      <c r="C9" s="19">
        <v>10</v>
      </c>
      <c r="D9" s="441">
        <v>1437.3</v>
      </c>
      <c r="E9" s="441">
        <v>1405.3010846220386</v>
      </c>
      <c r="F9" s="507">
        <v>1192</v>
      </c>
      <c r="G9" s="447">
        <v>-213.30108462203862</v>
      </c>
      <c r="H9" s="19">
        <v>12</v>
      </c>
      <c r="I9" s="441">
        <v>1454.2</v>
      </c>
      <c r="J9" s="441">
        <v>1550.7069786094653</v>
      </c>
      <c r="K9" s="19">
        <v>10</v>
      </c>
      <c r="L9" s="441">
        <v>1398.1</v>
      </c>
      <c r="M9" s="441">
        <v>1450.9662163808389</v>
      </c>
      <c r="N9" s="19">
        <v>10</v>
      </c>
      <c r="O9" s="441">
        <v>2165.6999999999998</v>
      </c>
      <c r="P9" s="441">
        <v>2313.3234359334742</v>
      </c>
      <c r="Q9" s="19"/>
      <c r="R9" s="441"/>
      <c r="S9" s="436">
        <v>1657.9367642813413</v>
      </c>
      <c r="T9" s="11"/>
    </row>
    <row r="10" spans="2:20" x14ac:dyDescent="0.25">
      <c r="B10" s="17" t="s">
        <v>472</v>
      </c>
      <c r="C10" s="19"/>
      <c r="D10" s="442">
        <v>8.5191507521604593E-2</v>
      </c>
      <c r="E10" s="442">
        <v>8.336922593171503E-2</v>
      </c>
      <c r="F10" s="508">
        <v>6.9903823598404885E-2</v>
      </c>
      <c r="G10" s="448">
        <v>-1.3465402333310145E-2</v>
      </c>
      <c r="H10" s="19"/>
      <c r="I10" s="442">
        <v>8.1777947734545026E-2</v>
      </c>
      <c r="J10" s="442">
        <v>8.5937654276748876E-2</v>
      </c>
      <c r="K10" s="19"/>
      <c r="L10" s="442">
        <v>7.819176304780652E-2</v>
      </c>
      <c r="M10" s="442">
        <v>8.1175370574606887E-2</v>
      </c>
      <c r="N10" s="19"/>
      <c r="O10" s="442">
        <v>0.11597159748104355</v>
      </c>
      <c r="P10" s="442">
        <v>0.12390868836842069</v>
      </c>
      <c r="Q10" s="19"/>
      <c r="R10" s="442"/>
      <c r="S10" s="437">
        <v>9.3611388370234333E-2</v>
      </c>
      <c r="T10" s="11"/>
    </row>
    <row r="11" spans="2:20" x14ac:dyDescent="0.25">
      <c r="B11" s="17" t="s">
        <v>465</v>
      </c>
      <c r="C11" s="19">
        <v>16</v>
      </c>
      <c r="D11" s="441">
        <v>2206.8000000000002</v>
      </c>
      <c r="E11" s="441">
        <v>1880.2300570510238</v>
      </c>
      <c r="F11" s="507">
        <v>1909</v>
      </c>
      <c r="G11" s="447">
        <v>28.769942948976222</v>
      </c>
      <c r="H11" s="19">
        <v>16</v>
      </c>
      <c r="I11" s="441">
        <v>2239.6</v>
      </c>
      <c r="J11" s="441">
        <v>2045.6622104972739</v>
      </c>
      <c r="K11" s="19">
        <v>16</v>
      </c>
      <c r="L11" s="441">
        <v>2174.8000000000002</v>
      </c>
      <c r="M11" s="441">
        <v>1950.8268922613763</v>
      </c>
      <c r="N11" s="19">
        <v>16</v>
      </c>
      <c r="O11" s="441">
        <v>2978.1</v>
      </c>
      <c r="P11" s="441">
        <v>3057.6332620036719</v>
      </c>
      <c r="Q11" s="19"/>
      <c r="R11" s="441"/>
      <c r="S11" s="436">
        <v>2243.6956534924711</v>
      </c>
      <c r="T11" s="11"/>
    </row>
    <row r="12" spans="2:20" x14ac:dyDescent="0.25">
      <c r="B12" s="17" t="s">
        <v>466</v>
      </c>
      <c r="C12" s="19">
        <v>13</v>
      </c>
      <c r="D12" s="441">
        <v>1371.2</v>
      </c>
      <c r="E12" s="441">
        <v>1153.0623564787106</v>
      </c>
      <c r="F12" s="507">
        <v>1101</v>
      </c>
      <c r="G12" s="447">
        <v>-52.062356478710626</v>
      </c>
      <c r="H12" s="19">
        <v>13</v>
      </c>
      <c r="I12" s="441">
        <v>1438.8</v>
      </c>
      <c r="J12" s="441">
        <v>1300.5249772455334</v>
      </c>
      <c r="K12" s="19">
        <v>13</v>
      </c>
      <c r="L12" s="441">
        <v>1345.5</v>
      </c>
      <c r="M12" s="441">
        <v>1196.4865822550371</v>
      </c>
      <c r="N12" s="19">
        <v>13</v>
      </c>
      <c r="O12" s="441">
        <v>2155</v>
      </c>
      <c r="P12" s="441">
        <v>2284.6819857361779</v>
      </c>
      <c r="Q12" s="19"/>
      <c r="R12" s="441"/>
      <c r="S12" s="436">
        <v>1443.1714406608933</v>
      </c>
      <c r="T12" s="11"/>
    </row>
    <row r="13" spans="2:20" x14ac:dyDescent="0.25">
      <c r="B13" s="17" t="s">
        <v>467</v>
      </c>
      <c r="C13" s="19">
        <v>14</v>
      </c>
      <c r="D13" s="441">
        <v>1026.9000000000001</v>
      </c>
      <c r="E13" s="441">
        <v>957.53426735903292</v>
      </c>
      <c r="F13" s="507">
        <v>932.6</v>
      </c>
      <c r="G13" s="447">
        <v>-24.934267359032901</v>
      </c>
      <c r="H13" s="19">
        <v>14</v>
      </c>
      <c r="I13" s="441">
        <v>1071.7</v>
      </c>
      <c r="J13" s="441">
        <v>1068.1312329341499</v>
      </c>
      <c r="K13" s="19">
        <v>14</v>
      </c>
      <c r="L13" s="441">
        <v>1025.5</v>
      </c>
      <c r="M13" s="441">
        <v>990.10243669127772</v>
      </c>
      <c r="N13" s="19">
        <v>14</v>
      </c>
      <c r="O13" s="441">
        <v>1610.1</v>
      </c>
      <c r="P13" s="441">
        <v>1635.826109338898</v>
      </c>
      <c r="Q13" s="19"/>
      <c r="R13" s="441"/>
      <c r="S13" s="436">
        <v>1133.9410804956699</v>
      </c>
      <c r="T13" s="11"/>
    </row>
    <row r="14" spans="2:20" x14ac:dyDescent="0.25">
      <c r="B14" s="17" t="s">
        <v>469</v>
      </c>
      <c r="C14" s="19">
        <v>23</v>
      </c>
      <c r="D14" s="443">
        <v>3.8</v>
      </c>
      <c r="E14" s="443">
        <v>3.5327830175235717</v>
      </c>
      <c r="F14" s="509">
        <v>3.4643387815750373</v>
      </c>
      <c r="G14" s="449">
        <v>-6.8444235948534438E-2</v>
      </c>
      <c r="H14" s="19">
        <v>23</v>
      </c>
      <c r="I14" s="443">
        <v>4.0199999999999996</v>
      </c>
      <c r="J14" s="443">
        <v>3.9449679014064687</v>
      </c>
      <c r="K14" s="19">
        <v>23</v>
      </c>
      <c r="L14" s="443">
        <v>3.84</v>
      </c>
      <c r="M14" s="443">
        <v>3.662733110844949</v>
      </c>
      <c r="N14" s="19">
        <v>23</v>
      </c>
      <c r="O14" s="443">
        <v>6.03</v>
      </c>
      <c r="P14" s="443">
        <v>6.0620790147461978</v>
      </c>
      <c r="Q14" s="19"/>
      <c r="R14" s="443"/>
      <c r="S14" s="438">
        <v>4.2083009032443623</v>
      </c>
      <c r="T14" s="11"/>
    </row>
    <row r="15" spans="2:20" x14ac:dyDescent="0.25">
      <c r="B15" s="17" t="s">
        <v>470</v>
      </c>
      <c r="C15" s="19">
        <v>3</v>
      </c>
      <c r="D15" s="441">
        <v>220.3</v>
      </c>
      <c r="E15" s="441"/>
      <c r="F15" s="507"/>
      <c r="G15" s="447">
        <v>0</v>
      </c>
      <c r="H15" s="19">
        <v>3</v>
      </c>
      <c r="I15" s="441">
        <v>533.70000000000005</v>
      </c>
      <c r="J15" s="441"/>
      <c r="K15" s="19">
        <v>3</v>
      </c>
      <c r="L15" s="441">
        <v>576.70000000000005</v>
      </c>
      <c r="M15" s="441"/>
      <c r="N15" s="19">
        <v>3</v>
      </c>
      <c r="O15" s="441">
        <v>970.3</v>
      </c>
      <c r="P15" s="441"/>
      <c r="Q15" s="19"/>
      <c r="R15" s="441"/>
      <c r="S15" s="436"/>
      <c r="T15" s="11"/>
    </row>
    <row r="16" spans="2:20" x14ac:dyDescent="0.25">
      <c r="B16" s="18" t="s">
        <v>471</v>
      </c>
      <c r="C16" s="20">
        <v>3</v>
      </c>
      <c r="D16" s="444">
        <v>1382.7</v>
      </c>
      <c r="E16" s="444">
        <v>1331.6518708722672</v>
      </c>
      <c r="F16" s="510">
        <v>1179</v>
      </c>
      <c r="G16" s="450">
        <v>-152.65187087226718</v>
      </c>
      <c r="H16" s="20">
        <v>2</v>
      </c>
      <c r="I16" s="444">
        <v>1437</v>
      </c>
      <c r="J16" s="444">
        <v>1425.5200743045264</v>
      </c>
      <c r="K16" s="20">
        <v>3</v>
      </c>
      <c r="L16" s="444">
        <v>1492.5</v>
      </c>
      <c r="M16" s="444">
        <v>1412.0826339651285</v>
      </c>
      <c r="N16" s="20">
        <v>3</v>
      </c>
      <c r="O16" s="444">
        <v>1492.5</v>
      </c>
      <c r="P16" s="444">
        <v>1430.0708285481967</v>
      </c>
      <c r="Q16" s="20"/>
      <c r="R16" s="444"/>
      <c r="S16" s="439">
        <v>1388.5256818400935</v>
      </c>
      <c r="T16" s="11"/>
    </row>
    <row r="17" spans="2:20" ht="6" customHeight="1" x14ac:dyDescent="0.25"/>
    <row r="18" spans="2:20" ht="16.899999999999999" customHeight="1" x14ac:dyDescent="0.25">
      <c r="B18" s="807" t="s">
        <v>474</v>
      </c>
      <c r="C18" s="808"/>
      <c r="D18" s="808"/>
      <c r="E18" s="808"/>
      <c r="F18" s="808"/>
      <c r="G18" s="808"/>
      <c r="H18" s="808"/>
      <c r="I18" s="808"/>
      <c r="J18" s="808"/>
      <c r="K18" s="808"/>
      <c r="L18" s="808"/>
      <c r="M18" s="808"/>
      <c r="N18" s="808"/>
      <c r="O18" s="808"/>
      <c r="P18" s="808"/>
      <c r="Q18" s="808"/>
      <c r="R18" s="808"/>
      <c r="S18" s="809"/>
    </row>
    <row r="19" spans="2:20" ht="16.899999999999999" customHeight="1" x14ac:dyDescent="0.25">
      <c r="B19" s="445"/>
      <c r="C19" s="455"/>
      <c r="D19" s="456"/>
      <c r="E19" s="446" t="s">
        <v>481</v>
      </c>
      <c r="F19" s="456"/>
      <c r="G19" s="456"/>
      <c r="H19" s="790" t="s">
        <v>459</v>
      </c>
      <c r="I19" s="791"/>
      <c r="J19" s="791"/>
      <c r="K19" s="790" t="s">
        <v>460</v>
      </c>
      <c r="L19" s="791"/>
      <c r="M19" s="791"/>
      <c r="N19" s="791" t="s">
        <v>461</v>
      </c>
      <c r="O19" s="791"/>
      <c r="P19" s="792"/>
      <c r="Q19" s="791" t="s">
        <v>475</v>
      </c>
      <c r="R19" s="791"/>
      <c r="S19" s="793"/>
    </row>
    <row r="20" spans="2:20" ht="33.6" customHeight="1" x14ac:dyDescent="0.25">
      <c r="B20" s="414" t="s">
        <v>92</v>
      </c>
      <c r="C20" s="25" t="s">
        <v>93</v>
      </c>
      <c r="D20" s="440" t="s">
        <v>68</v>
      </c>
      <c r="E20" s="440" t="s">
        <v>476</v>
      </c>
      <c r="F20" s="440"/>
      <c r="G20" s="26"/>
      <c r="H20" s="21" t="s">
        <v>93</v>
      </c>
      <c r="I20" s="23" t="s">
        <v>68</v>
      </c>
      <c r="J20" s="23" t="s">
        <v>476</v>
      </c>
      <c r="K20" s="21" t="s">
        <v>93</v>
      </c>
      <c r="L20" s="23" t="s">
        <v>68</v>
      </c>
      <c r="M20" s="23" t="s">
        <v>476</v>
      </c>
      <c r="N20" s="21" t="s">
        <v>93</v>
      </c>
      <c r="O20" s="23" t="s">
        <v>68</v>
      </c>
      <c r="P20" s="23" t="s">
        <v>476</v>
      </c>
      <c r="Q20" s="21" t="s">
        <v>93</v>
      </c>
      <c r="R20" s="23" t="s">
        <v>68</v>
      </c>
      <c r="S20" s="23" t="s">
        <v>476</v>
      </c>
      <c r="T20" s="10"/>
    </row>
    <row r="21" spans="2:20" x14ac:dyDescent="0.25">
      <c r="B21" s="17" t="s">
        <v>464</v>
      </c>
      <c r="C21" s="521"/>
      <c r="D21" s="522"/>
      <c r="E21" s="441">
        <v>17052</v>
      </c>
      <c r="F21" s="451"/>
      <c r="G21" s="452"/>
      <c r="H21" s="19">
        <v>17</v>
      </c>
      <c r="I21" s="441">
        <v>17773</v>
      </c>
      <c r="J21" s="441">
        <v>17772.5</v>
      </c>
      <c r="K21" s="19">
        <v>17</v>
      </c>
      <c r="L21" s="441">
        <v>17889</v>
      </c>
      <c r="M21" s="441">
        <v>17888.8</v>
      </c>
      <c r="N21" s="19">
        <v>17</v>
      </c>
      <c r="O21" s="441">
        <v>18692</v>
      </c>
      <c r="P21" s="441">
        <v>18692.299999999996</v>
      </c>
      <c r="Q21" s="19"/>
      <c r="R21" s="441"/>
      <c r="S21" s="436">
        <v>18024.890000000003</v>
      </c>
      <c r="T21" s="11"/>
    </row>
    <row r="22" spans="2:20" x14ac:dyDescent="0.25">
      <c r="B22" s="17" t="s">
        <v>468</v>
      </c>
      <c r="C22" s="521"/>
      <c r="D22" s="522"/>
      <c r="E22" s="441">
        <v>1192</v>
      </c>
      <c r="F22" s="441"/>
      <c r="G22" s="452"/>
      <c r="H22" s="19">
        <v>12</v>
      </c>
      <c r="I22" s="441">
        <v>1433</v>
      </c>
      <c r="J22" s="441">
        <v>1421.540888468963</v>
      </c>
      <c r="K22" s="19">
        <v>12</v>
      </c>
      <c r="L22" s="441">
        <v>1383</v>
      </c>
      <c r="M22" s="441">
        <v>1373.7647260697183</v>
      </c>
      <c r="N22" s="19">
        <v>10</v>
      </c>
      <c r="O22" s="441">
        <v>2167</v>
      </c>
      <c r="P22" s="441">
        <v>2167.7568618330993</v>
      </c>
      <c r="Q22" s="19"/>
      <c r="R22" s="441"/>
      <c r="S22" s="436">
        <v>1592.8491900763365</v>
      </c>
      <c r="T22" s="11"/>
    </row>
    <row r="23" spans="2:20" x14ac:dyDescent="0.25">
      <c r="B23" s="17" t="s">
        <v>472</v>
      </c>
      <c r="C23" s="521"/>
      <c r="D23" s="442"/>
      <c r="E23" s="442">
        <v>6.9903823598404885E-2</v>
      </c>
      <c r="F23" s="442"/>
      <c r="G23" s="434"/>
      <c r="H23" s="19"/>
      <c r="I23" s="442">
        <v>8.0606609230592527E-2</v>
      </c>
      <c r="J23" s="442">
        <v>7.9985420648134076E-2</v>
      </c>
      <c r="K23" s="19"/>
      <c r="L23" s="442">
        <v>7.7306183069722617E-2</v>
      </c>
      <c r="M23" s="442">
        <v>7.679468304580063E-2</v>
      </c>
      <c r="N23" s="19"/>
      <c r="O23" s="442">
        <v>0.11591675084731336</v>
      </c>
      <c r="P23" s="442">
        <v>0.11597057942752362</v>
      </c>
      <c r="Q23" s="19"/>
      <c r="R23" s="442"/>
      <c r="S23" s="437">
        <v>8.8369426391857936E-2</v>
      </c>
      <c r="T23" s="11"/>
    </row>
    <row r="24" spans="2:20" x14ac:dyDescent="0.25">
      <c r="B24" s="17" t="s">
        <v>465</v>
      </c>
      <c r="C24" s="521"/>
      <c r="D24" s="522"/>
      <c r="E24" s="441">
        <v>1909</v>
      </c>
      <c r="F24" s="441"/>
      <c r="G24" s="452"/>
      <c r="H24" s="19">
        <v>15</v>
      </c>
      <c r="I24" s="441">
        <v>2226</v>
      </c>
      <c r="J24" s="441">
        <v>2063.3918225166017</v>
      </c>
      <c r="K24" s="19">
        <v>15</v>
      </c>
      <c r="L24" s="441">
        <v>2226</v>
      </c>
      <c r="M24" s="441">
        <v>2020.0910031674503</v>
      </c>
      <c r="N24" s="19">
        <v>15</v>
      </c>
      <c r="O24" s="441">
        <v>2983</v>
      </c>
      <c r="P24" s="441">
        <v>3062.8038771698366</v>
      </c>
      <c r="Q24" s="19"/>
      <c r="R24" s="441"/>
      <c r="S24" s="436">
        <v>2331.2068761014762</v>
      </c>
      <c r="T24" s="11"/>
    </row>
    <row r="25" spans="2:20" x14ac:dyDescent="0.25">
      <c r="B25" s="17" t="s">
        <v>466</v>
      </c>
      <c r="C25" s="521"/>
      <c r="D25" s="522"/>
      <c r="E25" s="441">
        <v>1101</v>
      </c>
      <c r="F25" s="441"/>
      <c r="G25" s="452"/>
      <c r="H25" s="19">
        <v>11</v>
      </c>
      <c r="I25" s="441">
        <v>1427</v>
      </c>
      <c r="J25" s="441">
        <v>1319.8138806067961</v>
      </c>
      <c r="K25" s="19">
        <v>11</v>
      </c>
      <c r="L25" s="441">
        <v>1361</v>
      </c>
      <c r="M25" s="441">
        <v>1267.0694269868825</v>
      </c>
      <c r="N25" s="19">
        <v>11</v>
      </c>
      <c r="O25" s="441">
        <v>2173</v>
      </c>
      <c r="P25" s="441">
        <v>2290.4126056761716</v>
      </c>
      <c r="Q25" s="19"/>
      <c r="R25" s="441"/>
      <c r="S25" s="436">
        <v>1530.1884631508756</v>
      </c>
      <c r="T25" s="11"/>
    </row>
    <row r="26" spans="2:20" x14ac:dyDescent="0.25">
      <c r="B26" s="17" t="s">
        <v>467</v>
      </c>
      <c r="C26" s="521"/>
      <c r="D26" s="522"/>
      <c r="E26" s="441">
        <v>932.6</v>
      </c>
      <c r="F26" s="441"/>
      <c r="G26" s="452"/>
      <c r="H26" s="19">
        <v>15</v>
      </c>
      <c r="I26" s="441">
        <v>1069</v>
      </c>
      <c r="J26" s="441">
        <v>1080.3604104550971</v>
      </c>
      <c r="K26" s="19">
        <v>15</v>
      </c>
      <c r="L26" s="441">
        <v>1027</v>
      </c>
      <c r="M26" s="441">
        <v>1040.8020702401618</v>
      </c>
      <c r="N26" s="19">
        <v>15</v>
      </c>
      <c r="O26" s="441">
        <v>1618</v>
      </c>
      <c r="P26" s="441">
        <v>1637.8865742938935</v>
      </c>
      <c r="Q26" s="19"/>
      <c r="R26" s="441"/>
      <c r="S26" s="436">
        <v>1199.2038473631567</v>
      </c>
      <c r="T26" s="11"/>
    </row>
    <row r="27" spans="2:20" x14ac:dyDescent="0.25">
      <c r="B27" s="17" t="s">
        <v>469</v>
      </c>
      <c r="C27" s="521"/>
      <c r="D27" s="523"/>
      <c r="E27" s="443">
        <v>3.4643387815750373</v>
      </c>
      <c r="F27" s="443"/>
      <c r="G27" s="453"/>
      <c r="H27" s="19">
        <v>22</v>
      </c>
      <c r="I27" s="443">
        <v>4</v>
      </c>
      <c r="J27" s="443">
        <v>4.003615981233426</v>
      </c>
      <c r="K27" s="19">
        <v>22</v>
      </c>
      <c r="L27" s="443">
        <v>3.85</v>
      </c>
      <c r="M27" s="443">
        <v>3.8526711793717623</v>
      </c>
      <c r="N27" s="19">
        <v>21</v>
      </c>
      <c r="O27" s="443">
        <v>6.05</v>
      </c>
      <c r="P27" s="443">
        <v>6.0474885872906556</v>
      </c>
      <c r="Q27" s="19"/>
      <c r="R27" s="443"/>
      <c r="S27" s="438">
        <v>4.4300000000000015</v>
      </c>
      <c r="T27" s="11"/>
    </row>
    <row r="28" spans="2:20" x14ac:dyDescent="0.25">
      <c r="B28" s="17" t="s">
        <v>470</v>
      </c>
      <c r="C28" s="521"/>
      <c r="D28" s="522"/>
      <c r="E28" s="441"/>
      <c r="F28" s="441"/>
      <c r="G28" s="452"/>
      <c r="H28" s="19">
        <v>3</v>
      </c>
      <c r="I28" s="441">
        <v>534</v>
      </c>
      <c r="J28" s="441"/>
      <c r="K28" s="19">
        <v>3</v>
      </c>
      <c r="L28" s="441">
        <v>577</v>
      </c>
      <c r="M28" s="441"/>
      <c r="N28" s="19">
        <v>3</v>
      </c>
      <c r="O28" s="441">
        <v>970</v>
      </c>
      <c r="P28" s="441"/>
      <c r="Q28" s="19"/>
      <c r="R28" s="441"/>
      <c r="S28" s="436"/>
      <c r="T28" s="11"/>
    </row>
    <row r="29" spans="2:20" x14ac:dyDescent="0.25">
      <c r="B29" s="18" t="s">
        <v>471</v>
      </c>
      <c r="C29" s="524"/>
      <c r="D29" s="525"/>
      <c r="E29" s="444">
        <v>1179</v>
      </c>
      <c r="F29" s="444"/>
      <c r="G29" s="454"/>
      <c r="H29" s="20">
        <v>2</v>
      </c>
      <c r="I29" s="444">
        <v>1437</v>
      </c>
      <c r="J29" s="444">
        <v>1439.5725</v>
      </c>
      <c r="K29" s="20">
        <v>2</v>
      </c>
      <c r="L29" s="444">
        <v>1493</v>
      </c>
      <c r="M29" s="444">
        <v>1448.9928</v>
      </c>
      <c r="N29" s="20">
        <v>2</v>
      </c>
      <c r="O29" s="444">
        <v>1493</v>
      </c>
      <c r="P29" s="444">
        <v>1532.4346999999996</v>
      </c>
      <c r="Q29" s="20"/>
      <c r="R29" s="444"/>
      <c r="S29" s="439">
        <v>1411.0045517268563</v>
      </c>
      <c r="T29" s="11"/>
    </row>
    <row r="30" spans="2:20" ht="8.4499999999999993" customHeight="1" x14ac:dyDescent="0.25">
      <c r="C30" s="8"/>
      <c r="D30" s="8"/>
      <c r="E30" s="8"/>
      <c r="F30" s="8"/>
      <c r="G30" s="8"/>
      <c r="H30" s="8"/>
      <c r="I30" s="8"/>
      <c r="J30" s="8"/>
      <c r="M30" s="8"/>
      <c r="N30" s="7"/>
      <c r="P30" s="8"/>
      <c r="Q30" s="7"/>
      <c r="S30" s="8"/>
    </row>
    <row r="31" spans="2:20" ht="16.899999999999999" customHeight="1" x14ac:dyDescent="0.25">
      <c r="B31" s="816" t="s">
        <v>482</v>
      </c>
      <c r="C31" s="817"/>
      <c r="D31" s="817"/>
      <c r="E31" s="817"/>
      <c r="F31" s="817"/>
      <c r="G31" s="817"/>
      <c r="H31" s="817"/>
      <c r="I31" s="817"/>
      <c r="J31" s="817"/>
      <c r="K31" s="817"/>
      <c r="L31" s="817"/>
      <c r="M31" s="817"/>
      <c r="N31" s="817"/>
      <c r="O31" s="817"/>
      <c r="P31" s="817"/>
      <c r="Q31" s="817"/>
      <c r="R31" s="817"/>
      <c r="S31" s="818"/>
    </row>
    <row r="32" spans="2:20" ht="16.899999999999999" customHeight="1" x14ac:dyDescent="0.25">
      <c r="B32" s="445"/>
      <c r="C32" s="455"/>
      <c r="D32" s="456"/>
      <c r="E32" s="557" t="s">
        <v>481</v>
      </c>
      <c r="F32" s="456"/>
      <c r="G32" s="456"/>
      <c r="H32" s="790" t="s">
        <v>459</v>
      </c>
      <c r="I32" s="791"/>
      <c r="J32" s="791"/>
      <c r="K32" s="790" t="s">
        <v>460</v>
      </c>
      <c r="L32" s="791"/>
      <c r="M32" s="791"/>
      <c r="N32" s="791" t="s">
        <v>461</v>
      </c>
      <c r="O32" s="791"/>
      <c r="P32" s="792"/>
      <c r="Q32" s="791" t="s">
        <v>475</v>
      </c>
      <c r="R32" s="791"/>
      <c r="S32" s="793"/>
    </row>
    <row r="33" spans="2:20" ht="33.6" customHeight="1" x14ac:dyDescent="0.25">
      <c r="B33" s="555" t="s">
        <v>92</v>
      </c>
      <c r="C33" s="25"/>
      <c r="D33" s="440" t="s">
        <v>68</v>
      </c>
      <c r="E33" s="440" t="s">
        <v>476</v>
      </c>
      <c r="F33" s="23"/>
      <c r="G33" s="22"/>
      <c r="H33" s="21"/>
      <c r="I33" s="23" t="s">
        <v>68</v>
      </c>
      <c r="J33" s="23" t="s">
        <v>476</v>
      </c>
      <c r="K33" s="21"/>
      <c r="L33" s="23" t="s">
        <v>68</v>
      </c>
      <c r="M33" s="23" t="s">
        <v>476</v>
      </c>
      <c r="N33" s="21"/>
      <c r="O33" s="23" t="s">
        <v>68</v>
      </c>
      <c r="P33" s="23" t="s">
        <v>476</v>
      </c>
      <c r="Q33" s="21"/>
      <c r="R33" s="23"/>
      <c r="S33" s="24" t="s">
        <v>476</v>
      </c>
      <c r="T33" s="10"/>
    </row>
    <row r="34" spans="2:20" x14ac:dyDescent="0.25">
      <c r="B34" s="17" t="s">
        <v>464</v>
      </c>
      <c r="C34" s="19"/>
      <c r="D34" s="441">
        <v>180.59999999999854</v>
      </c>
      <c r="E34" s="441">
        <v>195.64720414851763</v>
      </c>
      <c r="F34" s="451"/>
      <c r="G34" s="452"/>
      <c r="H34" s="19"/>
      <c r="I34" s="441">
        <f>+I21-I8</f>
        <v>-9.2999999999992724</v>
      </c>
      <c r="J34" s="441">
        <v>-272.05790258894194</v>
      </c>
      <c r="K34" s="19"/>
      <c r="L34" s="441">
        <f>+L21-L8</f>
        <v>8.5999999999985448</v>
      </c>
      <c r="M34" s="441">
        <v>14.336278922422935</v>
      </c>
      <c r="N34" s="19"/>
      <c r="O34" s="441">
        <f>+O21-O8</f>
        <v>17.599999999998545</v>
      </c>
      <c r="P34" s="441">
        <v>22.717855322505784</v>
      </c>
      <c r="Q34" s="19"/>
      <c r="R34" s="441"/>
      <c r="S34" s="436">
        <v>314.04527110677736</v>
      </c>
      <c r="T34" s="11"/>
    </row>
    <row r="35" spans="2:20" x14ac:dyDescent="0.25">
      <c r="B35" s="17" t="s">
        <v>468</v>
      </c>
      <c r="C35" s="19"/>
      <c r="D35" s="441">
        <v>-245.29999999999995</v>
      </c>
      <c r="E35" s="441">
        <v>-213.30108462203862</v>
      </c>
      <c r="F35" s="441"/>
      <c r="G35" s="452"/>
      <c r="H35" s="19"/>
      <c r="I35" s="441">
        <f t="shared" ref="I35:I42" si="0">+I22-I9</f>
        <v>-21.200000000000045</v>
      </c>
      <c r="J35" s="441">
        <v>-129.16609014050232</v>
      </c>
      <c r="K35" s="19"/>
      <c r="L35" s="441">
        <f t="shared" ref="L35:L42" si="1">+L22-L9</f>
        <v>-15.099999999999909</v>
      </c>
      <c r="M35" s="441">
        <v>-77.201490311120551</v>
      </c>
      <c r="N35" s="19"/>
      <c r="O35" s="441">
        <f t="shared" ref="O35:O42" si="2">+O22-O9</f>
        <v>1.3000000000001819</v>
      </c>
      <c r="P35" s="441">
        <v>-145.56657410037496</v>
      </c>
      <c r="Q35" s="19"/>
      <c r="R35" s="441"/>
      <c r="S35" s="436">
        <v>-65.087574205004785</v>
      </c>
      <c r="T35" s="11"/>
    </row>
    <row r="36" spans="2:20" x14ac:dyDescent="0.25">
      <c r="B36" s="17" t="s">
        <v>472</v>
      </c>
      <c r="C36" s="19"/>
      <c r="D36" s="441">
        <v>-1.5287683923199707E-2</v>
      </c>
      <c r="E36" s="442">
        <v>-1.3465402333310145E-2</v>
      </c>
      <c r="F36" s="442"/>
      <c r="G36" s="434"/>
      <c r="H36" s="19"/>
      <c r="I36" s="441">
        <f t="shared" si="0"/>
        <v>-1.1713385039524987E-3</v>
      </c>
      <c r="J36" s="442">
        <v>-5.9522336286148003E-3</v>
      </c>
      <c r="K36" s="19"/>
      <c r="L36" s="441">
        <f t="shared" si="1"/>
        <v>-8.8557997808390299E-4</v>
      </c>
      <c r="M36" s="442">
        <v>-4.3806875288062569E-3</v>
      </c>
      <c r="N36" s="19"/>
      <c r="O36" s="441">
        <f t="shared" si="2"/>
        <v>-5.4846633730190608E-5</v>
      </c>
      <c r="P36" s="442">
        <v>-7.9381089408970679E-3</v>
      </c>
      <c r="Q36" s="19"/>
      <c r="R36" s="441"/>
      <c r="S36" s="437">
        <v>-5.2419619783763971E-3</v>
      </c>
      <c r="T36" s="11"/>
    </row>
    <row r="37" spans="2:20" x14ac:dyDescent="0.25">
      <c r="B37" s="17" t="s">
        <v>465</v>
      </c>
      <c r="C37" s="19"/>
      <c r="D37" s="441">
        <v>-297.80000000000018</v>
      </c>
      <c r="E37" s="441">
        <v>28.769942948976222</v>
      </c>
      <c r="F37" s="441"/>
      <c r="G37" s="452"/>
      <c r="H37" s="19"/>
      <c r="I37" s="441">
        <f t="shared" si="0"/>
        <v>-13.599999999999909</v>
      </c>
      <c r="J37" s="441">
        <v>17.72961201932776</v>
      </c>
      <c r="K37" s="19"/>
      <c r="L37" s="441">
        <f t="shared" si="1"/>
        <v>51.199999999999818</v>
      </c>
      <c r="M37" s="441">
        <v>69.264110906073938</v>
      </c>
      <c r="N37" s="19"/>
      <c r="O37" s="441">
        <f>+O24-O11</f>
        <v>4.9000000000000909</v>
      </c>
      <c r="P37" s="441">
        <v>5.17061516616468</v>
      </c>
      <c r="Q37" s="19"/>
      <c r="R37" s="441"/>
      <c r="S37" s="436">
        <v>87.511222609005017</v>
      </c>
      <c r="T37" s="11"/>
    </row>
    <row r="38" spans="2:20" x14ac:dyDescent="0.25">
      <c r="B38" s="17" t="s">
        <v>466</v>
      </c>
      <c r="C38" s="19"/>
      <c r="D38" s="441">
        <v>-270.20000000000005</v>
      </c>
      <c r="E38" s="441">
        <v>-52.062356478710626</v>
      </c>
      <c r="F38" s="441"/>
      <c r="G38" s="452"/>
      <c r="H38" s="19"/>
      <c r="I38" s="441">
        <f t="shared" si="0"/>
        <v>-11.799999999999955</v>
      </c>
      <c r="J38" s="441">
        <v>19.288903361262783</v>
      </c>
      <c r="K38" s="19"/>
      <c r="L38" s="441">
        <f t="shared" si="1"/>
        <v>15.5</v>
      </c>
      <c r="M38" s="441">
        <v>70.582844731845398</v>
      </c>
      <c r="N38" s="19"/>
      <c r="O38" s="441">
        <f t="shared" si="2"/>
        <v>18</v>
      </c>
      <c r="P38" s="441">
        <v>5.7306199399936304</v>
      </c>
      <c r="Q38" s="19"/>
      <c r="R38" s="441"/>
      <c r="S38" s="436">
        <v>87.01702248998231</v>
      </c>
      <c r="T38" s="11"/>
    </row>
    <row r="39" spans="2:20" x14ac:dyDescent="0.25">
      <c r="B39" s="17" t="s">
        <v>467</v>
      </c>
      <c r="C39" s="19"/>
      <c r="D39" s="441">
        <v>-94.300000000000068</v>
      </c>
      <c r="E39" s="441">
        <v>-24.934267359032901</v>
      </c>
      <c r="F39" s="441"/>
      <c r="G39" s="452"/>
      <c r="H39" s="19"/>
      <c r="I39" s="441">
        <f t="shared" si="0"/>
        <v>-2.7000000000000455</v>
      </c>
      <c r="J39" s="441">
        <v>12.229177520947133</v>
      </c>
      <c r="K39" s="19"/>
      <c r="L39" s="441">
        <f t="shared" si="1"/>
        <v>1.5</v>
      </c>
      <c r="M39" s="441">
        <v>50.699633548884094</v>
      </c>
      <c r="N39" s="19"/>
      <c r="O39" s="441">
        <f t="shared" si="2"/>
        <v>7.9000000000000909</v>
      </c>
      <c r="P39" s="441">
        <v>2.0604649549954956</v>
      </c>
      <c r="Q39" s="19"/>
      <c r="R39" s="441"/>
      <c r="S39" s="436">
        <v>65.262766867486789</v>
      </c>
      <c r="T39" s="11"/>
    </row>
    <row r="40" spans="2:20" x14ac:dyDescent="0.25">
      <c r="B40" s="17" t="s">
        <v>469</v>
      </c>
      <c r="C40" s="19"/>
      <c r="D40" s="441">
        <v>-0.33566121842496255</v>
      </c>
      <c r="E40" s="443">
        <v>-6.8444235948534438E-2</v>
      </c>
      <c r="F40" s="443"/>
      <c r="G40" s="453"/>
      <c r="H40" s="19"/>
      <c r="I40" s="441">
        <f t="shared" si="0"/>
        <v>-1.9999999999999574E-2</v>
      </c>
      <c r="J40" s="443">
        <v>5.86480798269573E-2</v>
      </c>
      <c r="K40" s="19"/>
      <c r="L40" s="441">
        <f t="shared" si="1"/>
        <v>1.0000000000000231E-2</v>
      </c>
      <c r="M40" s="443">
        <v>0.18993806852681328</v>
      </c>
      <c r="N40" s="19"/>
      <c r="O40" s="441">
        <f t="shared" si="2"/>
        <v>1.9999999999999574E-2</v>
      </c>
      <c r="P40" s="443">
        <v>-1.4590427455542176E-2</v>
      </c>
      <c r="Q40" s="19"/>
      <c r="R40" s="441"/>
      <c r="S40" s="438">
        <v>0.22169909675563915</v>
      </c>
      <c r="T40" s="11"/>
    </row>
    <row r="41" spans="2:20" x14ac:dyDescent="0.25">
      <c r="B41" s="17" t="s">
        <v>470</v>
      </c>
      <c r="C41" s="19"/>
      <c r="D41" s="441">
        <v>-220.3</v>
      </c>
      <c r="E41" s="441">
        <v>0</v>
      </c>
      <c r="F41" s="441"/>
      <c r="G41" s="452"/>
      <c r="H41" s="19"/>
      <c r="I41" s="441">
        <f t="shared" si="0"/>
        <v>0.29999999999995453</v>
      </c>
      <c r="J41" s="441">
        <v>0</v>
      </c>
      <c r="K41" s="19"/>
      <c r="L41" s="441">
        <f t="shared" si="1"/>
        <v>0.29999999999995453</v>
      </c>
      <c r="M41" s="441">
        <v>0</v>
      </c>
      <c r="N41" s="19"/>
      <c r="O41" s="441">
        <f t="shared" si="2"/>
        <v>-0.29999999999995453</v>
      </c>
      <c r="P41" s="441">
        <v>0</v>
      </c>
      <c r="Q41" s="19"/>
      <c r="R41" s="441"/>
      <c r="S41" s="436">
        <v>0</v>
      </c>
      <c r="T41" s="11"/>
    </row>
    <row r="42" spans="2:20" x14ac:dyDescent="0.25">
      <c r="B42" s="18" t="s">
        <v>471</v>
      </c>
      <c r="C42" s="20"/>
      <c r="D42" s="444">
        <v>-203.70000000000005</v>
      </c>
      <c r="E42" s="444">
        <v>-152.65187087226718</v>
      </c>
      <c r="F42" s="444"/>
      <c r="G42" s="454"/>
      <c r="H42" s="20"/>
      <c r="I42" s="444">
        <f t="shared" si="0"/>
        <v>0</v>
      </c>
      <c r="J42" s="444">
        <v>14.05242569547363</v>
      </c>
      <c r="K42" s="20"/>
      <c r="L42" s="444">
        <f t="shared" si="1"/>
        <v>0.5</v>
      </c>
      <c r="M42" s="444">
        <v>36.910166034871509</v>
      </c>
      <c r="N42" s="20"/>
      <c r="O42" s="444">
        <f t="shared" si="2"/>
        <v>0.5</v>
      </c>
      <c r="P42" s="444">
        <v>102.36387145180288</v>
      </c>
      <c r="Q42" s="20"/>
      <c r="R42" s="444"/>
      <c r="S42" s="439">
        <v>22.478869886762823</v>
      </c>
      <c r="T42" s="11"/>
    </row>
    <row r="43" spans="2:20" ht="12.6" customHeight="1" x14ac:dyDescent="0.25">
      <c r="B43" s="7"/>
      <c r="C43" s="8"/>
      <c r="D43" s="8"/>
      <c r="E43" s="8"/>
      <c r="F43" s="8"/>
      <c r="G43" s="8"/>
      <c r="H43" s="8"/>
      <c r="I43" s="8"/>
      <c r="J43" s="8"/>
      <c r="M43" s="8"/>
      <c r="P43" s="8"/>
      <c r="S43" s="8"/>
    </row>
    <row r="44" spans="2:20" ht="21" customHeight="1" x14ac:dyDescent="0.25">
      <c r="C44" s="13"/>
      <c r="D44" s="14"/>
      <c r="E44" s="14"/>
      <c r="F44" s="14"/>
      <c r="G44" s="14"/>
      <c r="H44" s="14"/>
      <c r="I44" s="14"/>
      <c r="J44" s="14"/>
      <c r="L44" s="7"/>
      <c r="M44" s="14"/>
      <c r="P44" s="14"/>
      <c r="S44" s="14"/>
    </row>
    <row r="45" spans="2:20" s="5" customFormat="1" ht="21" customHeight="1" x14ac:dyDescent="0.25">
      <c r="C45" s="14"/>
      <c r="D45" s="14"/>
      <c r="E45" s="14"/>
      <c r="F45" s="14"/>
      <c r="G45" s="14"/>
      <c r="H45" s="14"/>
      <c r="I45" s="14"/>
      <c r="J45" s="14"/>
      <c r="L45" s="783"/>
      <c r="M45" s="783"/>
      <c r="N45" s="783"/>
      <c r="O45" s="783"/>
      <c r="P45" s="783"/>
      <c r="Q45" s="783"/>
      <c r="R45" s="783"/>
      <c r="S45" s="783"/>
      <c r="T45" s="783"/>
    </row>
    <row r="46" spans="2:20" ht="21" customHeight="1" x14ac:dyDescent="0.25">
      <c r="C46" s="8"/>
      <c r="D46" s="12"/>
      <c r="E46" s="12"/>
      <c r="F46" s="12"/>
      <c r="G46" s="12"/>
      <c r="H46" s="12"/>
      <c r="I46" s="12"/>
      <c r="J46" s="12"/>
      <c r="K46" s="9"/>
      <c r="M46" s="12"/>
      <c r="P46" s="12"/>
      <c r="S46" s="12"/>
    </row>
    <row r="47" spans="2:20" ht="21" customHeight="1" x14ac:dyDescent="0.25">
      <c r="C47" s="8"/>
      <c r="D47" s="12"/>
      <c r="E47" s="12"/>
      <c r="F47" s="12"/>
      <c r="G47" s="12"/>
      <c r="H47" s="12"/>
      <c r="I47" s="12"/>
      <c r="J47" s="12"/>
      <c r="K47" s="9"/>
      <c r="M47" s="12"/>
      <c r="P47" s="12"/>
      <c r="S47" s="12"/>
    </row>
    <row r="48" spans="2:20" ht="21" customHeight="1" x14ac:dyDescent="0.25">
      <c r="C48" s="8"/>
      <c r="D48" s="12"/>
      <c r="E48" s="12"/>
      <c r="F48" s="12"/>
      <c r="G48" s="12"/>
      <c r="H48" s="12"/>
      <c r="I48" s="12"/>
      <c r="J48" s="12"/>
      <c r="K48" s="9"/>
      <c r="M48" s="12"/>
      <c r="P48" s="12"/>
      <c r="S48" s="12"/>
    </row>
    <row r="49" spans="3:19" ht="21" customHeight="1" x14ac:dyDescent="0.25">
      <c r="C49" s="8"/>
      <c r="D49" s="12"/>
      <c r="E49" s="12"/>
      <c r="F49" s="12"/>
      <c r="G49" s="12"/>
      <c r="H49" s="12"/>
      <c r="I49" s="12"/>
      <c r="J49" s="12"/>
      <c r="K49" s="9"/>
      <c r="M49" s="12"/>
      <c r="P49" s="12"/>
      <c r="S49" s="12"/>
    </row>
    <row r="50" spans="3:19" ht="21" customHeight="1" x14ac:dyDescent="0.25">
      <c r="C50" s="8"/>
      <c r="D50" s="12"/>
      <c r="E50" s="12"/>
      <c r="F50" s="12"/>
      <c r="G50" s="12"/>
      <c r="H50" s="12"/>
      <c r="I50" s="15"/>
      <c r="J50" s="12"/>
      <c r="K50" s="9"/>
      <c r="M50" s="12"/>
      <c r="P50" s="12"/>
      <c r="S50" s="12"/>
    </row>
    <row r="51" spans="3:19" ht="21" customHeight="1" x14ac:dyDescent="0.25">
      <c r="C51" s="8"/>
      <c r="D51" s="12"/>
      <c r="E51" s="12"/>
      <c r="F51" s="12"/>
      <c r="G51" s="12"/>
      <c r="H51" s="16"/>
      <c r="I51" s="16"/>
      <c r="J51" s="12"/>
      <c r="K51" s="9"/>
      <c r="M51" s="12"/>
      <c r="P51" s="12"/>
      <c r="S51" s="12"/>
    </row>
    <row r="52" spans="3:19" ht="21" customHeight="1" x14ac:dyDescent="0.25">
      <c r="C52" s="8"/>
      <c r="D52" s="12"/>
      <c r="E52" s="12"/>
      <c r="F52" s="12"/>
      <c r="G52" s="12"/>
      <c r="H52" s="16"/>
      <c r="I52" s="16"/>
      <c r="J52" s="12"/>
      <c r="K52" s="9"/>
      <c r="M52" s="12"/>
      <c r="P52" s="12"/>
      <c r="S52" s="12"/>
    </row>
    <row r="53" spans="3:19" ht="21" customHeight="1" x14ac:dyDescent="0.25">
      <c r="C53" s="8"/>
      <c r="D53" s="12"/>
      <c r="E53" s="12"/>
      <c r="F53" s="12"/>
      <c r="G53" s="12"/>
      <c r="H53" s="16"/>
      <c r="I53" s="16"/>
      <c r="J53" s="12"/>
      <c r="K53" s="9"/>
      <c r="M53" s="12"/>
      <c r="P53" s="12"/>
      <c r="S53" s="12"/>
    </row>
    <row r="54" spans="3:19" ht="21" customHeight="1" x14ac:dyDescent="0.25">
      <c r="D54" s="1"/>
      <c r="E54" s="1"/>
      <c r="F54" s="1"/>
      <c r="G54" s="1"/>
      <c r="H54" s="2"/>
      <c r="I54" s="2"/>
      <c r="J54" s="1"/>
      <c r="K54" s="9"/>
      <c r="M54" s="1"/>
      <c r="P54" s="1"/>
      <c r="S54" s="1"/>
    </row>
    <row r="55" spans="3:19" ht="21" customHeight="1" x14ac:dyDescent="0.25">
      <c r="D55" s="1"/>
      <c r="E55" s="1"/>
      <c r="F55" s="1"/>
      <c r="G55" s="1"/>
      <c r="H55" s="2"/>
      <c r="I55" s="2"/>
      <c r="J55" s="1"/>
      <c r="K55" s="9"/>
      <c r="M55" s="1"/>
      <c r="P55" s="1"/>
      <c r="S55" s="1"/>
    </row>
  </sheetData>
  <mergeCells count="12">
    <mergeCell ref="L45:T45"/>
    <mergeCell ref="B5:S5"/>
    <mergeCell ref="B18:S18"/>
    <mergeCell ref="H19:J19"/>
    <mergeCell ref="K19:M19"/>
    <mergeCell ref="N19:P19"/>
    <mergeCell ref="Q19:S19"/>
    <mergeCell ref="B31:S31"/>
    <mergeCell ref="H32:J32"/>
    <mergeCell ref="K32:M32"/>
    <mergeCell ref="N32:P32"/>
    <mergeCell ref="Q32:S32"/>
  </mergeCells>
  <pageMargins left="0.7" right="0.7" top="0.75" bottom="0.75" header="0.3" footer="0.3"/>
  <pageSetup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41"/>
  <sheetViews>
    <sheetView showGridLines="0" zoomScaleNormal="100" workbookViewId="0">
      <selection activeCell="B1" sqref="B1"/>
    </sheetView>
  </sheetViews>
  <sheetFormatPr defaultColWidth="9.140625" defaultRowHeight="15" x14ac:dyDescent="0.25"/>
  <cols>
    <col min="1" max="1" width="1.140625" style="6" customWidth="1"/>
    <col min="2" max="2" width="22.7109375" style="6" customWidth="1"/>
    <col min="3" max="7" width="12.28515625" style="6" customWidth="1"/>
    <col min="8" max="10" width="12.28515625" style="561" customWidth="1"/>
    <col min="11" max="11" width="1.140625" style="561" customWidth="1"/>
    <col min="12" max="12" width="22.7109375" style="561" customWidth="1"/>
    <col min="13" max="17" width="12.28515625" style="561" customWidth="1"/>
    <col min="18" max="20" width="12.28515625" style="6" customWidth="1"/>
    <col min="21" max="16384" width="9.140625" style="6"/>
  </cols>
  <sheetData>
    <row r="1" spans="2:17" x14ac:dyDescent="0.25">
      <c r="B1" s="564" t="s">
        <v>794</v>
      </c>
    </row>
    <row r="2" spans="2:17" x14ac:dyDescent="0.25">
      <c r="B2" s="564"/>
    </row>
    <row r="3" spans="2:17" x14ac:dyDescent="0.25">
      <c r="B3" s="564" t="s">
        <v>517</v>
      </c>
    </row>
    <row r="4" spans="2:17" x14ac:dyDescent="0.25">
      <c r="B4" s="7"/>
      <c r="C4" s="8"/>
      <c r="D4" s="8"/>
      <c r="E4" s="8"/>
      <c r="F4" s="8"/>
      <c r="I4" s="562"/>
      <c r="L4" s="562"/>
    </row>
    <row r="5" spans="2:17" ht="12.6" customHeight="1" x14ac:dyDescent="0.25">
      <c r="B5" s="7"/>
      <c r="C5" s="8"/>
      <c r="D5" s="8"/>
      <c r="E5" s="8"/>
      <c r="F5" s="8"/>
    </row>
    <row r="6" spans="2:17" ht="21" customHeight="1" x14ac:dyDescent="0.25">
      <c r="C6" s="13"/>
      <c r="D6" s="14"/>
      <c r="E6" s="14"/>
      <c r="F6" s="14"/>
      <c r="H6" s="562"/>
    </row>
    <row r="7" spans="2:17" s="5" customFormat="1" ht="21" customHeight="1" x14ac:dyDescent="0.25">
      <c r="C7" s="14"/>
      <c r="D7" s="14"/>
      <c r="E7" s="14"/>
      <c r="F7" s="14"/>
      <c r="H7" s="761"/>
      <c r="I7" s="761"/>
      <c r="J7" s="761"/>
      <c r="K7" s="761"/>
      <c r="L7" s="761"/>
      <c r="M7" s="761"/>
      <c r="N7" s="761"/>
      <c r="O7" s="563"/>
      <c r="P7" s="563"/>
      <c r="Q7" s="563"/>
    </row>
    <row r="8" spans="2:17" ht="21" customHeight="1" x14ac:dyDescent="0.25">
      <c r="C8" s="8"/>
      <c r="D8" s="12"/>
      <c r="E8" s="12"/>
      <c r="F8" s="12"/>
      <c r="G8" s="9"/>
    </row>
    <row r="9" spans="2:17" ht="21" customHeight="1" x14ac:dyDescent="0.25">
      <c r="C9" s="8"/>
      <c r="D9" s="12"/>
      <c r="E9" s="12"/>
      <c r="F9" s="12"/>
      <c r="G9" s="9"/>
    </row>
    <row r="10" spans="2:17" ht="21" customHeight="1" x14ac:dyDescent="0.25">
      <c r="C10" s="8"/>
      <c r="D10" s="12"/>
      <c r="E10" s="12"/>
      <c r="F10" s="12"/>
      <c r="G10" s="9"/>
    </row>
    <row r="11" spans="2:17" ht="21" customHeight="1" x14ac:dyDescent="0.25">
      <c r="C11" s="8"/>
      <c r="D11" s="12"/>
      <c r="E11" s="12"/>
      <c r="F11" s="12"/>
      <c r="G11" s="9"/>
    </row>
    <row r="12" spans="2:17" ht="21" customHeight="1" x14ac:dyDescent="0.25">
      <c r="C12" s="8"/>
      <c r="D12" s="12"/>
      <c r="E12" s="12"/>
      <c r="F12" s="15"/>
      <c r="G12" s="9"/>
    </row>
    <row r="13" spans="2:17" ht="21" customHeight="1" x14ac:dyDescent="0.25">
      <c r="C13" s="8"/>
      <c r="D13" s="12"/>
      <c r="E13" s="16"/>
      <c r="F13" s="16"/>
      <c r="G13" s="9"/>
    </row>
    <row r="14" spans="2:17" ht="21" customHeight="1" x14ac:dyDescent="0.25">
      <c r="B14" s="564" t="s">
        <v>518</v>
      </c>
      <c r="C14" s="8"/>
      <c r="D14" s="12"/>
      <c r="E14" s="16"/>
      <c r="F14" s="16"/>
      <c r="G14" s="9"/>
    </row>
    <row r="15" spans="2:17" ht="21" customHeight="1" x14ac:dyDescent="0.25">
      <c r="C15" s="8"/>
      <c r="D15" s="12"/>
      <c r="E15" s="16"/>
      <c r="F15" s="16"/>
      <c r="G15" s="9"/>
    </row>
    <row r="16" spans="2:17" ht="21" customHeight="1" x14ac:dyDescent="0.25">
      <c r="D16" s="1"/>
      <c r="E16" s="2"/>
      <c r="F16" s="2"/>
      <c r="G16" s="9"/>
    </row>
    <row r="27" spans="2:2" x14ac:dyDescent="0.25">
      <c r="B27" s="564" t="s">
        <v>520</v>
      </c>
    </row>
    <row r="41" spans="2:2" x14ac:dyDescent="0.25">
      <c r="B41" s="564" t="s">
        <v>521</v>
      </c>
    </row>
  </sheetData>
  <mergeCells count="1">
    <mergeCell ref="H7:N7"/>
  </mergeCells>
  <pageMargins left="0.7" right="0.7" top="0.75" bottom="0.75" header="0.3" footer="0.3"/>
  <pageSetup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63098-3AD1-443C-A973-F894C384AE3A}">
  <dimension ref="A1:Q31"/>
  <sheetViews>
    <sheetView showGridLines="0" zoomScaleNormal="100" workbookViewId="0">
      <pane xSplit="2" ySplit="6" topLeftCell="C25" activePane="bottomRight" state="frozen"/>
      <selection activeCell="G22" sqref="G22:K22"/>
      <selection pane="topRight" activeCell="G22" sqref="G22:K22"/>
      <selection pane="bottomLeft" activeCell="G22" sqref="G22:K22"/>
      <selection pane="bottomRight" activeCell="D36" sqref="D36"/>
    </sheetView>
  </sheetViews>
  <sheetFormatPr defaultRowHeight="15" x14ac:dyDescent="0.25"/>
  <cols>
    <col min="1" max="1" width="1.28515625" style="6" customWidth="1"/>
    <col min="2" max="2" width="12.7109375" customWidth="1"/>
    <col min="3" max="3" width="20.140625" customWidth="1"/>
    <col min="4" max="5" width="14.85546875" style="6" customWidth="1"/>
    <col min="6" max="8" width="19" style="6" customWidth="1"/>
    <col min="10" max="10" width="12.85546875" style="6" customWidth="1"/>
    <col min="11" max="12" width="18.7109375" customWidth="1"/>
    <col min="13" max="13" width="38.5703125" style="6" customWidth="1"/>
    <col min="14" max="14" width="11.7109375" customWidth="1"/>
    <col min="16" max="17" width="14.5703125" customWidth="1"/>
  </cols>
  <sheetData>
    <row r="1" spans="2:17" s="6" customFormat="1" x14ac:dyDescent="0.25">
      <c r="B1" s="6" t="s">
        <v>763</v>
      </c>
    </row>
    <row r="2" spans="2:17" s="6" customFormat="1" x14ac:dyDescent="0.25">
      <c r="B2" s="6" t="s">
        <v>441</v>
      </c>
    </row>
    <row r="3" spans="2:17" ht="8.4499999999999993" customHeight="1" thickBot="1" x14ac:dyDescent="0.3"/>
    <row r="4" spans="2:17" ht="15.75" thickBot="1" x14ac:dyDescent="0.3">
      <c r="B4" s="762" t="s">
        <v>398</v>
      </c>
      <c r="C4" s="763"/>
      <c r="D4" s="763"/>
      <c r="E4" s="763"/>
      <c r="F4" s="763"/>
      <c r="G4" s="763"/>
      <c r="H4" s="763"/>
      <c r="I4" s="763"/>
      <c r="J4" s="763"/>
      <c r="K4" s="763"/>
      <c r="L4" s="763"/>
      <c r="M4" s="764"/>
      <c r="N4" s="776" t="s">
        <v>399</v>
      </c>
      <c r="O4" s="777"/>
      <c r="P4" s="777"/>
      <c r="Q4" s="777"/>
    </row>
    <row r="5" spans="2:17" ht="21" customHeight="1" x14ac:dyDescent="0.25">
      <c r="B5" s="769" t="s">
        <v>400</v>
      </c>
      <c r="C5" s="769" t="s">
        <v>401</v>
      </c>
      <c r="D5" s="769" t="s">
        <v>90</v>
      </c>
      <c r="E5" s="769" t="s">
        <v>501</v>
      </c>
      <c r="F5" s="769" t="s">
        <v>503</v>
      </c>
      <c r="G5" s="769" t="s">
        <v>504</v>
      </c>
      <c r="H5" s="769" t="s">
        <v>506</v>
      </c>
      <c r="I5" s="769" t="s">
        <v>402</v>
      </c>
      <c r="J5" s="769" t="s">
        <v>502</v>
      </c>
      <c r="K5" s="420" t="s">
        <v>403</v>
      </c>
      <c r="L5" s="421" t="s">
        <v>403</v>
      </c>
      <c r="M5" s="774" t="s">
        <v>510</v>
      </c>
      <c r="N5" s="781" t="s">
        <v>401</v>
      </c>
      <c r="O5" s="769" t="s">
        <v>402</v>
      </c>
      <c r="P5" s="420" t="s">
        <v>403</v>
      </c>
      <c r="Q5" s="420" t="s">
        <v>403</v>
      </c>
    </row>
    <row r="6" spans="2:17" ht="21" customHeight="1" thickBot="1" x14ac:dyDescent="0.3">
      <c r="B6" s="770"/>
      <c r="C6" s="770"/>
      <c r="D6" s="770"/>
      <c r="E6" s="770"/>
      <c r="F6" s="770"/>
      <c r="G6" s="770"/>
      <c r="H6" s="770"/>
      <c r="I6" s="770"/>
      <c r="J6" s="770"/>
      <c r="K6" s="422" t="s">
        <v>404</v>
      </c>
      <c r="L6" s="423" t="s">
        <v>405</v>
      </c>
      <c r="M6" s="775"/>
      <c r="N6" s="782"/>
      <c r="O6" s="770"/>
      <c r="P6" s="422" t="s">
        <v>404</v>
      </c>
      <c r="Q6" s="422" t="s">
        <v>405</v>
      </c>
    </row>
    <row r="7" spans="2:17" ht="29.25" thickBot="1" x14ac:dyDescent="0.3">
      <c r="B7" s="424" t="s">
        <v>406</v>
      </c>
      <c r="C7" s="425" t="s">
        <v>440</v>
      </c>
      <c r="D7" s="426"/>
      <c r="E7" s="426"/>
      <c r="F7" s="426"/>
      <c r="G7" s="426"/>
      <c r="H7" s="426"/>
      <c r="I7" s="426" t="s">
        <v>407</v>
      </c>
      <c r="J7" s="426"/>
      <c r="K7" s="426" t="s">
        <v>408</v>
      </c>
      <c r="L7" s="427" t="s">
        <v>409</v>
      </c>
      <c r="M7" s="426"/>
      <c r="N7" s="778"/>
      <c r="O7" s="779"/>
      <c r="P7" s="779"/>
      <c r="Q7" s="780"/>
    </row>
    <row r="8" spans="2:17" ht="29.25" thickBot="1" x14ac:dyDescent="0.3">
      <c r="B8" s="424" t="s">
        <v>406</v>
      </c>
      <c r="C8" s="428" t="s">
        <v>442</v>
      </c>
      <c r="D8" s="428"/>
      <c r="E8" s="428"/>
      <c r="F8" s="428"/>
      <c r="G8" s="428"/>
      <c r="H8" s="428"/>
      <c r="I8" s="428" t="s">
        <v>407</v>
      </c>
      <c r="J8" s="428"/>
      <c r="K8" s="428" t="s">
        <v>408</v>
      </c>
      <c r="L8" s="427" t="s">
        <v>409</v>
      </c>
      <c r="M8" s="426"/>
      <c r="N8" s="778"/>
      <c r="O8" s="779"/>
      <c r="P8" s="779"/>
      <c r="Q8" s="780"/>
    </row>
    <row r="9" spans="2:17" ht="29.25" thickBot="1" x14ac:dyDescent="0.3">
      <c r="B9" s="424" t="s">
        <v>406</v>
      </c>
      <c r="C9" s="429" t="s">
        <v>443</v>
      </c>
      <c r="D9" s="430"/>
      <c r="E9" s="430"/>
      <c r="F9" s="430"/>
      <c r="G9" s="430"/>
      <c r="H9" s="430"/>
      <c r="I9" s="430" t="s">
        <v>407</v>
      </c>
      <c r="J9" s="430"/>
      <c r="K9" s="430" t="s">
        <v>408</v>
      </c>
      <c r="L9" s="428" t="s">
        <v>410</v>
      </c>
      <c r="M9" s="426"/>
      <c r="N9" s="778"/>
      <c r="O9" s="779"/>
      <c r="P9" s="779"/>
      <c r="Q9" s="780"/>
    </row>
    <row r="10" spans="2:17" ht="29.25" thickBot="1" x14ac:dyDescent="0.3">
      <c r="B10" s="431" t="s">
        <v>406</v>
      </c>
      <c r="C10" s="426" t="s">
        <v>444</v>
      </c>
      <c r="D10" s="426"/>
      <c r="E10" s="426"/>
      <c r="F10" s="426"/>
      <c r="G10" s="426"/>
      <c r="H10" s="426"/>
      <c r="I10" s="426" t="s">
        <v>407</v>
      </c>
      <c r="J10" s="426"/>
      <c r="K10" s="426" t="s">
        <v>408</v>
      </c>
      <c r="L10" s="426" t="s">
        <v>411</v>
      </c>
      <c r="M10" s="426"/>
      <c r="N10" s="426">
        <v>42172</v>
      </c>
      <c r="O10" s="426" t="s">
        <v>412</v>
      </c>
      <c r="P10" s="426" t="s">
        <v>408</v>
      </c>
      <c r="Q10" s="432">
        <v>8.9499999999999993</v>
      </c>
    </row>
    <row r="11" spans="2:17" ht="29.25" thickBot="1" x14ac:dyDescent="0.3">
      <c r="B11" s="424" t="s">
        <v>413</v>
      </c>
      <c r="C11" s="429" t="s">
        <v>445</v>
      </c>
      <c r="D11" s="430"/>
      <c r="E11" s="430"/>
      <c r="F11" s="430"/>
      <c r="G11" s="430"/>
      <c r="H11" s="430"/>
      <c r="I11" s="430" t="s">
        <v>414</v>
      </c>
      <c r="J11" s="430"/>
      <c r="K11" s="430" t="s">
        <v>408</v>
      </c>
      <c r="L11" s="427" t="s">
        <v>415</v>
      </c>
      <c r="M11" s="426"/>
      <c r="N11" s="778"/>
      <c r="O11" s="779"/>
      <c r="P11" s="779"/>
      <c r="Q11" s="780"/>
    </row>
    <row r="12" spans="2:17" ht="29.25" thickBot="1" x14ac:dyDescent="0.3">
      <c r="B12" s="424" t="s">
        <v>413</v>
      </c>
      <c r="C12" s="429" t="s">
        <v>446</v>
      </c>
      <c r="D12" s="430"/>
      <c r="E12" s="430"/>
      <c r="F12" s="430"/>
      <c r="G12" s="430"/>
      <c r="H12" s="430"/>
      <c r="I12" s="430" t="s">
        <v>414</v>
      </c>
      <c r="J12" s="430"/>
      <c r="K12" s="430" t="s">
        <v>408</v>
      </c>
      <c r="L12" s="427" t="s">
        <v>416</v>
      </c>
      <c r="M12" s="426"/>
      <c r="N12" s="778"/>
      <c r="O12" s="779"/>
      <c r="P12" s="779"/>
      <c r="Q12" s="780"/>
    </row>
    <row r="13" spans="2:17" ht="29.25" thickBot="1" x14ac:dyDescent="0.3">
      <c r="B13" s="424" t="s">
        <v>413</v>
      </c>
      <c r="C13" s="429" t="s">
        <v>447</v>
      </c>
      <c r="D13" s="430"/>
      <c r="E13" s="430"/>
      <c r="F13" s="430"/>
      <c r="G13" s="430"/>
      <c r="H13" s="430"/>
      <c r="I13" s="430" t="s">
        <v>414</v>
      </c>
      <c r="J13" s="430"/>
      <c r="K13" s="430" t="s">
        <v>408</v>
      </c>
      <c r="L13" s="428" t="s">
        <v>416</v>
      </c>
      <c r="M13" s="426"/>
      <c r="N13" s="778"/>
      <c r="O13" s="779"/>
      <c r="P13" s="779"/>
      <c r="Q13" s="780"/>
    </row>
    <row r="14" spans="2:17" ht="36" customHeight="1" thickBot="1" x14ac:dyDescent="0.3">
      <c r="B14" s="431" t="s">
        <v>413</v>
      </c>
      <c r="C14" s="426" t="s">
        <v>448</v>
      </c>
      <c r="D14" s="426"/>
      <c r="E14" s="426"/>
      <c r="F14" s="426"/>
      <c r="G14" s="426"/>
      <c r="H14" s="426"/>
      <c r="I14" s="426" t="s">
        <v>417</v>
      </c>
      <c r="J14" s="426"/>
      <c r="K14" s="426" t="s">
        <v>408</v>
      </c>
      <c r="L14" s="426" t="s">
        <v>418</v>
      </c>
      <c r="M14" s="426"/>
      <c r="N14" s="426">
        <v>42542</v>
      </c>
      <c r="O14" s="426" t="s">
        <v>417</v>
      </c>
      <c r="P14" s="426" t="s">
        <v>408</v>
      </c>
      <c r="Q14" s="432">
        <v>10.8</v>
      </c>
    </row>
    <row r="15" spans="2:17" ht="29.25" thickBot="1" x14ac:dyDescent="0.3">
      <c r="B15" s="424" t="s">
        <v>419</v>
      </c>
      <c r="C15" s="429" t="s">
        <v>449</v>
      </c>
      <c r="D15" s="430"/>
      <c r="E15" s="430"/>
      <c r="F15" s="430"/>
      <c r="G15" s="430"/>
      <c r="H15" s="430"/>
      <c r="I15" s="430" t="s">
        <v>420</v>
      </c>
      <c r="J15" s="430"/>
      <c r="K15" s="430" t="s">
        <v>408</v>
      </c>
      <c r="L15" s="427" t="s">
        <v>421</v>
      </c>
      <c r="M15" s="426"/>
      <c r="N15" s="778"/>
      <c r="O15" s="779"/>
      <c r="P15" s="779"/>
      <c r="Q15" s="780"/>
    </row>
    <row r="16" spans="2:17" ht="29.25" thickBot="1" x14ac:dyDescent="0.3">
      <c r="B16" s="424" t="s">
        <v>419</v>
      </c>
      <c r="C16" s="429" t="s">
        <v>450</v>
      </c>
      <c r="D16" s="430"/>
      <c r="E16" s="430"/>
      <c r="F16" s="430"/>
      <c r="G16" s="430"/>
      <c r="H16" s="430"/>
      <c r="I16" s="430" t="s">
        <v>422</v>
      </c>
      <c r="J16" s="430"/>
      <c r="K16" s="430" t="s">
        <v>423</v>
      </c>
      <c r="L16" s="427" t="s">
        <v>424</v>
      </c>
      <c r="M16" s="426"/>
      <c r="N16" s="778"/>
      <c r="O16" s="779"/>
      <c r="P16" s="779"/>
      <c r="Q16" s="780"/>
    </row>
    <row r="17" spans="2:17" ht="29.25" thickBot="1" x14ac:dyDescent="0.3">
      <c r="B17" s="424" t="s">
        <v>419</v>
      </c>
      <c r="C17" s="429" t="s">
        <v>451</v>
      </c>
      <c r="D17" s="430"/>
      <c r="E17" s="430"/>
      <c r="F17" s="430"/>
      <c r="G17" s="430"/>
      <c r="H17" s="430"/>
      <c r="I17" s="430" t="s">
        <v>422</v>
      </c>
      <c r="J17" s="430"/>
      <c r="K17" s="430" t="s">
        <v>425</v>
      </c>
      <c r="L17" s="427" t="s">
        <v>424</v>
      </c>
      <c r="M17" s="426"/>
      <c r="N17" s="778"/>
      <c r="O17" s="779"/>
      <c r="P17" s="779"/>
      <c r="Q17" s="780"/>
    </row>
    <row r="18" spans="2:17" ht="29.25" thickBot="1" x14ac:dyDescent="0.3">
      <c r="B18" s="431" t="s">
        <v>419</v>
      </c>
      <c r="C18" s="429" t="s">
        <v>452</v>
      </c>
      <c r="D18" s="430"/>
      <c r="E18" s="430"/>
      <c r="F18" s="430"/>
      <c r="G18" s="430"/>
      <c r="H18" s="430"/>
      <c r="I18" s="426" t="s">
        <v>426</v>
      </c>
      <c r="J18" s="426"/>
      <c r="K18" s="426" t="s">
        <v>427</v>
      </c>
      <c r="L18" s="426" t="s">
        <v>424</v>
      </c>
      <c r="M18" s="426"/>
      <c r="N18" s="426">
        <v>42906</v>
      </c>
      <c r="O18" s="426" t="s">
        <v>420</v>
      </c>
      <c r="P18" s="426">
        <v>11.18</v>
      </c>
      <c r="Q18" s="432">
        <v>12.3</v>
      </c>
    </row>
    <row r="19" spans="2:17" ht="29.25" thickBot="1" x14ac:dyDescent="0.3">
      <c r="B19" s="424" t="s">
        <v>428</v>
      </c>
      <c r="C19" s="429" t="s">
        <v>453</v>
      </c>
      <c r="D19" s="430"/>
      <c r="E19" s="430"/>
      <c r="F19" s="430"/>
      <c r="G19" s="430"/>
      <c r="H19" s="430"/>
      <c r="I19" s="430" t="s">
        <v>429</v>
      </c>
      <c r="J19" s="430"/>
      <c r="K19" s="430" t="s">
        <v>430</v>
      </c>
      <c r="L19" s="427" t="s">
        <v>431</v>
      </c>
      <c r="M19" s="426"/>
      <c r="N19" s="778"/>
      <c r="O19" s="779"/>
      <c r="P19" s="779"/>
      <c r="Q19" s="780"/>
    </row>
    <row r="20" spans="2:17" ht="29.25" thickBot="1" x14ac:dyDescent="0.3">
      <c r="B20" s="424" t="s">
        <v>428</v>
      </c>
      <c r="C20" s="429" t="s">
        <v>454</v>
      </c>
      <c r="D20" s="430"/>
      <c r="E20" s="430"/>
      <c r="F20" s="430"/>
      <c r="G20" s="430"/>
      <c r="H20" s="430"/>
      <c r="I20" s="430" t="s">
        <v>429</v>
      </c>
      <c r="J20" s="430"/>
      <c r="K20" s="430" t="s">
        <v>432</v>
      </c>
      <c r="L20" s="427" t="s">
        <v>433</v>
      </c>
      <c r="M20" s="426"/>
      <c r="N20" s="778"/>
      <c r="O20" s="779"/>
      <c r="P20" s="779"/>
      <c r="Q20" s="780"/>
    </row>
    <row r="21" spans="2:17" ht="29.25" thickBot="1" x14ac:dyDescent="0.3">
      <c r="B21" s="424" t="s">
        <v>428</v>
      </c>
      <c r="C21" s="429" t="s">
        <v>455</v>
      </c>
      <c r="D21" s="430"/>
      <c r="E21" s="430"/>
      <c r="F21" s="430"/>
      <c r="G21" s="430"/>
      <c r="H21" s="430"/>
      <c r="I21" s="430" t="s">
        <v>429</v>
      </c>
      <c r="J21" s="430"/>
      <c r="K21" s="430" t="s">
        <v>434</v>
      </c>
      <c r="L21" s="427" t="s">
        <v>435</v>
      </c>
      <c r="M21" s="426"/>
      <c r="N21" s="778"/>
      <c r="O21" s="779"/>
      <c r="P21" s="779"/>
      <c r="Q21" s="780"/>
    </row>
    <row r="22" spans="2:17" ht="29.25" thickBot="1" x14ac:dyDescent="0.3">
      <c r="B22" s="431" t="s">
        <v>428</v>
      </c>
      <c r="C22" s="425" t="s">
        <v>456</v>
      </c>
      <c r="D22" s="426"/>
      <c r="E22" s="426"/>
      <c r="F22" s="426"/>
      <c r="G22" s="426"/>
      <c r="H22" s="426"/>
      <c r="I22" s="426" t="s">
        <v>436</v>
      </c>
      <c r="J22" s="426"/>
      <c r="K22" s="426" t="s">
        <v>437</v>
      </c>
      <c r="L22" s="426" t="s">
        <v>438</v>
      </c>
      <c r="M22" s="426"/>
      <c r="N22" s="426">
        <v>43270</v>
      </c>
      <c r="O22" s="426" t="s">
        <v>439</v>
      </c>
      <c r="P22" s="426">
        <v>16.670000000000002</v>
      </c>
      <c r="Q22" s="432">
        <v>15.31</v>
      </c>
    </row>
    <row r="23" spans="2:17" s="6" customFormat="1" ht="29.25" thickBot="1" x14ac:dyDescent="0.3">
      <c r="B23" s="424" t="s">
        <v>495</v>
      </c>
      <c r="C23" s="429" t="s">
        <v>497</v>
      </c>
      <c r="D23" s="430" t="s">
        <v>500</v>
      </c>
      <c r="E23" s="513">
        <v>7.9000000000000001E-2</v>
      </c>
      <c r="F23" s="513">
        <v>8.5000000000000006E-2</v>
      </c>
      <c r="G23" s="513" t="s">
        <v>505</v>
      </c>
      <c r="H23" s="515">
        <f>365/1.35</f>
        <v>270.37037037037038</v>
      </c>
      <c r="I23" s="426" t="s">
        <v>422</v>
      </c>
      <c r="J23" s="514">
        <v>0.25</v>
      </c>
      <c r="K23" s="430" t="s">
        <v>499</v>
      </c>
      <c r="L23" s="427" t="s">
        <v>498</v>
      </c>
      <c r="M23" s="426"/>
      <c r="N23" s="771"/>
      <c r="O23" s="772"/>
      <c r="P23" s="772"/>
      <c r="Q23" s="773"/>
    </row>
    <row r="24" spans="2:17" ht="43.5" thickBot="1" x14ac:dyDescent="0.3">
      <c r="B24" s="431" t="s">
        <v>495</v>
      </c>
      <c r="C24" s="425" t="s">
        <v>496</v>
      </c>
      <c r="D24" s="425" t="s">
        <v>500</v>
      </c>
      <c r="E24" s="516">
        <v>7.9000000000000001E-2</v>
      </c>
      <c r="F24" s="516">
        <v>8.5000000000000006E-2</v>
      </c>
      <c r="G24" s="516" t="s">
        <v>505</v>
      </c>
      <c r="H24" s="517">
        <f>365/1.35</f>
        <v>270.37037037037038</v>
      </c>
      <c r="I24" s="425" t="s">
        <v>422</v>
      </c>
      <c r="J24" s="518">
        <v>0.25</v>
      </c>
      <c r="K24" s="425" t="s">
        <v>507</v>
      </c>
      <c r="L24" s="425" t="s">
        <v>508</v>
      </c>
      <c r="M24" s="519" t="s">
        <v>511</v>
      </c>
      <c r="N24" s="768"/>
      <c r="O24" s="768"/>
      <c r="P24" s="768"/>
      <c r="Q24" s="768"/>
    </row>
    <row r="25" spans="2:17" s="6" customFormat="1" ht="129.6" customHeight="1" thickBot="1" x14ac:dyDescent="0.3">
      <c r="B25" s="431" t="s">
        <v>495</v>
      </c>
      <c r="C25" s="425" t="s">
        <v>740</v>
      </c>
      <c r="D25" s="425" t="s">
        <v>745</v>
      </c>
      <c r="E25" s="516" t="s">
        <v>745</v>
      </c>
      <c r="F25" s="516" t="s">
        <v>745</v>
      </c>
      <c r="G25" s="516" t="s">
        <v>505</v>
      </c>
      <c r="H25" s="517">
        <f>365/1.36</f>
        <v>268.38235294117646</v>
      </c>
      <c r="I25" s="425" t="s">
        <v>422</v>
      </c>
      <c r="J25" s="518" t="s">
        <v>743</v>
      </c>
      <c r="K25" s="425" t="s">
        <v>741</v>
      </c>
      <c r="L25" s="425" t="s">
        <v>742</v>
      </c>
      <c r="M25" s="519" t="s">
        <v>744</v>
      </c>
      <c r="N25" s="768"/>
      <c r="O25" s="768"/>
      <c r="P25" s="768"/>
      <c r="Q25" s="768"/>
    </row>
    <row r="26" spans="2:17" s="6" customFormat="1" ht="221.25" customHeight="1" thickBot="1" x14ac:dyDescent="0.3">
      <c r="B26" s="431" t="s">
        <v>495</v>
      </c>
      <c r="C26" s="425" t="s">
        <v>757</v>
      </c>
      <c r="D26" s="425" t="s">
        <v>745</v>
      </c>
      <c r="E26" s="516" t="s">
        <v>745</v>
      </c>
      <c r="F26" s="516" t="s">
        <v>745</v>
      </c>
      <c r="G26" s="516" t="s">
        <v>761</v>
      </c>
      <c r="H26" s="517">
        <f>350/1.32</f>
        <v>265.15151515151513</v>
      </c>
      <c r="I26" s="425" t="s">
        <v>422</v>
      </c>
      <c r="J26" s="518" t="s">
        <v>760</v>
      </c>
      <c r="K26" s="425" t="s">
        <v>758</v>
      </c>
      <c r="L26" s="425" t="s">
        <v>759</v>
      </c>
      <c r="M26" s="519" t="s">
        <v>762</v>
      </c>
      <c r="N26" s="768"/>
      <c r="O26" s="768"/>
      <c r="P26" s="768"/>
      <c r="Q26" s="768"/>
    </row>
    <row r="27" spans="2:17" s="6" customFormat="1" ht="221.25" customHeight="1" thickBot="1" x14ac:dyDescent="0.3">
      <c r="B27" s="431" t="s">
        <v>795</v>
      </c>
      <c r="C27" s="425" t="s">
        <v>796</v>
      </c>
      <c r="D27" s="425" t="s">
        <v>745</v>
      </c>
      <c r="E27" s="516" t="s">
        <v>745</v>
      </c>
      <c r="F27" s="516" t="s">
        <v>745</v>
      </c>
      <c r="G27" s="516" t="s">
        <v>797</v>
      </c>
      <c r="H27" s="517"/>
      <c r="I27" s="425" t="s">
        <v>429</v>
      </c>
      <c r="J27" s="518" t="s">
        <v>798</v>
      </c>
      <c r="K27" s="425" t="s">
        <v>800</v>
      </c>
      <c r="L27" s="425" t="s">
        <v>799</v>
      </c>
      <c r="M27" s="519"/>
      <c r="N27" s="768"/>
      <c r="O27" s="768"/>
      <c r="P27" s="768"/>
      <c r="Q27" s="768"/>
    </row>
    <row r="28" spans="2:17" ht="15.75" thickBot="1" x14ac:dyDescent="0.3"/>
    <row r="29" spans="2:17" ht="15.75" thickBot="1" x14ac:dyDescent="0.3">
      <c r="B29" s="762" t="s">
        <v>509</v>
      </c>
      <c r="C29" s="763"/>
      <c r="D29" s="763"/>
      <c r="E29" s="763"/>
      <c r="F29" s="763"/>
      <c r="G29" s="763"/>
      <c r="H29" s="763"/>
      <c r="I29" s="763"/>
      <c r="J29" s="763"/>
      <c r="K29" s="763"/>
      <c r="L29" s="764"/>
    </row>
    <row r="30" spans="2:17" ht="43.5" customHeight="1" thickBot="1" x14ac:dyDescent="0.3">
      <c r="B30" s="765" t="s">
        <v>512</v>
      </c>
      <c r="C30" s="766"/>
      <c r="D30" s="766"/>
      <c r="E30" s="766"/>
      <c r="F30" s="767"/>
      <c r="G30" s="765" t="s">
        <v>513</v>
      </c>
      <c r="H30" s="766"/>
      <c r="I30" s="766"/>
      <c r="J30" s="766"/>
      <c r="K30" s="766"/>
      <c r="L30" s="767"/>
    </row>
    <row r="31" spans="2:17" x14ac:dyDescent="0.25">
      <c r="N31" s="6"/>
    </row>
  </sheetData>
  <mergeCells count="34">
    <mergeCell ref="N27:Q27"/>
    <mergeCell ref="N26:Q26"/>
    <mergeCell ref="N25:Q25"/>
    <mergeCell ref="N21:Q21"/>
    <mergeCell ref="N19:Q19"/>
    <mergeCell ref="N20:Q20"/>
    <mergeCell ref="N17:Q17"/>
    <mergeCell ref="N15:Q15"/>
    <mergeCell ref="N16:Q16"/>
    <mergeCell ref="I5:I6"/>
    <mergeCell ref="N5:N6"/>
    <mergeCell ref="O5:O6"/>
    <mergeCell ref="N13:Q13"/>
    <mergeCell ref="N11:Q11"/>
    <mergeCell ref="N12:Q12"/>
    <mergeCell ref="N9:Q9"/>
    <mergeCell ref="N7:Q7"/>
    <mergeCell ref="N8:Q8"/>
    <mergeCell ref="B4:M4"/>
    <mergeCell ref="B30:F30"/>
    <mergeCell ref="G30:L30"/>
    <mergeCell ref="B29:L29"/>
    <mergeCell ref="N24:Q24"/>
    <mergeCell ref="D5:D6"/>
    <mergeCell ref="E5:E6"/>
    <mergeCell ref="F5:F6"/>
    <mergeCell ref="J5:J6"/>
    <mergeCell ref="G5:G6"/>
    <mergeCell ref="H5:H6"/>
    <mergeCell ref="N23:Q23"/>
    <mergeCell ref="M5:M6"/>
    <mergeCell ref="N4:Q4"/>
    <mergeCell ref="B5:B6"/>
    <mergeCell ref="C5:C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81B74-4FD3-4A80-B515-D0B4B3984644}">
  <dimension ref="B1:L22"/>
  <sheetViews>
    <sheetView showGridLines="0" workbookViewId="0">
      <selection activeCell="F48" sqref="F48"/>
    </sheetView>
  </sheetViews>
  <sheetFormatPr defaultRowHeight="15" x14ac:dyDescent="0.25"/>
  <cols>
    <col min="1" max="1" width="1.28515625" customWidth="1"/>
    <col min="2" max="2" width="12.28515625" customWidth="1"/>
    <col min="11" max="11" width="9.5703125" bestFit="1" customWidth="1"/>
  </cols>
  <sheetData>
    <row r="1" spans="2:11" x14ac:dyDescent="0.25">
      <c r="B1" s="6" t="s">
        <v>768</v>
      </c>
    </row>
    <row r="2" spans="2:11" x14ac:dyDescent="0.25">
      <c r="B2" s="6" t="s">
        <v>528</v>
      </c>
    </row>
    <row r="3" spans="2:11" ht="45" x14ac:dyDescent="0.25">
      <c r="B3" s="566" t="s">
        <v>529</v>
      </c>
      <c r="C3" s="566" t="s">
        <v>530</v>
      </c>
      <c r="D3" s="566" t="s">
        <v>531</v>
      </c>
      <c r="E3" s="566" t="s">
        <v>532</v>
      </c>
      <c r="F3" s="566" t="s">
        <v>533</v>
      </c>
      <c r="G3" s="566" t="s">
        <v>545</v>
      </c>
      <c r="H3" s="566" t="s">
        <v>534</v>
      </c>
      <c r="I3" s="566" t="s">
        <v>535</v>
      </c>
      <c r="J3" s="566" t="s">
        <v>536</v>
      </c>
      <c r="K3" s="566" t="s">
        <v>537</v>
      </c>
    </row>
    <row r="4" spans="2:11" s="6" customFormat="1" x14ac:dyDescent="0.25">
      <c r="B4" s="599">
        <v>43271</v>
      </c>
      <c r="C4" s="604">
        <v>257.30999800000001</v>
      </c>
      <c r="D4" s="604">
        <v>257.30999800000001</v>
      </c>
      <c r="E4" s="604">
        <v>251.08999600000001</v>
      </c>
      <c r="F4" s="604">
        <v>251.429993</v>
      </c>
      <c r="G4" s="604">
        <v>247.45367400000001</v>
      </c>
      <c r="H4" s="506">
        <v>3906200</v>
      </c>
      <c r="I4" s="600"/>
      <c r="J4" s="601"/>
      <c r="K4" s="568"/>
    </row>
    <row r="5" spans="2:11" x14ac:dyDescent="0.25">
      <c r="B5" s="599">
        <v>43301</v>
      </c>
      <c r="C5" s="604">
        <v>235.449997</v>
      </c>
      <c r="D5" s="604">
        <v>236.029999</v>
      </c>
      <c r="E5" s="604">
        <v>233.529999</v>
      </c>
      <c r="F5" s="604">
        <v>234.929993</v>
      </c>
      <c r="G5" s="604">
        <v>231.82539399999999</v>
      </c>
      <c r="H5" s="506">
        <v>1705400</v>
      </c>
      <c r="I5" s="600">
        <f>+G5/G4-1</f>
        <v>-6.3156387001148451E-2</v>
      </c>
      <c r="J5" s="601">
        <f t="shared" ref="J5:J16" si="0">I5-$I$17</f>
        <v>-3.7843856152583691E-2</v>
      </c>
      <c r="K5" s="628">
        <f>J5^2</f>
        <v>1.4321574484974465E-3</v>
      </c>
    </row>
    <row r="6" spans="2:11" x14ac:dyDescent="0.25">
      <c r="B6" s="599">
        <v>43332</v>
      </c>
      <c r="C6" s="604">
        <v>247.33999600000001</v>
      </c>
      <c r="D6" s="604">
        <v>249.91999799999999</v>
      </c>
      <c r="E6" s="604">
        <v>247.33999600000001</v>
      </c>
      <c r="F6" s="604">
        <v>248.78999300000001</v>
      </c>
      <c r="G6" s="604">
        <v>245.50224299999999</v>
      </c>
      <c r="H6" s="506">
        <v>1031400</v>
      </c>
      <c r="I6" s="600">
        <f>+G6/G5-1</f>
        <v>5.8996336699852714E-2</v>
      </c>
      <c r="J6" s="601">
        <f t="shared" si="0"/>
        <v>8.4308867548417474E-2</v>
      </c>
      <c r="K6" s="628">
        <f>J6^2</f>
        <v>7.107985147296601E-3</v>
      </c>
    </row>
    <row r="7" spans="2:11" x14ac:dyDescent="0.25">
      <c r="B7" s="599">
        <v>43363</v>
      </c>
      <c r="C7" s="604">
        <v>244.64999399999999</v>
      </c>
      <c r="D7" s="604">
        <v>247.570007</v>
      </c>
      <c r="E7" s="604">
        <v>244.14999399999999</v>
      </c>
      <c r="F7" s="604">
        <v>246.80999800000001</v>
      </c>
      <c r="G7" s="604">
        <v>244.19311500000001</v>
      </c>
      <c r="H7" s="506">
        <v>2379900</v>
      </c>
      <c r="I7" s="600">
        <f t="shared" ref="I7:I16" si="1">+G7/G6-1</f>
        <v>-5.3324482253304106E-3</v>
      </c>
      <c r="J7" s="601">
        <f t="shared" si="0"/>
        <v>1.9980082623234353E-2</v>
      </c>
      <c r="K7" s="628">
        <f t="shared" ref="K7:K15" si="2">J7^2</f>
        <v>3.9920370163127136E-4</v>
      </c>
    </row>
    <row r="8" spans="2:11" x14ac:dyDescent="0.25">
      <c r="B8" s="599">
        <v>43392</v>
      </c>
      <c r="C8" s="604">
        <v>217.64999399999999</v>
      </c>
      <c r="D8" s="604">
        <v>220.740005</v>
      </c>
      <c r="E8" s="604">
        <v>216.970001</v>
      </c>
      <c r="F8" s="604">
        <v>219.800003</v>
      </c>
      <c r="G8" s="604">
        <v>217.46951300000001</v>
      </c>
      <c r="H8" s="506">
        <v>1691000</v>
      </c>
      <c r="I8" s="600">
        <f t="shared" si="1"/>
        <v>-0.10943634508286604</v>
      </c>
      <c r="J8" s="601">
        <f t="shared" si="0"/>
        <v>-8.4123814234301278E-2</v>
      </c>
      <c r="K8" s="628">
        <f t="shared" si="2"/>
        <v>7.07681612132723E-3</v>
      </c>
    </row>
    <row r="9" spans="2:11" x14ac:dyDescent="0.25">
      <c r="B9" s="599">
        <v>43424</v>
      </c>
      <c r="C9" s="604">
        <v>222.720001</v>
      </c>
      <c r="D9" s="604">
        <v>224.16999799999999</v>
      </c>
      <c r="E9" s="604">
        <v>220.020004</v>
      </c>
      <c r="F9" s="604">
        <v>221.33999600000001</v>
      </c>
      <c r="G9" s="604">
        <v>218.993179</v>
      </c>
      <c r="H9" s="506">
        <v>1620300</v>
      </c>
      <c r="I9" s="600">
        <f t="shared" si="1"/>
        <v>7.0063429994438042E-3</v>
      </c>
      <c r="J9" s="601">
        <f t="shared" si="0"/>
        <v>3.2318873848008564E-2</v>
      </c>
      <c r="K9" s="628">
        <f t="shared" si="2"/>
        <v>1.0445096068034919E-3</v>
      </c>
    </row>
    <row r="10" spans="2:11" x14ac:dyDescent="0.25">
      <c r="B10" s="599">
        <v>43454</v>
      </c>
      <c r="C10" s="604">
        <v>161.990005</v>
      </c>
      <c r="D10" s="604">
        <v>164.990005</v>
      </c>
      <c r="E10" s="604">
        <v>158.33999600000001</v>
      </c>
      <c r="F10" s="604">
        <v>159.720001</v>
      </c>
      <c r="G10" s="604">
        <v>158.505585</v>
      </c>
      <c r="H10" s="506">
        <v>6552700</v>
      </c>
      <c r="I10" s="600">
        <f t="shared" si="1"/>
        <v>-0.27620766215736792</v>
      </c>
      <c r="J10" s="601">
        <f t="shared" si="0"/>
        <v>-0.25089513130880314</v>
      </c>
      <c r="K10" s="628">
        <f t="shared" si="2"/>
        <v>6.2948366914461568E-2</v>
      </c>
    </row>
    <row r="11" spans="2:11" x14ac:dyDescent="0.25">
      <c r="B11" s="599">
        <v>43483</v>
      </c>
      <c r="C11" s="604">
        <v>175.179993</v>
      </c>
      <c r="D11" s="604">
        <v>179.19000199999999</v>
      </c>
      <c r="E11" s="604">
        <v>174.550003</v>
      </c>
      <c r="F11" s="604">
        <v>176.91000399999999</v>
      </c>
      <c r="G11" s="604">
        <v>175.564911</v>
      </c>
      <c r="H11" s="506">
        <v>3072100</v>
      </c>
      <c r="I11" s="600">
        <f t="shared" si="1"/>
        <v>0.10762602466026672</v>
      </c>
      <c r="J11" s="601">
        <f t="shared" si="0"/>
        <v>0.13293855550883149</v>
      </c>
      <c r="K11" s="628">
        <f t="shared" si="2"/>
        <v>1.7672659540774672E-2</v>
      </c>
    </row>
    <row r="12" spans="2:11" x14ac:dyDescent="0.25">
      <c r="B12" s="599">
        <v>43516</v>
      </c>
      <c r="C12" s="604">
        <v>180.979996</v>
      </c>
      <c r="D12" s="604">
        <v>183.020004</v>
      </c>
      <c r="E12" s="604">
        <v>180.259995</v>
      </c>
      <c r="F12" s="604">
        <v>181.91000399999999</v>
      </c>
      <c r="G12" s="604">
        <v>180.52688599999999</v>
      </c>
      <c r="H12" s="506">
        <v>1414700</v>
      </c>
      <c r="I12" s="600">
        <f t="shared" si="1"/>
        <v>2.8262908412262311E-2</v>
      </c>
      <c r="J12" s="601">
        <f t="shared" si="0"/>
        <v>5.3575439260827071E-2</v>
      </c>
      <c r="K12" s="628">
        <f t="shared" si="2"/>
        <v>2.8703276919905705E-3</v>
      </c>
    </row>
    <row r="13" spans="2:11" x14ac:dyDescent="0.25">
      <c r="B13" s="599">
        <v>43544</v>
      </c>
      <c r="C13" s="604">
        <v>172.75</v>
      </c>
      <c r="D13" s="604">
        <v>175.770004</v>
      </c>
      <c r="E13" s="604">
        <v>169.66000399999999</v>
      </c>
      <c r="F13" s="604">
        <v>175.070007</v>
      </c>
      <c r="G13" s="604">
        <v>174.39466899999999</v>
      </c>
      <c r="H13" s="506">
        <v>9287800</v>
      </c>
      <c r="I13" s="600">
        <f t="shared" si="1"/>
        <v>-3.3968441686852091E-2</v>
      </c>
      <c r="J13" s="601">
        <f t="shared" si="0"/>
        <v>-8.6559108382873277E-3</v>
      </c>
      <c r="K13" s="628">
        <f t="shared" si="2"/>
        <v>7.4924792440380028E-5</v>
      </c>
    </row>
    <row r="14" spans="2:11" x14ac:dyDescent="0.25">
      <c r="B14" s="599">
        <v>43573</v>
      </c>
      <c r="C14" s="604">
        <v>198.470001</v>
      </c>
      <c r="D14" s="604">
        <v>199.320007</v>
      </c>
      <c r="E14" s="604">
        <v>197.820007</v>
      </c>
      <c r="F14" s="604">
        <v>198.14999399999999</v>
      </c>
      <c r="G14" s="604">
        <v>197.38561999999999</v>
      </c>
      <c r="H14" s="506">
        <v>1391700</v>
      </c>
      <c r="I14" s="600">
        <f t="shared" si="1"/>
        <v>0.13183287729970683</v>
      </c>
      <c r="J14" s="601">
        <f t="shared" si="0"/>
        <v>0.1571454081482716</v>
      </c>
      <c r="K14" s="628">
        <f t="shared" si="2"/>
        <v>2.4694679302086867E-2</v>
      </c>
    </row>
    <row r="15" spans="2:11" x14ac:dyDescent="0.25">
      <c r="B15" s="599">
        <v>43605</v>
      </c>
      <c r="C15" s="604">
        <v>168.229996</v>
      </c>
      <c r="D15" s="604">
        <v>169.85000600000001</v>
      </c>
      <c r="E15" s="604">
        <v>167.320007</v>
      </c>
      <c r="F15" s="604">
        <v>168.21000699999999</v>
      </c>
      <c r="G15" s="604">
        <v>167.561127</v>
      </c>
      <c r="H15" s="506">
        <v>1672800</v>
      </c>
      <c r="I15" s="600">
        <f t="shared" si="1"/>
        <v>-0.15109759768720732</v>
      </c>
      <c r="J15" s="601">
        <f t="shared" si="0"/>
        <v>-0.12578506683864255</v>
      </c>
      <c r="K15" s="628">
        <f t="shared" si="2"/>
        <v>1.5821883039601772E-2</v>
      </c>
    </row>
    <row r="16" spans="2:11" x14ac:dyDescent="0.25">
      <c r="B16" s="602">
        <v>43636</v>
      </c>
      <c r="C16" s="605">
        <v>168.38999899999999</v>
      </c>
      <c r="D16" s="605">
        <v>169.53999300000001</v>
      </c>
      <c r="E16" s="605">
        <v>166.78999300000001</v>
      </c>
      <c r="F16" s="605">
        <v>168.5</v>
      </c>
      <c r="G16" s="605">
        <v>167.85000600000001</v>
      </c>
      <c r="H16" s="570"/>
      <c r="I16" s="600">
        <f t="shared" si="1"/>
        <v>1.7240215864626762E-3</v>
      </c>
      <c r="J16" s="603">
        <f t="shared" si="0"/>
        <v>2.703655243502744E-2</v>
      </c>
      <c r="K16" s="629">
        <f>J16^2</f>
        <v>7.3097516757198821E-4</v>
      </c>
    </row>
    <row r="17" spans="7:12" x14ac:dyDescent="0.25">
      <c r="G17" s="606"/>
      <c r="H17" s="667" t="s">
        <v>538</v>
      </c>
      <c r="I17" s="668">
        <f>AVERAGE(I5:I16)</f>
        <v>-2.5312530848564763E-2</v>
      </c>
      <c r="J17" s="607"/>
      <c r="K17" s="608"/>
    </row>
    <row r="18" spans="7:12" x14ac:dyDescent="0.25">
      <c r="G18" s="567"/>
      <c r="H18" s="506"/>
      <c r="I18" s="506"/>
      <c r="J18" s="609" t="s">
        <v>539</v>
      </c>
      <c r="K18" s="665">
        <f>SUM(K5:K16)</f>
        <v>0.14187448847448383</v>
      </c>
    </row>
    <row r="19" spans="7:12" x14ac:dyDescent="0.25">
      <c r="G19" s="567"/>
      <c r="H19" s="506"/>
      <c r="I19" s="506"/>
      <c r="J19" s="609" t="s">
        <v>540</v>
      </c>
      <c r="K19" s="610">
        <f>K18/12</f>
        <v>1.182287403954032E-2</v>
      </c>
    </row>
    <row r="20" spans="7:12" x14ac:dyDescent="0.25">
      <c r="G20" s="567"/>
      <c r="H20" s="506"/>
      <c r="I20" s="611"/>
      <c r="J20" s="612" t="s">
        <v>541</v>
      </c>
      <c r="K20" s="613">
        <f>SQRT(K19)</f>
        <v>0.10873304023865202</v>
      </c>
      <c r="L20" t="s">
        <v>542</v>
      </c>
    </row>
    <row r="21" spans="7:12" x14ac:dyDescent="0.25">
      <c r="G21" s="567"/>
      <c r="H21" s="506"/>
      <c r="I21" s="506"/>
      <c r="J21" s="615" t="s">
        <v>543</v>
      </c>
      <c r="K21" s="614">
        <f>_xlfn.STDEV.P(I5:I16)-K20</f>
        <v>0</v>
      </c>
    </row>
    <row r="22" spans="7:12" x14ac:dyDescent="0.25">
      <c r="G22" s="669"/>
      <c r="H22" s="670"/>
      <c r="I22" s="670"/>
      <c r="J22" s="671" t="s">
        <v>544</v>
      </c>
      <c r="K22" s="672">
        <f>ABS(I17)</f>
        <v>2.5312530848564763E-2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C7B05-A115-4D18-BF92-87B95E9E19A6}">
  <dimension ref="B1:T55"/>
  <sheetViews>
    <sheetView showGridLines="0" zoomScaleNormal="100" workbookViewId="0">
      <selection activeCell="H48" sqref="H48"/>
    </sheetView>
  </sheetViews>
  <sheetFormatPr defaultColWidth="9.140625" defaultRowHeight="15" x14ac:dyDescent="0.25"/>
  <cols>
    <col min="1" max="1" width="1.140625" style="6" customWidth="1"/>
    <col min="2" max="2" width="26.7109375" style="6" customWidth="1"/>
    <col min="3" max="3" width="8.7109375" style="6" customWidth="1"/>
    <col min="4" max="4" width="12.28515625" style="6" customWidth="1"/>
    <col min="5" max="6" width="11.140625" style="6" customWidth="1"/>
    <col min="7" max="7" width="13.28515625" style="6" customWidth="1"/>
    <col min="8" max="8" width="8.7109375" style="6" customWidth="1"/>
    <col min="9" max="10" width="11.140625" style="6" customWidth="1"/>
    <col min="11" max="11" width="8.7109375" style="6" customWidth="1"/>
    <col min="12" max="13" width="11.140625" style="6" customWidth="1"/>
    <col min="14" max="14" width="8.7109375" style="6" customWidth="1"/>
    <col min="15" max="16" width="11.140625" style="6" customWidth="1"/>
    <col min="17" max="17" width="8.7109375" style="6" customWidth="1"/>
    <col min="18" max="19" width="11.140625" style="6" customWidth="1"/>
    <col min="20" max="20" width="1.140625" style="6" customWidth="1"/>
    <col min="21" max="16384" width="9.140625" style="6"/>
  </cols>
  <sheetData>
    <row r="1" spans="2:20" x14ac:dyDescent="0.25">
      <c r="B1" s="561" t="s">
        <v>754</v>
      </c>
      <c r="E1" s="597"/>
      <c r="F1" s="597"/>
      <c r="G1" s="597"/>
      <c r="H1" s="597"/>
      <c r="I1" s="597"/>
      <c r="J1" s="597"/>
      <c r="K1" s="597"/>
      <c r="L1" s="597"/>
      <c r="M1" s="597"/>
      <c r="N1" s="597"/>
      <c r="O1" s="597"/>
      <c r="P1" s="597"/>
      <c r="Q1" s="597"/>
      <c r="R1" s="597"/>
      <c r="S1" s="597"/>
    </row>
    <row r="2" spans="2:20" x14ac:dyDescent="0.25">
      <c r="B2" s="6" t="s">
        <v>457</v>
      </c>
    </row>
    <row r="3" spans="2:20" x14ac:dyDescent="0.25">
      <c r="B3" s="6" t="s">
        <v>480</v>
      </c>
    </row>
    <row r="4" spans="2:20" ht="5.45" customHeight="1" x14ac:dyDescent="0.25">
      <c r="D4" s="1"/>
      <c r="E4" s="1"/>
      <c r="F4" s="1"/>
      <c r="G4" s="1"/>
      <c r="H4" s="2"/>
      <c r="I4" s="2"/>
      <c r="J4" s="1"/>
      <c r="K4" s="9"/>
      <c r="M4" s="1"/>
      <c r="P4" s="1"/>
      <c r="S4" s="1"/>
    </row>
    <row r="5" spans="2:20" ht="16.899999999999999" customHeight="1" x14ac:dyDescent="0.25">
      <c r="B5" s="784" t="s">
        <v>473</v>
      </c>
      <c r="C5" s="785"/>
      <c r="D5" s="785"/>
      <c r="E5" s="785"/>
      <c r="F5" s="785"/>
      <c r="G5" s="785"/>
      <c r="H5" s="785"/>
      <c r="I5" s="785"/>
      <c r="J5" s="785"/>
      <c r="K5" s="785"/>
      <c r="L5" s="785"/>
      <c r="M5" s="785"/>
      <c r="N5" s="785"/>
      <c r="O5" s="785"/>
      <c r="P5" s="785"/>
      <c r="Q5" s="785"/>
      <c r="R5" s="785"/>
      <c r="S5" s="786"/>
    </row>
    <row r="6" spans="2:20" ht="16.899999999999999" customHeight="1" x14ac:dyDescent="0.25">
      <c r="B6" s="445"/>
      <c r="C6" s="455"/>
      <c r="D6" s="456"/>
      <c r="E6" s="673" t="s">
        <v>460</v>
      </c>
      <c r="F6" s="456"/>
      <c r="G6" s="456"/>
      <c r="H6" s="455"/>
      <c r="I6" s="673" t="s">
        <v>461</v>
      </c>
      <c r="J6" s="456"/>
      <c r="K6" s="455"/>
      <c r="L6" s="673" t="s">
        <v>475</v>
      </c>
      <c r="M6" s="457"/>
      <c r="N6" s="456"/>
      <c r="O6" s="673" t="s">
        <v>526</v>
      </c>
      <c r="P6" s="457"/>
      <c r="Q6" s="456"/>
      <c r="R6" s="673" t="s">
        <v>755</v>
      </c>
      <c r="S6" s="458"/>
    </row>
    <row r="7" spans="2:20" ht="27.6" customHeight="1" x14ac:dyDescent="0.25">
      <c r="B7" s="556"/>
      <c r="C7" s="25" t="s">
        <v>93</v>
      </c>
      <c r="D7" s="440" t="s">
        <v>68</v>
      </c>
      <c r="E7" s="440" t="s">
        <v>476</v>
      </c>
      <c r="F7" s="440" t="s">
        <v>477</v>
      </c>
      <c r="G7" s="26" t="s">
        <v>478</v>
      </c>
      <c r="H7" s="21" t="s">
        <v>93</v>
      </c>
      <c r="I7" s="23" t="s">
        <v>68</v>
      </c>
      <c r="J7" s="440" t="s">
        <v>476</v>
      </c>
      <c r="K7" s="25" t="s">
        <v>93</v>
      </c>
      <c r="L7" s="440" t="s">
        <v>68</v>
      </c>
      <c r="M7" s="440" t="s">
        <v>476</v>
      </c>
      <c r="N7" s="25" t="s">
        <v>93</v>
      </c>
      <c r="O7" s="440" t="s">
        <v>68</v>
      </c>
      <c r="P7" s="440" t="s">
        <v>476</v>
      </c>
      <c r="Q7" s="25" t="s">
        <v>93</v>
      </c>
      <c r="R7" s="440" t="s">
        <v>68</v>
      </c>
      <c r="S7" s="440" t="s">
        <v>476</v>
      </c>
      <c r="T7" s="10"/>
    </row>
    <row r="8" spans="2:20" x14ac:dyDescent="0.25">
      <c r="B8" s="17" t="s">
        <v>464</v>
      </c>
      <c r="C8" s="19">
        <v>19</v>
      </c>
      <c r="D8" s="677">
        <v>17704.368421052601</v>
      </c>
      <c r="E8" s="677">
        <v>17689.855094380029</v>
      </c>
      <c r="F8" s="678">
        <f>+'FedEx Earnings Model'!U13</f>
        <v>17010</v>
      </c>
      <c r="G8" s="447">
        <f>+F8-E8</f>
        <v>-679.85509438002919</v>
      </c>
      <c r="H8" s="19">
        <v>19</v>
      </c>
      <c r="I8" s="677">
        <v>18454.7368421053</v>
      </c>
      <c r="J8" s="677">
        <v>18450.885022183011</v>
      </c>
      <c r="K8" s="19">
        <v>8</v>
      </c>
      <c r="L8" s="677">
        <v>17777.25</v>
      </c>
      <c r="M8" s="677">
        <v>17772.985567557611</v>
      </c>
      <c r="N8" s="19">
        <v>7</v>
      </c>
      <c r="O8" s="677">
        <v>18593.142857142899</v>
      </c>
      <c r="P8" s="677">
        <v>18587.361544455343</v>
      </c>
      <c r="Q8" s="19"/>
      <c r="R8" s="677"/>
      <c r="S8" s="436">
        <v>18631.027302025836</v>
      </c>
      <c r="T8" s="11"/>
    </row>
    <row r="9" spans="2:20" x14ac:dyDescent="0.25">
      <c r="B9" s="17" t="s">
        <v>479</v>
      </c>
      <c r="C9" s="19">
        <v>13</v>
      </c>
      <c r="D9" s="677">
        <v>1164.2307692307702</v>
      </c>
      <c r="E9" s="677">
        <v>1202.9581915078852</v>
      </c>
      <c r="F9" s="678">
        <f>+'FedEx Earnings Model'!U27</f>
        <v>984</v>
      </c>
      <c r="G9" s="447">
        <f t="shared" ref="G9:G16" si="0">+F9-E9</f>
        <v>-218.9581915078852</v>
      </c>
      <c r="H9" s="19">
        <v>13</v>
      </c>
      <c r="I9" s="677">
        <v>1934.3076923076899</v>
      </c>
      <c r="J9" s="677">
        <v>1884.926549773427</v>
      </c>
      <c r="K9" s="19">
        <v>5</v>
      </c>
      <c r="L9" s="677">
        <v>1457.6</v>
      </c>
      <c r="M9" s="677">
        <v>1388.6994481508809</v>
      </c>
      <c r="N9" s="19">
        <v>5</v>
      </c>
      <c r="O9" s="677">
        <v>1490</v>
      </c>
      <c r="P9" s="677">
        <v>1476.162704970644</v>
      </c>
      <c r="Q9" s="19"/>
      <c r="R9" s="677"/>
      <c r="S9" s="436">
        <v>1557.8463380430912</v>
      </c>
      <c r="T9" s="11"/>
    </row>
    <row r="10" spans="2:20" x14ac:dyDescent="0.25">
      <c r="B10" s="17" t="s">
        <v>472</v>
      </c>
      <c r="C10" s="19"/>
      <c r="D10" s="679">
        <v>6.5759519997695109E-2</v>
      </c>
      <c r="E10" s="679">
        <v>6.8002715968547331E-2</v>
      </c>
      <c r="F10" s="680">
        <f>+F9/F8</f>
        <v>5.7848324514991181E-2</v>
      </c>
      <c r="G10" s="448">
        <f t="shared" si="0"/>
        <v>-1.015439145355615E-2</v>
      </c>
      <c r="H10" s="19"/>
      <c r="I10" s="679">
        <v>0.10481361554256798</v>
      </c>
      <c r="J10" s="679">
        <v>0.10215914019881592</v>
      </c>
      <c r="K10" s="19"/>
      <c r="L10" s="679">
        <v>8.1992434150388829E-2</v>
      </c>
      <c r="M10" s="679">
        <v>7.8135406281192296E-2</v>
      </c>
      <c r="N10" s="19"/>
      <c r="O10" s="679">
        <v>8.0137070502181884E-2</v>
      </c>
      <c r="P10" s="679">
        <v>7.9417549469843238E-2</v>
      </c>
      <c r="Q10" s="19"/>
      <c r="R10" s="679"/>
      <c r="S10" s="681">
        <v>8.361569723392008E-2</v>
      </c>
      <c r="T10" s="11"/>
    </row>
    <row r="11" spans="2:20" x14ac:dyDescent="0.25">
      <c r="B11" s="17" t="s">
        <v>465</v>
      </c>
      <c r="C11" s="19">
        <v>16</v>
      </c>
      <c r="D11" s="677">
        <v>1962.125</v>
      </c>
      <c r="E11" s="677">
        <v>1798.3425551582409</v>
      </c>
      <c r="F11" s="678">
        <f>+'FedEx Earnings Model'!U36</f>
        <v>1782</v>
      </c>
      <c r="G11" s="447">
        <f t="shared" si="0"/>
        <v>-16.342555158240884</v>
      </c>
      <c r="H11" s="19">
        <v>16</v>
      </c>
      <c r="I11" s="677">
        <v>2745.9375</v>
      </c>
      <c r="J11" s="677">
        <v>2155.1508394288485</v>
      </c>
      <c r="K11" s="19">
        <v>7</v>
      </c>
      <c r="L11" s="677">
        <v>2223.5714285714303</v>
      </c>
      <c r="M11" s="677">
        <v>2044.031164318541</v>
      </c>
      <c r="N11" s="19">
        <v>6</v>
      </c>
      <c r="O11" s="677">
        <v>2312.6666666666697</v>
      </c>
      <c r="P11" s="677">
        <v>2213.6112608268936</v>
      </c>
      <c r="Q11" s="19"/>
      <c r="R11" s="677"/>
      <c r="S11" s="436">
        <v>2302.9137852162576</v>
      </c>
      <c r="T11" s="11"/>
    </row>
    <row r="12" spans="2:20" x14ac:dyDescent="0.25">
      <c r="B12" s="17" t="s">
        <v>466</v>
      </c>
      <c r="C12" s="19">
        <v>13</v>
      </c>
      <c r="D12" s="677">
        <v>1124.9230769230799</v>
      </c>
      <c r="E12" s="677">
        <v>1047.150322591614</v>
      </c>
      <c r="F12" s="678">
        <f>+'FedEx Earnings Model'!U35</f>
        <v>931</v>
      </c>
      <c r="G12" s="447">
        <f t="shared" si="0"/>
        <v>-116.15032259161399</v>
      </c>
      <c r="H12" s="19">
        <v>13</v>
      </c>
      <c r="I12" s="677">
        <v>1936.6923076923101</v>
      </c>
      <c r="J12" s="677">
        <v>1386.4422207261168</v>
      </c>
      <c r="K12" s="19">
        <v>5</v>
      </c>
      <c r="L12" s="677">
        <v>1360.4</v>
      </c>
      <c r="M12" s="677">
        <v>1247.0396495533851</v>
      </c>
      <c r="N12" s="19">
        <v>5</v>
      </c>
      <c r="O12" s="677">
        <v>1447.4</v>
      </c>
      <c r="P12" s="677">
        <v>1397.7502137870636</v>
      </c>
      <c r="Q12" s="19"/>
      <c r="R12" s="677"/>
      <c r="S12" s="436">
        <v>1477.2724031265084</v>
      </c>
      <c r="T12" s="11"/>
    </row>
    <row r="13" spans="2:20" x14ac:dyDescent="0.25">
      <c r="B13" s="17" t="s">
        <v>467</v>
      </c>
      <c r="C13" s="19">
        <v>16</v>
      </c>
      <c r="D13" s="677">
        <v>860</v>
      </c>
      <c r="E13" s="677">
        <v>918.10849355666858</v>
      </c>
      <c r="F13" s="678">
        <f>+'FedEx Earnings Model'!U40</f>
        <v>797</v>
      </c>
      <c r="G13" s="447">
        <f t="shared" si="0"/>
        <v>-121.10849355666858</v>
      </c>
      <c r="H13" s="19">
        <v>16</v>
      </c>
      <c r="I13" s="677">
        <v>1432.3125</v>
      </c>
      <c r="J13" s="677">
        <v>1433.7538766482185</v>
      </c>
      <c r="K13" s="19">
        <v>6</v>
      </c>
      <c r="L13" s="677">
        <v>1054.3333333333301</v>
      </c>
      <c r="M13" s="677">
        <v>1035.5922371650388</v>
      </c>
      <c r="N13" s="19">
        <v>5</v>
      </c>
      <c r="O13" s="677">
        <v>1089.8</v>
      </c>
      <c r="P13" s="677">
        <v>1099.8751603402977</v>
      </c>
      <c r="Q13" s="19"/>
      <c r="R13" s="677"/>
      <c r="S13" s="436">
        <v>1159.5168023448814</v>
      </c>
      <c r="T13" s="11"/>
    </row>
    <row r="14" spans="2:20" x14ac:dyDescent="0.25">
      <c r="B14" s="17" t="s">
        <v>469</v>
      </c>
      <c r="C14" s="19">
        <v>22</v>
      </c>
      <c r="D14" s="682">
        <v>3.25545454545454</v>
      </c>
      <c r="E14" s="682">
        <v>3.4364558700231607</v>
      </c>
      <c r="F14" s="683">
        <f>+'FedEx Earnings Model'!U45</f>
        <v>3.0250123353702505</v>
      </c>
      <c r="G14" s="449">
        <f t="shared" si="0"/>
        <v>-0.41144353465291017</v>
      </c>
      <c r="H14" s="19">
        <v>22</v>
      </c>
      <c r="I14" s="682">
        <v>5.35045454545455</v>
      </c>
      <c r="J14" s="682">
        <v>5.3536379883219816</v>
      </c>
      <c r="K14" s="19">
        <v>13</v>
      </c>
      <c r="L14" s="682">
        <v>3.89307692307692</v>
      </c>
      <c r="M14" s="682">
        <v>3.8890079925431555</v>
      </c>
      <c r="N14" s="19">
        <v>12</v>
      </c>
      <c r="O14" s="682">
        <v>4.1475</v>
      </c>
      <c r="P14" s="682">
        <v>4.1464781490925802</v>
      </c>
      <c r="Q14" s="19"/>
      <c r="R14" s="682"/>
      <c r="S14" s="438">
        <v>4.3761040747138988</v>
      </c>
      <c r="T14" s="11"/>
    </row>
    <row r="15" spans="2:20" x14ac:dyDescent="0.25">
      <c r="B15" s="17" t="s">
        <v>470</v>
      </c>
      <c r="C15" s="19">
        <v>3</v>
      </c>
      <c r="D15" s="677">
        <v>684.33333333333303</v>
      </c>
      <c r="E15" s="677"/>
      <c r="F15" s="678"/>
      <c r="G15" s="447">
        <f t="shared" si="0"/>
        <v>0</v>
      </c>
      <c r="H15" s="19">
        <v>3</v>
      </c>
      <c r="I15" s="677">
        <v>728.66666666666697</v>
      </c>
      <c r="J15" s="677"/>
      <c r="K15" s="19">
        <v>3</v>
      </c>
      <c r="L15" s="677">
        <v>79</v>
      </c>
      <c r="M15" s="677"/>
      <c r="N15" s="19">
        <v>3</v>
      </c>
      <c r="O15" s="677">
        <v>349.33333333333303</v>
      </c>
      <c r="P15" s="677"/>
      <c r="Q15" s="19"/>
      <c r="R15" s="677"/>
      <c r="S15" s="436"/>
      <c r="T15" s="11"/>
    </row>
    <row r="16" spans="2:20" x14ac:dyDescent="0.25">
      <c r="B16" s="18" t="s">
        <v>471</v>
      </c>
      <c r="C16" s="20">
        <v>2</v>
      </c>
      <c r="D16" s="444">
        <v>1483</v>
      </c>
      <c r="E16" s="444">
        <v>1432.8782626447824</v>
      </c>
      <c r="F16" s="510">
        <f>-'FedEx Earnings Model'!U336</f>
        <v>1123</v>
      </c>
      <c r="G16" s="450">
        <f t="shared" si="0"/>
        <v>-309.87826264478235</v>
      </c>
      <c r="H16" s="20">
        <v>2</v>
      </c>
      <c r="I16" s="444">
        <v>1483</v>
      </c>
      <c r="J16" s="444">
        <v>1512.6429842075888</v>
      </c>
      <c r="K16" s="20">
        <v>2</v>
      </c>
      <c r="L16" s="444">
        <v>1602.5</v>
      </c>
      <c r="M16" s="444">
        <v>1394.0911928714816</v>
      </c>
      <c r="N16" s="20">
        <v>2</v>
      </c>
      <c r="O16" s="444">
        <v>1602.5</v>
      </c>
      <c r="P16" s="444">
        <v>1501.1730265426472</v>
      </c>
      <c r="Q16" s="20"/>
      <c r="R16" s="444"/>
      <c r="S16" s="439">
        <v>1500.6547969351652</v>
      </c>
      <c r="T16" s="11"/>
    </row>
    <row r="17" spans="2:20" ht="6" customHeight="1" x14ac:dyDescent="0.25"/>
    <row r="18" spans="2:20" ht="16.899999999999999" customHeight="1" x14ac:dyDescent="0.25">
      <c r="B18" s="787" t="s">
        <v>474</v>
      </c>
      <c r="C18" s="788"/>
      <c r="D18" s="788"/>
      <c r="E18" s="788"/>
      <c r="F18" s="788"/>
      <c r="G18" s="788"/>
      <c r="H18" s="788"/>
      <c r="I18" s="788"/>
      <c r="J18" s="788"/>
      <c r="K18" s="788"/>
      <c r="L18" s="788"/>
      <c r="M18" s="788"/>
      <c r="N18" s="788"/>
      <c r="O18" s="788"/>
      <c r="P18" s="788"/>
      <c r="Q18" s="788"/>
      <c r="R18" s="788"/>
      <c r="S18" s="789"/>
    </row>
    <row r="19" spans="2:20" ht="16.899999999999999" customHeight="1" x14ac:dyDescent="0.25">
      <c r="B19" s="445"/>
      <c r="C19" s="455"/>
      <c r="D19" s="456"/>
      <c r="E19" s="673" t="s">
        <v>756</v>
      </c>
      <c r="F19" s="456"/>
      <c r="G19" s="456"/>
      <c r="H19" s="790" t="s">
        <v>461</v>
      </c>
      <c r="I19" s="791"/>
      <c r="J19" s="791"/>
      <c r="K19" s="790" t="s">
        <v>475</v>
      </c>
      <c r="L19" s="791"/>
      <c r="M19" s="791"/>
      <c r="N19" s="791" t="s">
        <v>526</v>
      </c>
      <c r="O19" s="791"/>
      <c r="P19" s="792"/>
      <c r="Q19" s="791" t="s">
        <v>755</v>
      </c>
      <c r="R19" s="791"/>
      <c r="S19" s="793"/>
    </row>
    <row r="20" spans="2:20" ht="33.6" customHeight="1" x14ac:dyDescent="0.25">
      <c r="B20" s="555" t="s">
        <v>92</v>
      </c>
      <c r="C20" s="25" t="s">
        <v>93</v>
      </c>
      <c r="D20" s="440" t="s">
        <v>68</v>
      </c>
      <c r="E20" s="440" t="s">
        <v>476</v>
      </c>
      <c r="F20" s="440"/>
      <c r="G20" s="26"/>
      <c r="H20" s="21" t="s">
        <v>93</v>
      </c>
      <c r="I20" s="23" t="s">
        <v>68</v>
      </c>
      <c r="J20" s="23" t="s">
        <v>476</v>
      </c>
      <c r="K20" s="21" t="s">
        <v>93</v>
      </c>
      <c r="L20" s="23" t="s">
        <v>68</v>
      </c>
      <c r="M20" s="23" t="s">
        <v>476</v>
      </c>
      <c r="N20" s="21" t="s">
        <v>93</v>
      </c>
      <c r="O20" s="23" t="s">
        <v>68</v>
      </c>
      <c r="P20" s="23" t="s">
        <v>476</v>
      </c>
      <c r="Q20" s="21" t="s">
        <v>93</v>
      </c>
      <c r="R20" s="23" t="s">
        <v>68</v>
      </c>
      <c r="S20" s="23" t="s">
        <v>476</v>
      </c>
      <c r="T20" s="10"/>
    </row>
    <row r="21" spans="2:20" x14ac:dyDescent="0.25">
      <c r="B21" s="17" t="s">
        <v>464</v>
      </c>
      <c r="C21" s="521"/>
      <c r="D21" s="522"/>
      <c r="E21" s="441">
        <f>+'FedEx Earnings Model'!$U$13</f>
        <v>17010</v>
      </c>
      <c r="F21" s="451"/>
      <c r="G21" s="452"/>
      <c r="H21" s="19">
        <v>17</v>
      </c>
      <c r="I21" s="441">
        <v>17907</v>
      </c>
      <c r="J21" s="441">
        <f>+'FedEx Earnings Model'!$V$13</f>
        <v>17807</v>
      </c>
      <c r="K21" s="19">
        <v>8</v>
      </c>
      <c r="L21" s="441">
        <v>17567</v>
      </c>
      <c r="M21" s="441">
        <f>+'FedEx Earnings Model'!$X$13</f>
        <v>17100</v>
      </c>
      <c r="N21" s="19">
        <v>8</v>
      </c>
      <c r="O21" s="441">
        <v>18415</v>
      </c>
      <c r="P21" s="441">
        <f>+'FedEx Earnings Model'!$Y$13</f>
        <v>18100.000000000004</v>
      </c>
      <c r="Q21" s="19">
        <v>8</v>
      </c>
      <c r="R21" s="441">
        <v>18067</v>
      </c>
      <c r="S21" s="436">
        <f>+'FedEx Earnings Model'!$Z$13</f>
        <v>17800</v>
      </c>
      <c r="T21" s="11"/>
    </row>
    <row r="22" spans="2:20" x14ac:dyDescent="0.25">
      <c r="B22" s="17" t="s">
        <v>468</v>
      </c>
      <c r="C22" s="521"/>
      <c r="D22" s="522"/>
      <c r="E22" s="441">
        <f>+'FedEx Earnings Model'!$U$27</f>
        <v>984</v>
      </c>
      <c r="F22" s="441"/>
      <c r="G22" s="452"/>
      <c r="H22" s="19">
        <v>12</v>
      </c>
      <c r="I22" s="441">
        <v>1702</v>
      </c>
      <c r="J22" s="441">
        <f>+'FedEx Earnings Model'!$V$27</f>
        <v>1716</v>
      </c>
      <c r="K22" s="19">
        <v>5</v>
      </c>
      <c r="L22" s="441">
        <v>1300.5999999999999</v>
      </c>
      <c r="M22" s="441">
        <f>+'FedEx Earnings Model'!$X$27</f>
        <v>1080.8642782544357</v>
      </c>
      <c r="N22" s="19">
        <v>5</v>
      </c>
      <c r="O22" s="441">
        <v>1415</v>
      </c>
      <c r="P22" s="441">
        <f>+'FedEx Earnings Model'!$Y$27</f>
        <v>1219.4326333762874</v>
      </c>
      <c r="Q22" s="19">
        <v>5</v>
      </c>
      <c r="R22" s="441">
        <v>1245</v>
      </c>
      <c r="S22" s="436">
        <f>+'FedEx Earnings Model'!$Z$27</f>
        <v>1000.054886724909</v>
      </c>
      <c r="T22" s="11"/>
    </row>
    <row r="23" spans="2:20" x14ac:dyDescent="0.25">
      <c r="B23" s="17" t="s">
        <v>472</v>
      </c>
      <c r="C23" s="521"/>
      <c r="D23" s="442"/>
      <c r="E23" s="442">
        <f>+E22/E21</f>
        <v>5.7848324514991181E-2</v>
      </c>
      <c r="F23" s="442"/>
      <c r="G23" s="434"/>
      <c r="H23" s="19"/>
      <c r="I23" s="442">
        <f>+I22/I21</f>
        <v>9.5046629809571681E-2</v>
      </c>
      <c r="J23" s="442">
        <f>+J22/J21</f>
        <v>9.636659740551469E-2</v>
      </c>
      <c r="K23" s="19"/>
      <c r="L23" s="442">
        <f>+L22/L21</f>
        <v>7.4036545796094949E-2</v>
      </c>
      <c r="M23" s="442">
        <f>+M22/M21</f>
        <v>6.3208437324820801E-2</v>
      </c>
      <c r="N23" s="19"/>
      <c r="O23" s="442">
        <f>+O22/O21</f>
        <v>7.6839532989410805E-2</v>
      </c>
      <c r="P23" s="442">
        <f>+P22/P21</f>
        <v>6.7371968694822496E-2</v>
      </c>
      <c r="Q23" s="19"/>
      <c r="R23" s="442">
        <f>+R22/R21</f>
        <v>6.8910167709082856E-2</v>
      </c>
      <c r="S23" s="437">
        <f>+S22/S21</f>
        <v>5.6182858804770169E-2</v>
      </c>
      <c r="T23" s="11"/>
    </row>
    <row r="24" spans="2:20" x14ac:dyDescent="0.25">
      <c r="B24" s="17" t="s">
        <v>465</v>
      </c>
      <c r="C24" s="521"/>
      <c r="D24" s="522"/>
      <c r="E24" s="441">
        <f>+'FedEx Earnings Model'!$U$36</f>
        <v>1782</v>
      </c>
      <c r="F24" s="441"/>
      <c r="G24" s="452"/>
      <c r="H24" s="19">
        <v>15</v>
      </c>
      <c r="I24" s="441">
        <v>2545</v>
      </c>
      <c r="J24" s="441">
        <f>+'FedEx Earnings Model'!$V$36</f>
        <v>-1688</v>
      </c>
      <c r="K24" s="19">
        <v>7</v>
      </c>
      <c r="L24" s="441">
        <v>2101</v>
      </c>
      <c r="M24" s="441">
        <f>+'FedEx Earnings Model'!$X$36</f>
        <v>1751.4791322274405</v>
      </c>
      <c r="N24" s="19">
        <v>7</v>
      </c>
      <c r="O24" s="441">
        <v>2274</v>
      </c>
      <c r="P24" s="441">
        <f>+'FedEx Earnings Model'!$Y$36</f>
        <v>1959.073950508121</v>
      </c>
      <c r="Q24" s="19">
        <v>7</v>
      </c>
      <c r="R24" s="441">
        <v>2050</v>
      </c>
      <c r="S24" s="436">
        <f>+'FedEx Earnings Model'!$Z$36</f>
        <v>1816.2391525757239</v>
      </c>
      <c r="T24" s="11"/>
    </row>
    <row r="25" spans="2:20" x14ac:dyDescent="0.25">
      <c r="B25" s="17" t="s">
        <v>466</v>
      </c>
      <c r="C25" s="521"/>
      <c r="D25" s="522"/>
      <c r="E25" s="441">
        <f>+'FedEx Earnings Model'!$U$35</f>
        <v>931</v>
      </c>
      <c r="F25" s="441"/>
      <c r="G25" s="452"/>
      <c r="H25" s="19">
        <v>13</v>
      </c>
      <c r="I25" s="441">
        <v>1713</v>
      </c>
      <c r="J25" s="441">
        <f>+'FedEx Earnings Model'!$V$35</f>
        <v>-2554</v>
      </c>
      <c r="K25" s="19">
        <v>6</v>
      </c>
      <c r="L25" s="441">
        <v>1281</v>
      </c>
      <c r="M25" s="441">
        <f>+'FedEx Earnings Model'!$X$35</f>
        <v>865.68393379999088</v>
      </c>
      <c r="N25" s="19">
        <v>6</v>
      </c>
      <c r="O25" s="441">
        <v>1410</v>
      </c>
      <c r="P25" s="441">
        <f>+'FedEx Earnings Model'!$Y$35</f>
        <v>1052.6236727201631</v>
      </c>
      <c r="Q25" s="19">
        <v>6</v>
      </c>
      <c r="R25" s="441">
        <v>1178</v>
      </c>
      <c r="S25" s="436">
        <f>+'FedEx Earnings Model'!$Z$35</f>
        <v>899.21939950378544</v>
      </c>
      <c r="T25" s="11"/>
    </row>
    <row r="26" spans="2:20" x14ac:dyDescent="0.25">
      <c r="B26" s="17" t="s">
        <v>467</v>
      </c>
      <c r="C26" s="521"/>
      <c r="D26" s="522"/>
      <c r="E26" s="441">
        <f>+'FedEx Earnings Model'!$U$40</f>
        <v>797</v>
      </c>
      <c r="F26" s="441"/>
      <c r="G26" s="452"/>
      <c r="H26" s="19">
        <v>15</v>
      </c>
      <c r="I26" s="441">
        <v>1301</v>
      </c>
      <c r="J26" s="441">
        <f>+'FedEx Earnings Model'!$V$40</f>
        <v>1319.5</v>
      </c>
      <c r="K26" s="19">
        <v>7</v>
      </c>
      <c r="L26" s="441">
        <v>1005</v>
      </c>
      <c r="M26" s="441">
        <f>+'FedEx Earnings Model'!$X$40</f>
        <v>828.45162902599293</v>
      </c>
      <c r="N26" s="19">
        <v>7</v>
      </c>
      <c r="O26" s="441">
        <v>1085</v>
      </c>
      <c r="P26" s="441">
        <f>+'FedEx Earnings Model'!$Y$40</f>
        <v>934.59522799452566</v>
      </c>
      <c r="Q26" s="19">
        <v>7</v>
      </c>
      <c r="R26" s="441">
        <v>976</v>
      </c>
      <c r="S26" s="436">
        <f>+'FedEx Earnings Model'!$Z$40</f>
        <v>766.5779376179147</v>
      </c>
      <c r="T26" s="11"/>
    </row>
    <row r="27" spans="2:20" x14ac:dyDescent="0.25">
      <c r="B27" s="17" t="s">
        <v>469</v>
      </c>
      <c r="C27" s="521"/>
      <c r="D27" s="523"/>
      <c r="E27" s="443">
        <f>+'FedEx Earnings Model'!$U$45</f>
        <v>3.0250123353702505</v>
      </c>
      <c r="F27" s="443"/>
      <c r="G27" s="453"/>
      <c r="H27" s="19">
        <v>21</v>
      </c>
      <c r="I27" s="443">
        <v>4.93</v>
      </c>
      <c r="J27" s="443">
        <f>+'FedEx Earnings Model'!$V$45</f>
        <v>5.0132978723404253</v>
      </c>
      <c r="K27" s="19">
        <v>13</v>
      </c>
      <c r="L27" s="443">
        <v>3.66</v>
      </c>
      <c r="M27" s="443">
        <f>+'FedEx Earnings Model'!$X$45</f>
        <v>3.1820765476796402</v>
      </c>
      <c r="N27" s="19">
        <v>13</v>
      </c>
      <c r="O27" s="443">
        <v>4.0599999999999996</v>
      </c>
      <c r="P27" s="443">
        <f>+'FedEx Earnings Model'!$Y$45</f>
        <v>3.6121778067531731</v>
      </c>
      <c r="Q27" s="19">
        <v>13</v>
      </c>
      <c r="R27" s="443">
        <v>3.49</v>
      </c>
      <c r="S27" s="438">
        <f>+'FedEx Earnings Model'!$Z$45</f>
        <v>2.9844190321116479</v>
      </c>
      <c r="T27" s="11"/>
    </row>
    <row r="28" spans="2:20" x14ac:dyDescent="0.25">
      <c r="B28" s="17" t="s">
        <v>470</v>
      </c>
      <c r="C28" s="521"/>
      <c r="D28" s="522"/>
      <c r="E28" s="441"/>
      <c r="F28" s="441"/>
      <c r="G28" s="452"/>
      <c r="H28" s="19"/>
      <c r="I28" s="441"/>
      <c r="J28" s="441"/>
      <c r="K28" s="19"/>
      <c r="L28" s="441"/>
      <c r="M28" s="441"/>
      <c r="N28" s="19"/>
      <c r="O28" s="441"/>
      <c r="P28" s="441"/>
      <c r="Q28" s="19"/>
      <c r="R28" s="441"/>
      <c r="S28" s="436"/>
      <c r="T28" s="11"/>
    </row>
    <row r="29" spans="2:20" x14ac:dyDescent="0.25">
      <c r="B29" s="18" t="s">
        <v>471</v>
      </c>
      <c r="C29" s="524"/>
      <c r="D29" s="525"/>
      <c r="E29" s="444">
        <f>-'FedEx Earnings Model'!$U$336</f>
        <v>1123</v>
      </c>
      <c r="F29" s="444"/>
      <c r="G29" s="454"/>
      <c r="H29" s="20">
        <v>2</v>
      </c>
      <c r="I29" s="444">
        <v>1843</v>
      </c>
      <c r="J29" s="444">
        <f>-'FedEx Earnings Model'!$V$336</f>
        <v>1733</v>
      </c>
      <c r="K29" s="524">
        <v>2</v>
      </c>
      <c r="L29" s="444"/>
      <c r="M29" s="444">
        <v>1513</v>
      </c>
      <c r="N29" s="20">
        <v>2</v>
      </c>
      <c r="O29" s="444">
        <v>1513</v>
      </c>
      <c r="P29" s="444">
        <f>-'FedEx Earnings Model'!$Y$336</f>
        <v>1463.8435205515955</v>
      </c>
      <c r="Q29" s="20">
        <v>2</v>
      </c>
      <c r="R29" s="444">
        <v>1513</v>
      </c>
      <c r="S29" s="439">
        <f>-'FedEx Earnings Model'!$Z$336</f>
        <v>1436.2159400027833</v>
      </c>
      <c r="T29" s="11"/>
    </row>
    <row r="30" spans="2:20" ht="8.4499999999999993" customHeight="1" x14ac:dyDescent="0.25">
      <c r="C30" s="8"/>
      <c r="D30" s="8"/>
      <c r="E30" s="8"/>
      <c r="F30" s="8"/>
      <c r="G30" s="8"/>
      <c r="H30" s="8"/>
      <c r="I30" s="8"/>
      <c r="J30" s="8"/>
      <c r="M30" s="8"/>
      <c r="N30" s="7"/>
      <c r="P30" s="8"/>
      <c r="Q30" s="7"/>
      <c r="S30" s="8"/>
    </row>
    <row r="31" spans="2:20" ht="16.899999999999999" customHeight="1" x14ac:dyDescent="0.25">
      <c r="B31" s="794" t="s">
        <v>482</v>
      </c>
      <c r="C31" s="795"/>
      <c r="D31" s="795"/>
      <c r="E31" s="795"/>
      <c r="F31" s="795"/>
      <c r="G31" s="795"/>
      <c r="H31" s="795"/>
      <c r="I31" s="795"/>
      <c r="J31" s="795"/>
      <c r="K31" s="795"/>
      <c r="L31" s="795"/>
      <c r="M31" s="795"/>
      <c r="N31" s="795"/>
      <c r="O31" s="795"/>
      <c r="P31" s="795"/>
      <c r="Q31" s="795"/>
      <c r="R31" s="795"/>
      <c r="S31" s="796"/>
    </row>
    <row r="32" spans="2:20" ht="16.899999999999999" customHeight="1" x14ac:dyDescent="0.25">
      <c r="B32" s="445"/>
      <c r="C32" s="455"/>
      <c r="D32" s="456"/>
      <c r="E32" s="673" t="s">
        <v>756</v>
      </c>
      <c r="F32" s="456"/>
      <c r="G32" s="456"/>
      <c r="H32" s="790" t="s">
        <v>461</v>
      </c>
      <c r="I32" s="791"/>
      <c r="J32" s="791"/>
      <c r="K32" s="790" t="s">
        <v>475</v>
      </c>
      <c r="L32" s="791"/>
      <c r="M32" s="791"/>
      <c r="N32" s="791" t="s">
        <v>526</v>
      </c>
      <c r="O32" s="791"/>
      <c r="P32" s="792"/>
      <c r="Q32" s="791" t="s">
        <v>755</v>
      </c>
      <c r="R32" s="791"/>
      <c r="S32" s="793"/>
    </row>
    <row r="33" spans="2:20" ht="33.6" customHeight="1" x14ac:dyDescent="0.25">
      <c r="B33" s="555" t="s">
        <v>92</v>
      </c>
      <c r="C33" s="25"/>
      <c r="D33" s="440" t="s">
        <v>68</v>
      </c>
      <c r="E33" s="440" t="s">
        <v>476</v>
      </c>
      <c r="F33" s="23"/>
      <c r="G33" s="22"/>
      <c r="H33" s="21"/>
      <c r="I33" s="23" t="s">
        <v>68</v>
      </c>
      <c r="J33" s="23" t="s">
        <v>476</v>
      </c>
      <c r="K33" s="21"/>
      <c r="L33" s="23" t="s">
        <v>68</v>
      </c>
      <c r="M33" s="23" t="s">
        <v>476</v>
      </c>
      <c r="N33" s="21"/>
      <c r="O33" s="23" t="s">
        <v>68</v>
      </c>
      <c r="P33" s="23" t="s">
        <v>476</v>
      </c>
      <c r="Q33" s="21"/>
      <c r="R33" s="23" t="s">
        <v>68</v>
      </c>
      <c r="S33" s="24" t="s">
        <v>476</v>
      </c>
      <c r="T33" s="10"/>
    </row>
    <row r="34" spans="2:20" x14ac:dyDescent="0.25">
      <c r="B34" s="17" t="s">
        <v>464</v>
      </c>
      <c r="C34" s="19"/>
      <c r="D34" s="441">
        <f>+F8-D8</f>
        <v>-694.36842105260075</v>
      </c>
      <c r="E34" s="441">
        <f>+E21-E8</f>
        <v>-679.85509438002919</v>
      </c>
      <c r="F34" s="451"/>
      <c r="G34" s="452"/>
      <c r="H34" s="19"/>
      <c r="I34" s="441">
        <f>+I21-I8</f>
        <v>-547.73684210529973</v>
      </c>
      <c r="J34" s="441">
        <f>+J21-J8</f>
        <v>-643.88502218301073</v>
      </c>
      <c r="K34" s="19"/>
      <c r="L34" s="441">
        <f>+L21-L8</f>
        <v>-210.25</v>
      </c>
      <c r="M34" s="441">
        <f>+M21-M8</f>
        <v>-672.98556755761092</v>
      </c>
      <c r="N34" s="19"/>
      <c r="O34" s="441">
        <f>+O21-O8</f>
        <v>-178.14285714289872</v>
      </c>
      <c r="P34" s="441">
        <f>+P21-P8</f>
        <v>-487.36154445533975</v>
      </c>
      <c r="Q34" s="19"/>
      <c r="R34" s="441"/>
      <c r="S34" s="436">
        <f>+S21-S8</f>
        <v>-831.02730202583552</v>
      </c>
      <c r="T34" s="11"/>
    </row>
    <row r="35" spans="2:20" x14ac:dyDescent="0.25">
      <c r="B35" s="17" t="s">
        <v>468</v>
      </c>
      <c r="C35" s="19"/>
      <c r="D35" s="441">
        <f t="shared" ref="D35:D42" si="1">+F9-D9</f>
        <v>-180.23076923077019</v>
      </c>
      <c r="E35" s="441">
        <f t="shared" ref="E35:E42" si="2">+E22-E9</f>
        <v>-218.9581915078852</v>
      </c>
      <c r="F35" s="441"/>
      <c r="G35" s="452"/>
      <c r="H35" s="19"/>
      <c r="I35" s="441">
        <f t="shared" ref="I35:J42" si="3">+I22-I9</f>
        <v>-232.30769230768988</v>
      </c>
      <c r="J35" s="441">
        <f t="shared" si="3"/>
        <v>-168.92654977342704</v>
      </c>
      <c r="K35" s="19"/>
      <c r="L35" s="441">
        <f t="shared" ref="L35:M42" si="4">+L22-L9</f>
        <v>-157</v>
      </c>
      <c r="M35" s="441">
        <f t="shared" si="4"/>
        <v>-307.83516989644522</v>
      </c>
      <c r="N35" s="19"/>
      <c r="O35" s="441">
        <f t="shared" ref="O35:P42" si="5">+O22-O9</f>
        <v>-75</v>
      </c>
      <c r="P35" s="441">
        <f t="shared" si="5"/>
        <v>-256.73007159435656</v>
      </c>
      <c r="Q35" s="19"/>
      <c r="R35" s="441"/>
      <c r="S35" s="436">
        <f t="shared" ref="S35:S42" si="6">+S22-S9</f>
        <v>-557.79145131818223</v>
      </c>
      <c r="T35" s="11"/>
    </row>
    <row r="36" spans="2:20" x14ac:dyDescent="0.25">
      <c r="B36" s="17" t="s">
        <v>472</v>
      </c>
      <c r="C36" s="19"/>
      <c r="D36" s="441">
        <f t="shared" si="1"/>
        <v>-7.9111954827039283E-3</v>
      </c>
      <c r="E36" s="442">
        <f t="shared" si="2"/>
        <v>-1.015439145355615E-2</v>
      </c>
      <c r="F36" s="442"/>
      <c r="G36" s="434"/>
      <c r="H36" s="19"/>
      <c r="I36" s="442">
        <f t="shared" si="3"/>
        <v>-9.7669857329962945E-3</v>
      </c>
      <c r="J36" s="442">
        <f t="shared" si="3"/>
        <v>-5.792542793301228E-3</v>
      </c>
      <c r="K36" s="19"/>
      <c r="L36" s="442">
        <f t="shared" si="4"/>
        <v>-7.9558883542938802E-3</v>
      </c>
      <c r="M36" s="442">
        <f t="shared" si="4"/>
        <v>-1.4926968956371495E-2</v>
      </c>
      <c r="N36" s="19"/>
      <c r="O36" s="442">
        <f t="shared" si="5"/>
        <v>-3.2975375127710788E-3</v>
      </c>
      <c r="P36" s="442">
        <f t="shared" si="5"/>
        <v>-1.2045580775020742E-2</v>
      </c>
      <c r="Q36" s="19"/>
      <c r="R36" s="442"/>
      <c r="S36" s="437">
        <f t="shared" si="6"/>
        <v>-2.7432838429149911E-2</v>
      </c>
      <c r="T36" s="11"/>
    </row>
    <row r="37" spans="2:20" x14ac:dyDescent="0.25">
      <c r="B37" s="17" t="s">
        <v>465</v>
      </c>
      <c r="C37" s="19"/>
      <c r="D37" s="441">
        <f t="shared" si="1"/>
        <v>-180.125</v>
      </c>
      <c r="E37" s="441">
        <f t="shared" si="2"/>
        <v>-16.342555158240884</v>
      </c>
      <c r="F37" s="441"/>
      <c r="G37" s="452"/>
      <c r="H37" s="19"/>
      <c r="I37" s="441">
        <f t="shared" si="3"/>
        <v>-200.9375</v>
      </c>
      <c r="J37" s="441">
        <f t="shared" si="3"/>
        <v>-3843.1508394288485</v>
      </c>
      <c r="K37" s="19"/>
      <c r="L37" s="441">
        <f t="shared" si="4"/>
        <v>-122.57142857143026</v>
      </c>
      <c r="M37" s="441">
        <f t="shared" si="4"/>
        <v>-292.5520320911005</v>
      </c>
      <c r="N37" s="19"/>
      <c r="O37" s="441">
        <f t="shared" si="5"/>
        <v>-38.666666666669698</v>
      </c>
      <c r="P37" s="441">
        <f t="shared" si="5"/>
        <v>-254.5373103187726</v>
      </c>
      <c r="Q37" s="19"/>
      <c r="R37" s="441"/>
      <c r="S37" s="436">
        <f t="shared" si="6"/>
        <v>-486.67463264053367</v>
      </c>
      <c r="T37" s="11"/>
    </row>
    <row r="38" spans="2:20" x14ac:dyDescent="0.25">
      <c r="B38" s="17" t="s">
        <v>466</v>
      </c>
      <c r="C38" s="19"/>
      <c r="D38" s="441">
        <f t="shared" si="1"/>
        <v>-193.92307692307986</v>
      </c>
      <c r="E38" s="441">
        <f t="shared" si="2"/>
        <v>-116.15032259161399</v>
      </c>
      <c r="F38" s="441"/>
      <c r="G38" s="452"/>
      <c r="H38" s="19"/>
      <c r="I38" s="441">
        <f t="shared" si="3"/>
        <v>-223.69230769231012</v>
      </c>
      <c r="J38" s="441">
        <f t="shared" si="3"/>
        <v>-3940.4422207261168</v>
      </c>
      <c r="K38" s="19"/>
      <c r="L38" s="441">
        <f t="shared" si="4"/>
        <v>-79.400000000000091</v>
      </c>
      <c r="M38" s="441">
        <f t="shared" si="4"/>
        <v>-381.35571575339418</v>
      </c>
      <c r="N38" s="19"/>
      <c r="O38" s="441">
        <f t="shared" si="5"/>
        <v>-37.400000000000091</v>
      </c>
      <c r="P38" s="441">
        <f t="shared" si="5"/>
        <v>-345.12654106690047</v>
      </c>
      <c r="Q38" s="19"/>
      <c r="R38" s="441"/>
      <c r="S38" s="436">
        <f t="shared" si="6"/>
        <v>-578.05300362272294</v>
      </c>
      <c r="T38" s="11"/>
    </row>
    <row r="39" spans="2:20" x14ac:dyDescent="0.25">
      <c r="B39" s="17" t="s">
        <v>467</v>
      </c>
      <c r="C39" s="19"/>
      <c r="D39" s="441">
        <f t="shared" si="1"/>
        <v>-63</v>
      </c>
      <c r="E39" s="441">
        <f t="shared" si="2"/>
        <v>-121.10849355666858</v>
      </c>
      <c r="F39" s="441"/>
      <c r="G39" s="452"/>
      <c r="H39" s="19"/>
      <c r="I39" s="441">
        <f t="shared" si="3"/>
        <v>-131.3125</v>
      </c>
      <c r="J39" s="441">
        <f t="shared" si="3"/>
        <v>-114.25387664821847</v>
      </c>
      <c r="K39" s="19"/>
      <c r="L39" s="441">
        <f t="shared" si="4"/>
        <v>-49.333333333330074</v>
      </c>
      <c r="M39" s="441">
        <f t="shared" si="4"/>
        <v>-207.14060813904587</v>
      </c>
      <c r="N39" s="19"/>
      <c r="O39" s="441">
        <f t="shared" si="5"/>
        <v>-4.7999999999999545</v>
      </c>
      <c r="P39" s="441">
        <f t="shared" si="5"/>
        <v>-165.27993234577207</v>
      </c>
      <c r="Q39" s="19"/>
      <c r="R39" s="441"/>
      <c r="S39" s="436">
        <f t="shared" si="6"/>
        <v>-392.9388647269667</v>
      </c>
      <c r="T39" s="11"/>
    </row>
    <row r="40" spans="2:20" x14ac:dyDescent="0.25">
      <c r="B40" s="17" t="s">
        <v>469</v>
      </c>
      <c r="C40" s="19"/>
      <c r="D40" s="443">
        <f t="shared" si="1"/>
        <v>-0.23044221008428956</v>
      </c>
      <c r="E40" s="443">
        <f t="shared" si="2"/>
        <v>-0.41144353465291017</v>
      </c>
      <c r="F40" s="443"/>
      <c r="G40" s="453"/>
      <c r="H40" s="19"/>
      <c r="I40" s="443">
        <f t="shared" si="3"/>
        <v>-0.4204545454545503</v>
      </c>
      <c r="J40" s="443">
        <f t="shared" si="3"/>
        <v>-0.34034011598155622</v>
      </c>
      <c r="K40" s="19"/>
      <c r="L40" s="443">
        <f t="shared" si="4"/>
        <v>-0.23307692307691985</v>
      </c>
      <c r="M40" s="443">
        <f t="shared" si="4"/>
        <v>-0.70693144486351533</v>
      </c>
      <c r="N40" s="19"/>
      <c r="O40" s="443">
        <f t="shared" si="5"/>
        <v>-8.7500000000000355E-2</v>
      </c>
      <c r="P40" s="443">
        <f t="shared" si="5"/>
        <v>-0.53430034233940704</v>
      </c>
      <c r="Q40" s="19"/>
      <c r="R40" s="443"/>
      <c r="S40" s="438">
        <f t="shared" si="6"/>
        <v>-1.3916850426022509</v>
      </c>
      <c r="T40" s="11"/>
    </row>
    <row r="41" spans="2:20" x14ac:dyDescent="0.25">
      <c r="B41" s="17" t="s">
        <v>470</v>
      </c>
      <c r="C41" s="19"/>
      <c r="D41" s="441">
        <f t="shared" si="1"/>
        <v>-684.33333333333303</v>
      </c>
      <c r="E41" s="441">
        <f t="shared" si="2"/>
        <v>0</v>
      </c>
      <c r="F41" s="441"/>
      <c r="G41" s="452"/>
      <c r="H41" s="19"/>
      <c r="I41" s="441">
        <f t="shared" si="3"/>
        <v>-728.66666666666697</v>
      </c>
      <c r="J41" s="441">
        <f t="shared" si="3"/>
        <v>0</v>
      </c>
      <c r="K41" s="19"/>
      <c r="L41" s="441">
        <f t="shared" si="4"/>
        <v>-79</v>
      </c>
      <c r="M41" s="441">
        <f t="shared" si="4"/>
        <v>0</v>
      </c>
      <c r="N41" s="19"/>
      <c r="O41" s="441">
        <f t="shared" si="5"/>
        <v>-349.33333333333303</v>
      </c>
      <c r="P41" s="441">
        <f t="shared" si="5"/>
        <v>0</v>
      </c>
      <c r="Q41" s="19"/>
      <c r="R41" s="441"/>
      <c r="S41" s="436">
        <f t="shared" si="6"/>
        <v>0</v>
      </c>
      <c r="T41" s="11"/>
    </row>
    <row r="42" spans="2:20" x14ac:dyDescent="0.25">
      <c r="B42" s="18" t="s">
        <v>471</v>
      </c>
      <c r="C42" s="20"/>
      <c r="D42" s="444">
        <f t="shared" si="1"/>
        <v>-360</v>
      </c>
      <c r="E42" s="444">
        <f t="shared" si="2"/>
        <v>-309.87826264478235</v>
      </c>
      <c r="F42" s="444"/>
      <c r="G42" s="454"/>
      <c r="H42" s="20"/>
      <c r="I42" s="444">
        <f t="shared" si="3"/>
        <v>360</v>
      </c>
      <c r="J42" s="444">
        <f t="shared" si="3"/>
        <v>220.35701579241118</v>
      </c>
      <c r="K42" s="20"/>
      <c r="L42" s="444">
        <f t="shared" si="4"/>
        <v>-1602.5</v>
      </c>
      <c r="M42" s="444">
        <f t="shared" si="4"/>
        <v>118.90880712851845</v>
      </c>
      <c r="N42" s="20"/>
      <c r="O42" s="444">
        <f t="shared" si="5"/>
        <v>-89.5</v>
      </c>
      <c r="P42" s="444">
        <f t="shared" si="5"/>
        <v>-37.329505991051747</v>
      </c>
      <c r="Q42" s="20"/>
      <c r="R42" s="444"/>
      <c r="S42" s="439">
        <f t="shared" si="6"/>
        <v>-64.438856932381896</v>
      </c>
      <c r="T42" s="11"/>
    </row>
    <row r="43" spans="2:20" ht="12.6" customHeight="1" x14ac:dyDescent="0.25">
      <c r="B43" s="7"/>
      <c r="C43" s="8"/>
      <c r="D43" s="8"/>
      <c r="E43" s="8"/>
      <c r="F43" s="8"/>
      <c r="G43" s="8"/>
      <c r="H43" s="8"/>
      <c r="I43" s="8"/>
      <c r="J43" s="8"/>
      <c r="M43" s="8"/>
      <c r="P43" s="8"/>
      <c r="S43" s="8"/>
    </row>
    <row r="44" spans="2:20" ht="21" customHeight="1" x14ac:dyDescent="0.25">
      <c r="B44" s="7"/>
      <c r="C44" s="13"/>
      <c r="D44" s="14"/>
      <c r="E44" s="14"/>
      <c r="F44" s="14"/>
      <c r="G44" s="14"/>
      <c r="H44" s="14"/>
      <c r="I44" s="14"/>
      <c r="J44" s="14"/>
      <c r="L44" s="7"/>
      <c r="M44" s="14"/>
      <c r="P44" s="14"/>
      <c r="S44" s="14"/>
    </row>
    <row r="45" spans="2:20" s="5" customFormat="1" ht="21" customHeight="1" x14ac:dyDescent="0.25">
      <c r="C45" s="14"/>
      <c r="D45" s="14"/>
      <c r="E45" s="14"/>
      <c r="F45" s="14"/>
      <c r="G45" s="14"/>
      <c r="H45" s="14"/>
      <c r="I45" s="14"/>
      <c r="J45" s="14"/>
      <c r="L45" s="783"/>
      <c r="M45" s="783"/>
      <c r="N45" s="783"/>
      <c r="O45" s="783"/>
      <c r="P45" s="783"/>
      <c r="Q45" s="783"/>
      <c r="R45" s="783"/>
      <c r="S45" s="783"/>
      <c r="T45" s="783"/>
    </row>
    <row r="46" spans="2:20" ht="21" customHeight="1" x14ac:dyDescent="0.25">
      <c r="C46" s="8"/>
      <c r="D46" s="12"/>
      <c r="E46" s="12"/>
      <c r="F46" s="12"/>
      <c r="G46" s="12"/>
      <c r="H46" s="12"/>
      <c r="I46" s="12"/>
      <c r="J46" s="12"/>
      <c r="K46" s="9"/>
      <c r="M46" s="12"/>
      <c r="P46" s="12"/>
      <c r="S46" s="12"/>
    </row>
    <row r="47" spans="2:20" ht="21" customHeight="1" x14ac:dyDescent="0.25">
      <c r="C47" s="8"/>
      <c r="D47" s="12"/>
      <c r="E47" s="12"/>
      <c r="F47" s="12"/>
      <c r="G47" s="12"/>
      <c r="H47" s="12"/>
      <c r="I47" s="12"/>
      <c r="J47" s="12"/>
      <c r="K47" s="9"/>
      <c r="M47" s="12"/>
      <c r="P47" s="12"/>
      <c r="S47" s="12"/>
    </row>
    <row r="48" spans="2:20" ht="21" customHeight="1" x14ac:dyDescent="0.25">
      <c r="C48" s="8"/>
      <c r="D48" s="12"/>
      <c r="E48" s="12"/>
      <c r="F48" s="12"/>
      <c r="G48" s="12"/>
      <c r="H48" s="12"/>
      <c r="I48" s="12"/>
      <c r="J48" s="12"/>
      <c r="K48" s="9"/>
      <c r="M48" s="12"/>
      <c r="P48" s="12"/>
      <c r="S48" s="12"/>
    </row>
    <row r="49" spans="3:19" ht="21" customHeight="1" x14ac:dyDescent="0.25">
      <c r="C49" s="8"/>
      <c r="D49" s="12"/>
      <c r="E49" s="12"/>
      <c r="F49" s="12"/>
      <c r="G49" s="12"/>
      <c r="H49" s="12"/>
      <c r="I49" s="12"/>
      <c r="J49" s="12"/>
      <c r="K49" s="9"/>
      <c r="M49" s="12"/>
      <c r="P49" s="12"/>
      <c r="S49" s="12"/>
    </row>
    <row r="50" spans="3:19" ht="21" customHeight="1" x14ac:dyDescent="0.25">
      <c r="C50" s="8"/>
      <c r="D50" s="12"/>
      <c r="E50" s="12"/>
      <c r="F50" s="12"/>
      <c r="G50" s="12"/>
      <c r="H50" s="12"/>
      <c r="I50" s="15"/>
      <c r="J50" s="12"/>
      <c r="K50" s="9"/>
      <c r="M50" s="12"/>
      <c r="P50" s="12"/>
      <c r="S50" s="12"/>
    </row>
    <row r="51" spans="3:19" ht="21" customHeight="1" x14ac:dyDescent="0.25">
      <c r="C51" s="8"/>
      <c r="D51" s="12"/>
      <c r="E51" s="12"/>
      <c r="F51" s="12"/>
      <c r="G51" s="12"/>
      <c r="H51" s="16"/>
      <c r="I51" s="16"/>
      <c r="J51" s="12"/>
      <c r="K51" s="9"/>
      <c r="M51" s="12"/>
      <c r="P51" s="12"/>
      <c r="S51" s="12"/>
    </row>
    <row r="52" spans="3:19" ht="21" customHeight="1" x14ac:dyDescent="0.25">
      <c r="C52" s="8"/>
      <c r="D52" s="12"/>
      <c r="E52" s="12"/>
      <c r="F52" s="12"/>
      <c r="G52" s="12"/>
      <c r="H52" s="16"/>
      <c r="I52" s="16"/>
      <c r="J52" s="12"/>
      <c r="K52" s="9"/>
      <c r="M52" s="12"/>
      <c r="P52" s="12"/>
      <c r="S52" s="12"/>
    </row>
    <row r="53" spans="3:19" ht="21" customHeight="1" x14ac:dyDescent="0.25">
      <c r="C53" s="8"/>
      <c r="D53" s="12"/>
      <c r="E53" s="12"/>
      <c r="F53" s="12"/>
      <c r="G53" s="12"/>
      <c r="H53" s="16"/>
      <c r="I53" s="16"/>
      <c r="J53" s="12"/>
      <c r="K53" s="9"/>
      <c r="M53" s="12"/>
      <c r="P53" s="12"/>
      <c r="S53" s="12"/>
    </row>
    <row r="54" spans="3:19" ht="21" customHeight="1" x14ac:dyDescent="0.25">
      <c r="D54" s="1"/>
      <c r="E54" s="1"/>
      <c r="F54" s="1"/>
      <c r="G54" s="1"/>
      <c r="H54" s="2"/>
      <c r="I54" s="2"/>
      <c r="J54" s="1"/>
      <c r="K54" s="9"/>
      <c r="M54" s="1"/>
      <c r="P54" s="1"/>
      <c r="S54" s="1"/>
    </row>
    <row r="55" spans="3:19" ht="21" customHeight="1" x14ac:dyDescent="0.25">
      <c r="D55" s="1"/>
      <c r="E55" s="1"/>
      <c r="F55" s="1"/>
      <c r="G55" s="1"/>
      <c r="H55" s="2"/>
      <c r="I55" s="2"/>
      <c r="J55" s="1"/>
      <c r="K55" s="9"/>
      <c r="M55" s="1"/>
      <c r="P55" s="1"/>
      <c r="S55" s="1"/>
    </row>
  </sheetData>
  <mergeCells count="12">
    <mergeCell ref="L45:T45"/>
    <mergeCell ref="B5:S5"/>
    <mergeCell ref="B18:S18"/>
    <mergeCell ref="H19:J19"/>
    <mergeCell ref="K19:M19"/>
    <mergeCell ref="N19:P19"/>
    <mergeCell ref="Q19:S19"/>
    <mergeCell ref="B31:S31"/>
    <mergeCell ref="H32:J32"/>
    <mergeCell ref="K32:M32"/>
    <mergeCell ref="N32:P32"/>
    <mergeCell ref="Q32:S32"/>
  </mergeCells>
  <pageMargins left="0.7" right="0.7" top="0.75" bottom="0.75" header="0.3" footer="0.3"/>
  <pageSetup orientation="portrait" horizontalDpi="200" verticalDpi="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5D483-DC76-4705-B2E8-6A8B43933677}">
  <dimension ref="B1:P31"/>
  <sheetViews>
    <sheetView showGridLines="0" zoomScaleNormal="100" workbookViewId="0">
      <selection activeCell="H48" sqref="H48"/>
    </sheetView>
  </sheetViews>
  <sheetFormatPr defaultColWidth="9.140625" defaultRowHeight="15" x14ac:dyDescent="0.25"/>
  <cols>
    <col min="1" max="1" width="1.140625" style="6" customWidth="1"/>
    <col min="2" max="2" width="34.5703125" style="6" customWidth="1"/>
    <col min="3" max="7" width="12.28515625" style="6" customWidth="1"/>
    <col min="8" max="8" width="11.140625" style="6" customWidth="1"/>
    <col min="9" max="9" width="10.85546875" style="6" customWidth="1"/>
    <col min="10" max="10" width="11.140625" style="6" customWidth="1"/>
    <col min="11" max="11" width="10.85546875" style="6" customWidth="1"/>
    <col min="12" max="12" width="11.140625" style="6" customWidth="1"/>
    <col min="13" max="13" width="10.85546875" style="6" customWidth="1"/>
    <col min="14" max="14" width="11.140625" style="6" customWidth="1"/>
    <col min="15" max="15" width="10.7109375" style="6" customWidth="1"/>
    <col min="16" max="16" width="1.140625" style="6" customWidth="1"/>
    <col min="17" max="16384" width="9.140625" style="6"/>
  </cols>
  <sheetData>
    <row r="1" spans="2:16" x14ac:dyDescent="0.25">
      <c r="B1" s="6" t="s">
        <v>747</v>
      </c>
    </row>
    <row r="2" spans="2:16" x14ac:dyDescent="0.25">
      <c r="B2" s="6" t="s">
        <v>457</v>
      </c>
    </row>
    <row r="3" spans="2:16" ht="5.45" customHeight="1" x14ac:dyDescent="0.25">
      <c r="I3" s="1"/>
      <c r="J3" s="2"/>
      <c r="K3" s="2"/>
      <c r="L3" s="9"/>
    </row>
    <row r="4" spans="2:16" ht="16.899999999999999" customHeight="1" x14ac:dyDescent="0.25">
      <c r="B4" s="803" t="s">
        <v>91</v>
      </c>
      <c r="C4" s="804"/>
      <c r="D4" s="804"/>
      <c r="E4" s="804"/>
      <c r="F4" s="804"/>
      <c r="G4" s="804"/>
      <c r="H4" s="804"/>
      <c r="I4" s="804"/>
      <c r="J4" s="804"/>
      <c r="K4" s="804"/>
      <c r="L4" s="804"/>
      <c r="M4" s="804"/>
      <c r="N4" s="804"/>
      <c r="O4" s="805"/>
    </row>
    <row r="5" spans="2:16" ht="16.899999999999999" customHeight="1" x14ac:dyDescent="0.25">
      <c r="B5" s="797" t="s">
        <v>92</v>
      </c>
      <c r="C5" s="800" t="s">
        <v>524</v>
      </c>
      <c r="D5" s="801"/>
      <c r="E5" s="801"/>
      <c r="F5" s="801"/>
      <c r="G5" s="802"/>
      <c r="H5" s="579" t="s">
        <v>369</v>
      </c>
      <c r="I5" s="580"/>
      <c r="J5" s="579" t="s">
        <v>370</v>
      </c>
      <c r="K5" s="580"/>
      <c r="L5" s="579" t="s">
        <v>371</v>
      </c>
      <c r="M5" s="580"/>
      <c r="N5" s="579" t="s">
        <v>372</v>
      </c>
      <c r="O5" s="581"/>
      <c r="P5" s="10"/>
    </row>
    <row r="6" spans="2:16" ht="16.899999999999999" customHeight="1" x14ac:dyDescent="0.25">
      <c r="B6" s="806"/>
      <c r="C6" s="566" t="s">
        <v>112</v>
      </c>
      <c r="D6" s="566" t="s">
        <v>113</v>
      </c>
      <c r="E6" s="566" t="s">
        <v>114</v>
      </c>
      <c r="F6" s="637" t="s">
        <v>492</v>
      </c>
      <c r="G6" s="637" t="s">
        <v>734</v>
      </c>
      <c r="H6" s="594" t="s">
        <v>93</v>
      </c>
      <c r="I6" s="575" t="s">
        <v>68</v>
      </c>
      <c r="J6" s="594" t="s">
        <v>93</v>
      </c>
      <c r="K6" s="575" t="s">
        <v>68</v>
      </c>
      <c r="L6" s="594" t="s">
        <v>93</v>
      </c>
      <c r="M6" s="575" t="s">
        <v>68</v>
      </c>
      <c r="N6" s="594" t="s">
        <v>93</v>
      </c>
      <c r="O6" s="576" t="s">
        <v>68</v>
      </c>
      <c r="P6" s="10"/>
    </row>
    <row r="7" spans="2:16" x14ac:dyDescent="0.25">
      <c r="B7" s="567" t="s">
        <v>464</v>
      </c>
      <c r="C7" s="571">
        <v>16313</v>
      </c>
      <c r="D7" s="433">
        <v>16526</v>
      </c>
      <c r="E7" s="433">
        <v>17314</v>
      </c>
      <c r="F7" s="433">
        <v>17052</v>
      </c>
      <c r="G7" s="441">
        <v>17824</v>
      </c>
      <c r="H7" s="595">
        <v>19</v>
      </c>
      <c r="I7" s="664">
        <v>17704.368421052601</v>
      </c>
      <c r="J7" s="595">
        <v>19</v>
      </c>
      <c r="K7" s="664">
        <v>18454.7368421053</v>
      </c>
      <c r="L7" s="595">
        <v>8</v>
      </c>
      <c r="M7" s="664">
        <v>17777.25</v>
      </c>
      <c r="N7" s="595">
        <v>7</v>
      </c>
      <c r="O7" s="664">
        <v>18593.142857142899</v>
      </c>
      <c r="P7" s="11"/>
    </row>
    <row r="8" spans="2:16" x14ac:dyDescent="0.25">
      <c r="B8" s="567" t="s">
        <v>525</v>
      </c>
      <c r="C8" s="572">
        <v>1237</v>
      </c>
      <c r="D8" s="433">
        <v>964</v>
      </c>
      <c r="E8" s="433">
        <v>1835</v>
      </c>
      <c r="F8" s="433">
        <v>1192</v>
      </c>
      <c r="G8" s="441">
        <v>1328</v>
      </c>
      <c r="H8" s="584">
        <v>13</v>
      </c>
      <c r="I8" s="662">
        <v>1164.2307692307702</v>
      </c>
      <c r="J8" s="584">
        <v>13</v>
      </c>
      <c r="K8" s="662">
        <v>1934.3076923076899</v>
      </c>
      <c r="L8" s="584">
        <v>5</v>
      </c>
      <c r="M8" s="662">
        <v>1457.6</v>
      </c>
      <c r="N8" s="584">
        <v>5</v>
      </c>
      <c r="O8" s="662">
        <v>1490</v>
      </c>
      <c r="P8" s="11"/>
    </row>
    <row r="9" spans="2:16" x14ac:dyDescent="0.25">
      <c r="B9" s="567" t="s">
        <v>523</v>
      </c>
      <c r="C9" s="573">
        <f>+C8/C7</f>
        <v>7.5829093361123034E-2</v>
      </c>
      <c r="D9" s="434">
        <f t="shared" ref="D9:O9" si="0">+D8/D7</f>
        <v>5.8332324821493406E-2</v>
      </c>
      <c r="E9" s="434">
        <f t="shared" si="0"/>
        <v>0.10598359708906088</v>
      </c>
      <c r="F9" s="434">
        <f t="shared" si="0"/>
        <v>6.9903823598404885E-2</v>
      </c>
      <c r="G9" s="442">
        <f t="shared" si="0"/>
        <v>7.4506283662477552E-2</v>
      </c>
      <c r="H9" s="584"/>
      <c r="I9" s="586">
        <f t="shared" si="0"/>
        <v>6.5759519997695109E-2</v>
      </c>
      <c r="J9" s="584"/>
      <c r="K9" s="586">
        <f t="shared" si="0"/>
        <v>0.10481361554256798</v>
      </c>
      <c r="L9" s="584"/>
      <c r="M9" s="586">
        <f t="shared" si="0"/>
        <v>8.1992434150388829E-2</v>
      </c>
      <c r="N9" s="584"/>
      <c r="O9" s="586">
        <f t="shared" si="0"/>
        <v>8.0137070502181884E-2</v>
      </c>
      <c r="P9" s="11"/>
    </row>
    <row r="10" spans="2:16" x14ac:dyDescent="0.25">
      <c r="B10" s="567" t="s">
        <v>465</v>
      </c>
      <c r="C10" s="572">
        <v>1895</v>
      </c>
      <c r="D10" s="433">
        <v>1660</v>
      </c>
      <c r="E10" s="433">
        <v>2160</v>
      </c>
      <c r="F10" s="433">
        <v>1909</v>
      </c>
      <c r="G10" s="441">
        <v>2005</v>
      </c>
      <c r="H10" s="584">
        <v>16</v>
      </c>
      <c r="I10" s="662">
        <v>1962.125</v>
      </c>
      <c r="J10" s="584">
        <v>16</v>
      </c>
      <c r="K10" s="662">
        <v>2745.9375</v>
      </c>
      <c r="L10" s="584">
        <v>7</v>
      </c>
      <c r="M10" s="662">
        <v>2223.5714285714303</v>
      </c>
      <c r="N10" s="584">
        <v>6</v>
      </c>
      <c r="O10" s="662">
        <v>2312.6666666666697</v>
      </c>
      <c r="P10" s="11"/>
    </row>
    <row r="11" spans="2:16" x14ac:dyDescent="0.25">
      <c r="B11" s="567" t="s">
        <v>466</v>
      </c>
      <c r="C11" s="572">
        <v>1139</v>
      </c>
      <c r="D11" s="433">
        <v>874</v>
      </c>
      <c r="E11" s="433">
        <v>1358</v>
      </c>
      <c r="F11" s="433">
        <v>1101</v>
      </c>
      <c r="G11" s="441">
        <v>1177</v>
      </c>
      <c r="H11" s="584">
        <v>13</v>
      </c>
      <c r="I11" s="662">
        <v>1124.9230769230799</v>
      </c>
      <c r="J11" s="584">
        <v>13</v>
      </c>
      <c r="K11" s="662">
        <v>1936.6923076923101</v>
      </c>
      <c r="L11" s="584">
        <v>5</v>
      </c>
      <c r="M11" s="662">
        <v>1360.4</v>
      </c>
      <c r="N11" s="584">
        <v>5</v>
      </c>
      <c r="O11" s="662">
        <v>1447.4</v>
      </c>
      <c r="P11" s="11"/>
    </row>
    <row r="12" spans="2:16" x14ac:dyDescent="0.25">
      <c r="B12" s="567" t="s">
        <v>467</v>
      </c>
      <c r="C12" s="572">
        <v>775</v>
      </c>
      <c r="D12" s="433">
        <v>2074</v>
      </c>
      <c r="E12" s="433">
        <v>1127</v>
      </c>
      <c r="F12" s="433">
        <v>835</v>
      </c>
      <c r="G12" s="441">
        <v>935</v>
      </c>
      <c r="H12" s="584">
        <v>16</v>
      </c>
      <c r="I12" s="662">
        <v>860</v>
      </c>
      <c r="J12" s="584">
        <v>16</v>
      </c>
      <c r="K12" s="662">
        <v>1432.3125</v>
      </c>
      <c r="L12" s="584">
        <v>6</v>
      </c>
      <c r="M12" s="662">
        <v>1054.3333333333301</v>
      </c>
      <c r="N12" s="584">
        <v>5</v>
      </c>
      <c r="O12" s="662">
        <v>1089.8</v>
      </c>
      <c r="P12" s="11"/>
    </row>
    <row r="13" spans="2:16" x14ac:dyDescent="0.25">
      <c r="B13" s="567" t="s">
        <v>469</v>
      </c>
      <c r="C13" s="574">
        <v>3.17</v>
      </c>
      <c r="D13" s="435">
        <v>3.72</v>
      </c>
      <c r="E13" s="435">
        <v>5.91</v>
      </c>
      <c r="F13" s="435">
        <v>3.46</v>
      </c>
      <c r="G13" s="443">
        <v>4.03</v>
      </c>
      <c r="H13" s="584">
        <v>22</v>
      </c>
      <c r="I13" s="588">
        <v>3.25545454545454</v>
      </c>
      <c r="J13" s="584">
        <v>22</v>
      </c>
      <c r="K13" s="588">
        <v>5.35045454545455</v>
      </c>
      <c r="L13" s="584">
        <v>13</v>
      </c>
      <c r="M13" s="588">
        <v>3.89307692307692</v>
      </c>
      <c r="N13" s="584">
        <v>12</v>
      </c>
      <c r="O13" s="588">
        <v>4.1475</v>
      </c>
      <c r="P13" s="11"/>
    </row>
    <row r="14" spans="2:16" x14ac:dyDescent="0.25">
      <c r="B14" s="567" t="s">
        <v>470</v>
      </c>
      <c r="C14" s="572"/>
      <c r="D14" s="433"/>
      <c r="E14" s="433"/>
      <c r="F14" s="433"/>
      <c r="G14" s="441"/>
      <c r="H14" s="584">
        <v>3</v>
      </c>
      <c r="I14" s="662">
        <v>684.33333333333303</v>
      </c>
      <c r="J14" s="584">
        <v>3</v>
      </c>
      <c r="K14" s="662">
        <v>728.66666666666697</v>
      </c>
      <c r="L14" s="584">
        <v>3</v>
      </c>
      <c r="M14" s="662">
        <v>79</v>
      </c>
      <c r="N14" s="584">
        <v>3</v>
      </c>
      <c r="O14" s="662">
        <v>349.33333333333303</v>
      </c>
      <c r="P14" s="11"/>
    </row>
    <row r="15" spans="2:16" x14ac:dyDescent="0.25">
      <c r="B15" s="569" t="s">
        <v>471</v>
      </c>
      <c r="C15" s="577">
        <v>1577</v>
      </c>
      <c r="D15" s="578">
        <v>1373</v>
      </c>
      <c r="E15" s="578">
        <v>1669</v>
      </c>
      <c r="F15" s="578">
        <v>1179</v>
      </c>
      <c r="G15" s="660">
        <v>1455</v>
      </c>
      <c r="H15" s="661">
        <v>2</v>
      </c>
      <c r="I15" s="663">
        <v>-1483</v>
      </c>
      <c r="J15" s="661">
        <v>2</v>
      </c>
      <c r="K15" s="663">
        <v>-1483</v>
      </c>
      <c r="L15" s="661">
        <v>2</v>
      </c>
      <c r="M15" s="663">
        <v>-1602.5</v>
      </c>
      <c r="N15" s="661">
        <v>2</v>
      </c>
      <c r="O15" s="663">
        <v>-1602.5</v>
      </c>
      <c r="P15" s="11"/>
    </row>
    <row r="17" spans="3:15" ht="14.45" customHeight="1" x14ac:dyDescent="0.25">
      <c r="C17" s="797" t="s">
        <v>749</v>
      </c>
      <c r="D17" s="798"/>
      <c r="E17" s="799"/>
      <c r="F17" s="7"/>
      <c r="G17" s="7"/>
      <c r="H17" s="8"/>
      <c r="I17" s="596"/>
      <c r="J17" s="8"/>
      <c r="K17" s="596"/>
      <c r="L17" s="596"/>
      <c r="M17" s="596"/>
      <c r="N17" s="596"/>
      <c r="O17" s="596"/>
    </row>
    <row r="18" spans="3:15" ht="14.45" customHeight="1" x14ac:dyDescent="0.25">
      <c r="C18" s="567" t="s">
        <v>725</v>
      </c>
      <c r="D18" s="624">
        <v>0.871</v>
      </c>
      <c r="E18" s="568">
        <v>27</v>
      </c>
      <c r="H18" s="8"/>
      <c r="I18" s="596"/>
      <c r="J18" s="12"/>
      <c r="K18" s="596"/>
      <c r="L18" s="596"/>
      <c r="M18" s="596"/>
      <c r="N18" s="596"/>
      <c r="O18" s="596"/>
    </row>
    <row r="19" spans="3:15" ht="14.45" customHeight="1" x14ac:dyDescent="0.25">
      <c r="C19" s="567" t="s">
        <v>726</v>
      </c>
      <c r="D19" s="624">
        <v>9.7000000000000003E-2</v>
      </c>
      <c r="E19" s="568">
        <v>3</v>
      </c>
      <c r="H19" s="8"/>
      <c r="I19" s="596"/>
      <c r="J19" s="12"/>
      <c r="K19" s="596"/>
      <c r="L19" s="596"/>
      <c r="M19" s="596"/>
      <c r="N19" s="596"/>
      <c r="O19" s="596"/>
    </row>
    <row r="20" spans="3:15" ht="14.45" customHeight="1" x14ac:dyDescent="0.25">
      <c r="C20" s="567" t="s">
        <v>727</v>
      </c>
      <c r="D20" s="624">
        <v>3.2000000000000001E-2</v>
      </c>
      <c r="E20" s="568">
        <v>1</v>
      </c>
      <c r="H20" s="8"/>
      <c r="I20" s="596"/>
      <c r="J20" s="12"/>
      <c r="K20" s="596"/>
      <c r="L20" s="596"/>
      <c r="M20" s="596"/>
      <c r="N20" s="596"/>
      <c r="O20" s="596"/>
    </row>
    <row r="21" spans="3:15" ht="14.45" customHeight="1" x14ac:dyDescent="0.25">
      <c r="C21" s="567" t="s">
        <v>728</v>
      </c>
      <c r="D21" s="506"/>
      <c r="E21" s="625">
        <v>287.73</v>
      </c>
      <c r="H21" s="8"/>
      <c r="I21" s="596"/>
      <c r="J21" s="12"/>
      <c r="K21" s="596"/>
      <c r="L21" s="596"/>
      <c r="M21" s="596"/>
      <c r="N21" s="596"/>
      <c r="O21" s="596"/>
    </row>
    <row r="22" spans="3:15" ht="14.45" customHeight="1" x14ac:dyDescent="0.25">
      <c r="C22" s="567" t="s">
        <v>729</v>
      </c>
      <c r="D22" s="506"/>
      <c r="E22" s="625">
        <v>223.4</v>
      </c>
      <c r="H22" s="8"/>
      <c r="I22" s="596"/>
      <c r="J22" s="12"/>
      <c r="K22" s="596"/>
      <c r="L22" s="596"/>
      <c r="M22" s="596"/>
      <c r="N22" s="596"/>
      <c r="O22" s="596"/>
    </row>
    <row r="23" spans="3:15" ht="14.45" customHeight="1" x14ac:dyDescent="0.25">
      <c r="C23" s="569" t="s">
        <v>751</v>
      </c>
      <c r="D23" s="570"/>
      <c r="E23" s="626">
        <v>0.28799999999999998</v>
      </c>
      <c r="H23" s="8"/>
      <c r="I23" s="12"/>
      <c r="J23" s="16"/>
      <c r="K23" s="16"/>
      <c r="L23" s="9"/>
    </row>
    <row r="24" spans="3:15" ht="14.45" customHeight="1" x14ac:dyDescent="0.25">
      <c r="H24" s="8"/>
      <c r="I24" s="12"/>
      <c r="J24" s="16"/>
      <c r="K24" s="16"/>
      <c r="L24" s="9"/>
    </row>
    <row r="25" spans="3:15" ht="14.45" customHeight="1" x14ac:dyDescent="0.25">
      <c r="C25" s="797" t="s">
        <v>750</v>
      </c>
      <c r="D25" s="798"/>
      <c r="E25" s="799"/>
      <c r="I25" s="1"/>
      <c r="J25" s="2"/>
      <c r="K25" s="2"/>
      <c r="L25" s="9"/>
    </row>
    <row r="26" spans="3:15" ht="14.45" customHeight="1" x14ac:dyDescent="0.25">
      <c r="C26" s="567" t="s">
        <v>725</v>
      </c>
      <c r="D26" s="624">
        <v>0.83899999999999997</v>
      </c>
      <c r="E26" s="568">
        <v>26</v>
      </c>
      <c r="I26" s="1"/>
      <c r="J26" s="2"/>
      <c r="K26" s="2"/>
      <c r="L26" s="9"/>
    </row>
    <row r="27" spans="3:15" ht="14.45" customHeight="1" x14ac:dyDescent="0.25">
      <c r="C27" s="567" t="s">
        <v>726</v>
      </c>
      <c r="D27" s="624">
        <v>0.129</v>
      </c>
      <c r="E27" s="568">
        <v>4</v>
      </c>
    </row>
    <row r="28" spans="3:15" ht="14.45" customHeight="1" x14ac:dyDescent="0.25">
      <c r="C28" s="567" t="s">
        <v>727</v>
      </c>
      <c r="D28" s="624">
        <v>3.2000000000000001E-2</v>
      </c>
      <c r="E28" s="568">
        <v>1</v>
      </c>
    </row>
    <row r="29" spans="3:15" ht="14.45" customHeight="1" x14ac:dyDescent="0.25">
      <c r="C29" s="567" t="s">
        <v>728</v>
      </c>
      <c r="D29" s="506"/>
      <c r="E29" s="625">
        <v>227.21</v>
      </c>
    </row>
    <row r="30" spans="3:15" ht="14.45" customHeight="1" x14ac:dyDescent="0.25">
      <c r="C30" s="567" t="s">
        <v>729</v>
      </c>
      <c r="D30" s="506"/>
      <c r="E30" s="625">
        <v>159.11000000000001</v>
      </c>
    </row>
    <row r="31" spans="3:15" ht="14.45" customHeight="1" x14ac:dyDescent="0.25">
      <c r="C31" s="569" t="s">
        <v>751</v>
      </c>
      <c r="D31" s="570"/>
      <c r="E31" s="626">
        <v>0.42799999999999999</v>
      </c>
    </row>
  </sheetData>
  <mergeCells count="5">
    <mergeCell ref="C17:E17"/>
    <mergeCell ref="C5:G5"/>
    <mergeCell ref="C25:E25"/>
    <mergeCell ref="B4:O4"/>
    <mergeCell ref="B5:B6"/>
  </mergeCells>
  <pageMargins left="0.7" right="0.7" top="0.75" bottom="0.75" header="0.3" footer="0.3"/>
  <pageSetup orientation="portrait"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FFF2-61CE-45EB-B24B-D4FC8E0A9710}">
  <dimension ref="B1:H47"/>
  <sheetViews>
    <sheetView showGridLines="0" topLeftCell="A10" workbookViewId="0">
      <selection activeCell="I51" sqref="I51"/>
    </sheetView>
  </sheetViews>
  <sheetFormatPr defaultColWidth="8.85546875" defaultRowHeight="15" x14ac:dyDescent="0.25"/>
  <cols>
    <col min="1" max="1" width="1.28515625" style="6" customWidth="1"/>
    <col min="2" max="2" width="9.7109375" style="6" customWidth="1"/>
    <col min="3" max="3" width="9.85546875" style="6" customWidth="1"/>
    <col min="4" max="6" width="8.85546875" style="6"/>
    <col min="7" max="7" width="11" style="6" customWidth="1"/>
    <col min="8" max="16384" width="8.85546875" style="6"/>
  </cols>
  <sheetData>
    <row r="1" spans="2:8" x14ac:dyDescent="0.25">
      <c r="B1" s="6" t="s">
        <v>748</v>
      </c>
    </row>
    <row r="2" spans="2:8" x14ac:dyDescent="0.25">
      <c r="B2" s="6" t="s">
        <v>528</v>
      </c>
    </row>
    <row r="3" spans="2:8" ht="45" x14ac:dyDescent="0.25">
      <c r="B3" s="621" t="s">
        <v>719</v>
      </c>
      <c r="C3" s="621" t="s">
        <v>720</v>
      </c>
      <c r="D3" s="621" t="s">
        <v>721</v>
      </c>
      <c r="E3" s="621" t="s">
        <v>546</v>
      </c>
      <c r="F3" s="621" t="s">
        <v>722</v>
      </c>
      <c r="G3" s="621" t="s">
        <v>723</v>
      </c>
    </row>
    <row r="4" spans="2:8" x14ac:dyDescent="0.25">
      <c r="B4" s="599" t="s">
        <v>547</v>
      </c>
      <c r="C4" s="618" t="s">
        <v>548</v>
      </c>
      <c r="D4" s="622">
        <v>3.464</v>
      </c>
      <c r="E4" s="622">
        <v>3.8029999999999999</v>
      </c>
      <c r="F4" s="616" t="s">
        <v>549</v>
      </c>
      <c r="G4" s="630" t="s">
        <v>550</v>
      </c>
      <c r="H4" s="598"/>
    </row>
    <row r="5" spans="2:8" x14ac:dyDescent="0.25">
      <c r="B5" s="599" t="s">
        <v>551</v>
      </c>
      <c r="C5" s="618" t="s">
        <v>552</v>
      </c>
      <c r="D5" s="622">
        <v>5.9139999999999997</v>
      </c>
      <c r="E5" s="622">
        <v>5.69</v>
      </c>
      <c r="F5" s="616" t="s">
        <v>553</v>
      </c>
      <c r="G5" s="630" t="s">
        <v>554</v>
      </c>
      <c r="H5" s="598"/>
    </row>
    <row r="6" spans="2:8" x14ac:dyDescent="0.25">
      <c r="B6" s="599" t="s">
        <v>555</v>
      </c>
      <c r="C6" s="618" t="s">
        <v>556</v>
      </c>
      <c r="D6" s="622">
        <v>3.5830000000000002</v>
      </c>
      <c r="E6" s="622">
        <v>3.1059999999999999</v>
      </c>
      <c r="F6" s="616" t="s">
        <v>557</v>
      </c>
      <c r="G6" s="630" t="s">
        <v>558</v>
      </c>
      <c r="H6" s="598"/>
    </row>
    <row r="7" spans="2:8" x14ac:dyDescent="0.25">
      <c r="B7" s="599" t="s">
        <v>559</v>
      </c>
      <c r="C7" s="618" t="s">
        <v>560</v>
      </c>
      <c r="D7" s="622">
        <v>3.1749999999999998</v>
      </c>
      <c r="E7" s="622">
        <v>2.8849999999999998</v>
      </c>
      <c r="F7" s="616" t="s">
        <v>561</v>
      </c>
      <c r="G7" s="630" t="s">
        <v>562</v>
      </c>
      <c r="H7" s="598"/>
    </row>
    <row r="8" spans="2:8" x14ac:dyDescent="0.25">
      <c r="B8" s="599" t="s">
        <v>563</v>
      </c>
      <c r="C8" s="618" t="s">
        <v>564</v>
      </c>
      <c r="D8" s="622">
        <v>2.5099999999999998</v>
      </c>
      <c r="E8" s="622">
        <v>3.0249999999999999</v>
      </c>
      <c r="F8" s="616" t="s">
        <v>565</v>
      </c>
      <c r="G8" s="630" t="s">
        <v>566</v>
      </c>
    </row>
    <row r="9" spans="2:8" x14ac:dyDescent="0.25">
      <c r="B9" s="599" t="s">
        <v>567</v>
      </c>
      <c r="C9" s="618" t="s">
        <v>568</v>
      </c>
      <c r="D9" s="622">
        <v>4.1849999999999996</v>
      </c>
      <c r="E9" s="622">
        <v>3.875</v>
      </c>
      <c r="F9" s="616" t="s">
        <v>569</v>
      </c>
      <c r="G9" s="630" t="s">
        <v>570</v>
      </c>
    </row>
    <row r="10" spans="2:8" x14ac:dyDescent="0.25">
      <c r="B10" s="599" t="s">
        <v>571</v>
      </c>
      <c r="C10" s="618" t="s">
        <v>572</v>
      </c>
      <c r="D10" s="622">
        <v>2.302</v>
      </c>
      <c r="E10" s="622">
        <v>2.6240000000000001</v>
      </c>
      <c r="F10" s="616" t="s">
        <v>573</v>
      </c>
      <c r="G10" s="630" t="s">
        <v>574</v>
      </c>
    </row>
    <row r="11" spans="2:8" x14ac:dyDescent="0.25">
      <c r="B11" s="599" t="s">
        <v>575</v>
      </c>
      <c r="C11" s="618" t="s">
        <v>576</v>
      </c>
      <c r="D11" s="622">
        <v>2.88</v>
      </c>
      <c r="E11" s="622">
        <v>2.9079999999999999</v>
      </c>
      <c r="F11" s="616" t="s">
        <v>577</v>
      </c>
      <c r="G11" s="630" t="s">
        <v>578</v>
      </c>
    </row>
    <row r="12" spans="2:8" x14ac:dyDescent="0.25">
      <c r="B12" s="567" t="s">
        <v>579</v>
      </c>
      <c r="C12" s="619" t="s">
        <v>580</v>
      </c>
      <c r="D12" s="622">
        <v>2.8170000000000002</v>
      </c>
      <c r="E12" s="622">
        <v>2.7949999999999999</v>
      </c>
      <c r="F12" s="616" t="s">
        <v>581</v>
      </c>
      <c r="G12" s="630" t="s">
        <v>582</v>
      </c>
    </row>
    <row r="13" spans="2:8" x14ac:dyDescent="0.25">
      <c r="B13" s="567" t="s">
        <v>583</v>
      </c>
      <c r="C13" s="619" t="s">
        <v>584</v>
      </c>
      <c r="D13" s="622">
        <v>3.3319999999999999</v>
      </c>
      <c r="E13" s="622">
        <v>3.2839999999999998</v>
      </c>
      <c r="F13" s="616" t="s">
        <v>585</v>
      </c>
      <c r="G13" s="630" t="s">
        <v>586</v>
      </c>
    </row>
    <row r="14" spans="2:8" x14ac:dyDescent="0.25">
      <c r="B14" s="567" t="s">
        <v>587</v>
      </c>
      <c r="C14" s="619" t="s">
        <v>588</v>
      </c>
      <c r="D14" s="622">
        <v>1.84</v>
      </c>
      <c r="E14" s="622">
        <v>2.3370000000000002</v>
      </c>
      <c r="F14" s="616" t="s">
        <v>589</v>
      </c>
      <c r="G14" s="630" t="s">
        <v>590</v>
      </c>
    </row>
    <row r="15" spans="2:8" x14ac:dyDescent="0.25">
      <c r="B15" s="567" t="s">
        <v>591</v>
      </c>
      <c r="C15" s="619" t="s">
        <v>592</v>
      </c>
      <c r="D15" s="622">
        <v>2.5710000000000002</v>
      </c>
      <c r="E15" s="622">
        <v>2.5</v>
      </c>
      <c r="F15" s="616" t="s">
        <v>593</v>
      </c>
      <c r="G15" s="630" t="s">
        <v>594</v>
      </c>
    </row>
    <row r="16" spans="2:8" x14ac:dyDescent="0.25">
      <c r="B16" s="567" t="s">
        <v>595</v>
      </c>
      <c r="C16" s="619" t="s">
        <v>596</v>
      </c>
      <c r="D16" s="622">
        <v>2.42</v>
      </c>
      <c r="E16" s="622">
        <v>2.4540000000000002</v>
      </c>
      <c r="F16" s="616" t="s">
        <v>597</v>
      </c>
      <c r="G16" s="630" t="s">
        <v>598</v>
      </c>
    </row>
    <row r="17" spans="2:7" x14ac:dyDescent="0.25">
      <c r="B17" s="567" t="s">
        <v>599</v>
      </c>
      <c r="C17" s="619" t="s">
        <v>600</v>
      </c>
      <c r="D17" s="622">
        <v>2.8090000000000002</v>
      </c>
      <c r="E17" s="622">
        <v>2.6850000000000001</v>
      </c>
      <c r="F17" s="616" t="s">
        <v>601</v>
      </c>
      <c r="G17" s="630" t="s">
        <v>602</v>
      </c>
    </row>
    <row r="18" spans="2:7" x14ac:dyDescent="0.25">
      <c r="B18" s="567" t="s">
        <v>603</v>
      </c>
      <c r="C18" s="619" t="s">
        <v>604</v>
      </c>
      <c r="D18" s="622">
        <v>2.1800000000000002</v>
      </c>
      <c r="E18" s="622">
        <v>1.8779999999999999</v>
      </c>
      <c r="F18" s="616" t="s">
        <v>605</v>
      </c>
      <c r="G18" s="630" t="s">
        <v>606</v>
      </c>
    </row>
    <row r="19" spans="2:7" x14ac:dyDescent="0.25">
      <c r="B19" s="567" t="s">
        <v>607</v>
      </c>
      <c r="C19" s="619" t="s">
        <v>608</v>
      </c>
      <c r="D19" s="622">
        <v>2.31</v>
      </c>
      <c r="E19" s="622">
        <v>2.2469999999999999</v>
      </c>
      <c r="F19" s="616" t="s">
        <v>609</v>
      </c>
      <c r="G19" s="630" t="s">
        <v>610</v>
      </c>
    </row>
    <row r="20" spans="2:7" x14ac:dyDescent="0.25">
      <c r="B20" s="567" t="s">
        <v>611</v>
      </c>
      <c r="C20" s="619" t="s">
        <v>612</v>
      </c>
      <c r="D20" s="622">
        <v>2.2599999999999998</v>
      </c>
      <c r="E20" s="622">
        <v>1.9630000000000001</v>
      </c>
      <c r="F20" s="616" t="s">
        <v>613</v>
      </c>
      <c r="G20" s="630" t="s">
        <v>614</v>
      </c>
    </row>
    <row r="21" spans="2:7" x14ac:dyDescent="0.25">
      <c r="B21" s="567" t="s">
        <v>615</v>
      </c>
      <c r="C21" s="619" t="s">
        <v>616</v>
      </c>
      <c r="D21" s="622">
        <v>2.4900000000000002</v>
      </c>
      <c r="E21" s="622">
        <v>2.3580000000000001</v>
      </c>
      <c r="F21" s="616" t="s">
        <v>617</v>
      </c>
      <c r="G21" s="630" t="s">
        <v>618</v>
      </c>
    </row>
    <row r="22" spans="2:7" x14ac:dyDescent="0.25">
      <c r="B22" s="567" t="s">
        <v>619</v>
      </c>
      <c r="C22" s="619" t="s">
        <v>620</v>
      </c>
      <c r="D22" s="622">
        <v>1.23</v>
      </c>
      <c r="E22" s="622">
        <v>1.4610000000000001</v>
      </c>
      <c r="F22" s="616" t="s">
        <v>621</v>
      </c>
      <c r="G22" s="630" t="s">
        <v>622</v>
      </c>
    </row>
    <row r="23" spans="2:7" x14ac:dyDescent="0.25">
      <c r="B23" s="567" t="s">
        <v>623</v>
      </c>
      <c r="C23" s="619" t="s">
        <v>624</v>
      </c>
      <c r="D23" s="622">
        <v>1.75</v>
      </c>
      <c r="E23" s="622">
        <v>1.6419999999999999</v>
      </c>
      <c r="F23" s="616" t="s">
        <v>625</v>
      </c>
      <c r="G23" s="630" t="s">
        <v>626</v>
      </c>
    </row>
    <row r="24" spans="2:7" x14ac:dyDescent="0.25">
      <c r="B24" s="567" t="s">
        <v>627</v>
      </c>
      <c r="C24" s="619" t="s">
        <v>628</v>
      </c>
      <c r="D24" s="622">
        <v>1.53</v>
      </c>
      <c r="E24" s="622">
        <v>1.496</v>
      </c>
      <c r="F24" s="616" t="s">
        <v>629</v>
      </c>
      <c r="G24" s="630" t="s">
        <v>630</v>
      </c>
    </row>
    <row r="25" spans="2:7" x14ac:dyDescent="0.25">
      <c r="B25" s="567" t="s">
        <v>631</v>
      </c>
      <c r="C25" s="619" t="s">
        <v>632</v>
      </c>
      <c r="D25" s="622">
        <v>2.13</v>
      </c>
      <c r="E25" s="622">
        <v>1.954</v>
      </c>
      <c r="F25" s="616" t="s">
        <v>633</v>
      </c>
      <c r="G25" s="630" t="s">
        <v>634</v>
      </c>
    </row>
    <row r="26" spans="2:7" x14ac:dyDescent="0.25">
      <c r="B26" s="567" t="s">
        <v>635</v>
      </c>
      <c r="C26" s="619" t="s">
        <v>636</v>
      </c>
      <c r="D26" s="622">
        <v>1.2250000000000001</v>
      </c>
      <c r="E26" s="622">
        <v>1.379</v>
      </c>
      <c r="F26" s="616" t="s">
        <v>637</v>
      </c>
      <c r="G26" s="630" t="s">
        <v>638</v>
      </c>
    </row>
    <row r="27" spans="2:7" x14ac:dyDescent="0.25">
      <c r="B27" s="567" t="s">
        <v>639</v>
      </c>
      <c r="C27" s="619" t="s">
        <v>640</v>
      </c>
      <c r="D27" s="622">
        <v>1.417</v>
      </c>
      <c r="E27" s="622">
        <v>1.4059999999999999</v>
      </c>
      <c r="F27" s="616" t="s">
        <v>641</v>
      </c>
      <c r="G27" s="630" t="s">
        <v>642</v>
      </c>
    </row>
    <row r="28" spans="2:7" x14ac:dyDescent="0.25">
      <c r="B28" s="567" t="s">
        <v>643</v>
      </c>
      <c r="C28" s="619" t="s">
        <v>644</v>
      </c>
      <c r="D28" s="622">
        <v>1.458</v>
      </c>
      <c r="E28" s="622">
        <v>1.4</v>
      </c>
      <c r="F28" s="616" t="s">
        <v>645</v>
      </c>
      <c r="G28" s="630" t="s">
        <v>646</v>
      </c>
    </row>
    <row r="29" spans="2:7" x14ac:dyDescent="0.25">
      <c r="B29" s="567" t="s">
        <v>647</v>
      </c>
      <c r="C29" s="619" t="s">
        <v>648</v>
      </c>
      <c r="D29" s="622">
        <v>1.9950000000000001</v>
      </c>
      <c r="E29" s="622">
        <v>1.919</v>
      </c>
      <c r="F29" s="616" t="s">
        <v>649</v>
      </c>
      <c r="G29" s="630" t="s">
        <v>618</v>
      </c>
    </row>
    <row r="30" spans="2:7" x14ac:dyDescent="0.25">
      <c r="B30" s="567" t="s">
        <v>650</v>
      </c>
      <c r="C30" s="619" t="s">
        <v>651</v>
      </c>
      <c r="D30" s="622">
        <v>1.55</v>
      </c>
      <c r="E30" s="622">
        <v>1.3480000000000001</v>
      </c>
      <c r="F30" s="616" t="s">
        <v>652</v>
      </c>
      <c r="G30" s="630" t="s">
        <v>653</v>
      </c>
    </row>
    <row r="31" spans="2:7" x14ac:dyDescent="0.25">
      <c r="B31" s="567" t="s">
        <v>654</v>
      </c>
      <c r="C31" s="619" t="s">
        <v>655</v>
      </c>
      <c r="D31" s="622">
        <v>1.57</v>
      </c>
      <c r="E31" s="622">
        <v>1.5249999999999999</v>
      </c>
      <c r="F31" s="616" t="s">
        <v>656</v>
      </c>
      <c r="G31" s="630" t="s">
        <v>657</v>
      </c>
    </row>
    <row r="32" spans="2:7" x14ac:dyDescent="0.25">
      <c r="B32" s="567" t="s">
        <v>658</v>
      </c>
      <c r="C32" s="619" t="s">
        <v>659</v>
      </c>
      <c r="D32" s="622">
        <v>1.46</v>
      </c>
      <c r="E32" s="622">
        <v>1.444</v>
      </c>
      <c r="F32" s="616" t="s">
        <v>660</v>
      </c>
      <c r="G32" s="630" t="s">
        <v>661</v>
      </c>
    </row>
    <row r="33" spans="2:7" x14ac:dyDescent="0.25">
      <c r="B33" s="567" t="s">
        <v>662</v>
      </c>
      <c r="C33" s="619" t="s">
        <v>663</v>
      </c>
      <c r="D33" s="622">
        <v>1.754</v>
      </c>
      <c r="E33" s="622">
        <v>1.718</v>
      </c>
      <c r="F33" s="616" t="s">
        <v>664</v>
      </c>
      <c r="G33" s="630" t="s">
        <v>665</v>
      </c>
    </row>
    <row r="34" spans="2:7" x14ac:dyDescent="0.25">
      <c r="B34" s="567" t="s">
        <v>666</v>
      </c>
      <c r="C34" s="619" t="s">
        <v>667</v>
      </c>
      <c r="D34" s="622">
        <v>0.77200000000000002</v>
      </c>
      <c r="E34" s="622">
        <v>0.81499999999999995</v>
      </c>
      <c r="F34" s="616" t="s">
        <v>668</v>
      </c>
      <c r="G34" s="630" t="s">
        <v>669</v>
      </c>
    </row>
    <row r="35" spans="2:7" x14ac:dyDescent="0.25">
      <c r="B35" s="567" t="s">
        <v>670</v>
      </c>
      <c r="C35" s="619" t="s">
        <v>671</v>
      </c>
      <c r="D35" s="622">
        <v>1.1599999999999999</v>
      </c>
      <c r="E35" s="622">
        <v>1.3069999999999999</v>
      </c>
      <c r="F35" s="616" t="s">
        <v>672</v>
      </c>
      <c r="G35" s="630" t="s">
        <v>673</v>
      </c>
    </row>
    <row r="36" spans="2:7" x14ac:dyDescent="0.25">
      <c r="B36" s="567" t="s">
        <v>674</v>
      </c>
      <c r="C36" s="619" t="s">
        <v>675</v>
      </c>
      <c r="D36" s="622">
        <v>1.2</v>
      </c>
      <c r="E36" s="622">
        <v>1.2090000000000001</v>
      </c>
      <c r="F36" s="616" t="s">
        <v>676</v>
      </c>
      <c r="G36" s="630" t="s">
        <v>677</v>
      </c>
    </row>
    <row r="37" spans="2:7" x14ac:dyDescent="0.25">
      <c r="B37" s="567" t="s">
        <v>678</v>
      </c>
      <c r="C37" s="619" t="s">
        <v>679</v>
      </c>
      <c r="D37" s="622">
        <v>1.363</v>
      </c>
      <c r="E37" s="622">
        <v>1.325</v>
      </c>
      <c r="F37" s="616" t="s">
        <v>680</v>
      </c>
      <c r="G37" s="630" t="s">
        <v>681</v>
      </c>
    </row>
    <row r="38" spans="2:7" x14ac:dyDescent="0.25">
      <c r="B38" s="567" t="s">
        <v>682</v>
      </c>
      <c r="C38" s="619" t="s">
        <v>683</v>
      </c>
      <c r="D38" s="622">
        <v>0.76</v>
      </c>
      <c r="E38" s="622">
        <v>0.72599999999999998</v>
      </c>
      <c r="F38" s="616" t="s">
        <v>684</v>
      </c>
      <c r="G38" s="630" t="s">
        <v>593</v>
      </c>
    </row>
    <row r="39" spans="2:7" x14ac:dyDescent="0.25">
      <c r="B39" s="567" t="s">
        <v>685</v>
      </c>
      <c r="C39" s="619" t="s">
        <v>686</v>
      </c>
      <c r="D39" s="622">
        <v>1.1000000000000001</v>
      </c>
      <c r="E39" s="622">
        <v>1.1000000000000001</v>
      </c>
      <c r="F39" s="616" t="s">
        <v>687</v>
      </c>
      <c r="G39" s="630" t="s">
        <v>688</v>
      </c>
    </row>
    <row r="40" spans="2:7" x14ac:dyDescent="0.25">
      <c r="B40" s="567" t="s">
        <v>689</v>
      </c>
      <c r="C40" s="619" t="s">
        <v>690</v>
      </c>
      <c r="D40" s="622">
        <v>0.57999999999999996</v>
      </c>
      <c r="E40" s="622">
        <v>0.57999999999999996</v>
      </c>
      <c r="F40" s="616" t="s">
        <v>687</v>
      </c>
      <c r="G40" s="630" t="s">
        <v>691</v>
      </c>
    </row>
    <row r="41" spans="2:7" x14ac:dyDescent="0.25">
      <c r="B41" s="567" t="s">
        <v>692</v>
      </c>
      <c r="C41" s="619" t="s">
        <v>693</v>
      </c>
      <c r="D41" s="622">
        <v>0.66100000000000003</v>
      </c>
      <c r="E41" s="622">
        <v>0.505</v>
      </c>
      <c r="F41" s="616" t="s">
        <v>694</v>
      </c>
      <c r="G41" s="630" t="s">
        <v>695</v>
      </c>
    </row>
    <row r="42" spans="2:7" x14ac:dyDescent="0.25">
      <c r="B42" s="567" t="s">
        <v>696</v>
      </c>
      <c r="C42" s="619" t="s">
        <v>697</v>
      </c>
      <c r="D42" s="622">
        <v>0.31</v>
      </c>
      <c r="E42" s="622">
        <v>0.46100000000000002</v>
      </c>
      <c r="F42" s="616" t="s">
        <v>698</v>
      </c>
      <c r="G42" s="630" t="s">
        <v>699</v>
      </c>
    </row>
    <row r="43" spans="2:7" x14ac:dyDescent="0.25">
      <c r="B43" s="567" t="s">
        <v>700</v>
      </c>
      <c r="C43" s="619" t="s">
        <v>701</v>
      </c>
      <c r="D43" s="622">
        <v>1.59</v>
      </c>
      <c r="E43" s="622">
        <v>1.581</v>
      </c>
      <c r="F43" s="616" t="s">
        <v>702</v>
      </c>
      <c r="G43" s="630" t="s">
        <v>703</v>
      </c>
    </row>
    <row r="44" spans="2:7" x14ac:dyDescent="0.25">
      <c r="B44" s="567" t="s">
        <v>704</v>
      </c>
      <c r="C44" s="619" t="s">
        <v>705</v>
      </c>
      <c r="D44" s="622">
        <v>1.23</v>
      </c>
      <c r="E44" s="622">
        <v>1.23</v>
      </c>
      <c r="F44" s="616" t="s">
        <v>687</v>
      </c>
      <c r="G44" s="630" t="s">
        <v>706</v>
      </c>
    </row>
    <row r="45" spans="2:7" x14ac:dyDescent="0.25">
      <c r="B45" s="567" t="s">
        <v>707</v>
      </c>
      <c r="C45" s="619" t="s">
        <v>708</v>
      </c>
      <c r="D45" s="622">
        <v>1.4650000000000001</v>
      </c>
      <c r="E45" s="622">
        <v>1.466</v>
      </c>
      <c r="F45" s="616" t="s">
        <v>709</v>
      </c>
      <c r="G45" s="630" t="s">
        <v>710</v>
      </c>
    </row>
    <row r="46" spans="2:7" x14ac:dyDescent="0.25">
      <c r="B46" s="567" t="s">
        <v>711</v>
      </c>
      <c r="C46" s="619" t="s">
        <v>712</v>
      </c>
      <c r="D46" s="622">
        <v>1.26</v>
      </c>
      <c r="E46" s="622">
        <v>1.226</v>
      </c>
      <c r="F46" s="616" t="s">
        <v>713</v>
      </c>
      <c r="G46" s="630" t="s">
        <v>714</v>
      </c>
    </row>
    <row r="47" spans="2:7" x14ac:dyDescent="0.25">
      <c r="B47" s="569" t="s">
        <v>715</v>
      </c>
      <c r="C47" s="620" t="s">
        <v>716</v>
      </c>
      <c r="D47" s="623">
        <v>1.54</v>
      </c>
      <c r="E47" s="623">
        <v>1.5069999999999999</v>
      </c>
      <c r="F47" s="617" t="s">
        <v>717</v>
      </c>
      <c r="G47" s="631" t="s">
        <v>718</v>
      </c>
    </row>
  </sheetData>
  <pageMargins left="0.7" right="0.7" top="0.75" bottom="0.75" header="0.3" footer="0.3"/>
  <ignoredErrors>
    <ignoredError sqref="F4:G47" numberStoredAsText="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DAF45-46A9-412C-922A-76E419B098BC}">
  <sheetPr>
    <tabColor theme="4" tint="0.39997558519241921"/>
  </sheetPr>
  <dimension ref="B1:T55"/>
  <sheetViews>
    <sheetView showGridLines="0" zoomScaleNormal="100" workbookViewId="0">
      <selection activeCell="H48" sqref="H48"/>
    </sheetView>
  </sheetViews>
  <sheetFormatPr defaultColWidth="9.140625" defaultRowHeight="15" x14ac:dyDescent="0.25"/>
  <cols>
    <col min="1" max="1" width="1.140625" style="6" customWidth="1"/>
    <col min="2" max="2" width="26.7109375" style="6" customWidth="1"/>
    <col min="3" max="3" width="8.7109375" style="6" customWidth="1"/>
    <col min="4" max="4" width="12.28515625" style="6" customWidth="1"/>
    <col min="5" max="6" width="11.140625" style="6" customWidth="1"/>
    <col min="7" max="7" width="13.28515625" style="6" customWidth="1"/>
    <col min="8" max="8" width="8.7109375" style="6" customWidth="1"/>
    <col min="9" max="10" width="11.140625" style="6" customWidth="1"/>
    <col min="11" max="11" width="8.7109375" style="6" customWidth="1"/>
    <col min="12" max="13" width="11.140625" style="6" customWidth="1"/>
    <col min="14" max="14" width="8.7109375" style="6" customWidth="1"/>
    <col min="15" max="16" width="11.140625" style="6" customWidth="1"/>
    <col min="17" max="17" width="8.7109375" style="6" customWidth="1"/>
    <col min="18" max="19" width="11.140625" style="6" customWidth="1"/>
    <col min="20" max="20" width="1.140625" style="6" customWidth="1"/>
    <col min="21" max="16384" width="9.140625" style="6"/>
  </cols>
  <sheetData>
    <row r="1" spans="2:20" x14ac:dyDescent="0.25">
      <c r="B1" s="6" t="s">
        <v>747</v>
      </c>
      <c r="E1" s="597"/>
      <c r="F1" s="597"/>
      <c r="G1" s="597"/>
      <c r="H1" s="597"/>
      <c r="I1" s="597"/>
      <c r="J1" s="597"/>
      <c r="K1" s="597"/>
      <c r="L1" s="597"/>
      <c r="M1" s="597"/>
      <c r="N1" s="597"/>
      <c r="O1" s="597"/>
      <c r="P1" s="597"/>
      <c r="Q1" s="597"/>
      <c r="R1" s="597"/>
      <c r="S1" s="597"/>
    </row>
    <row r="2" spans="2:20" x14ac:dyDescent="0.25">
      <c r="B2" s="6" t="s">
        <v>457</v>
      </c>
    </row>
    <row r="3" spans="2:20" x14ac:dyDescent="0.25">
      <c r="B3" s="6" t="s">
        <v>480</v>
      </c>
    </row>
    <row r="4" spans="2:20" ht="5.45" customHeight="1" x14ac:dyDescent="0.25">
      <c r="D4" s="1"/>
      <c r="E4" s="1"/>
      <c r="F4" s="1"/>
      <c r="G4" s="1"/>
      <c r="H4" s="2"/>
      <c r="I4" s="2"/>
      <c r="J4" s="1"/>
      <c r="K4" s="9"/>
      <c r="M4" s="1"/>
      <c r="P4" s="1"/>
      <c r="S4" s="1"/>
    </row>
    <row r="5" spans="2:20" ht="16.899999999999999" customHeight="1" x14ac:dyDescent="0.25">
      <c r="B5" s="784" t="s">
        <v>473</v>
      </c>
      <c r="C5" s="785"/>
      <c r="D5" s="785"/>
      <c r="E5" s="785"/>
      <c r="F5" s="785"/>
      <c r="G5" s="785"/>
      <c r="H5" s="785"/>
      <c r="I5" s="785"/>
      <c r="J5" s="785"/>
      <c r="K5" s="785"/>
      <c r="L5" s="785"/>
      <c r="M5" s="785"/>
      <c r="N5" s="785"/>
      <c r="O5" s="785"/>
      <c r="P5" s="785"/>
      <c r="Q5" s="785"/>
      <c r="R5" s="785"/>
      <c r="S5" s="786"/>
    </row>
    <row r="6" spans="2:20" ht="16.899999999999999" customHeight="1" x14ac:dyDescent="0.25">
      <c r="B6" s="445"/>
      <c r="C6" s="455"/>
      <c r="D6" s="456"/>
      <c r="E6" s="557" t="s">
        <v>459</v>
      </c>
      <c r="F6" s="456"/>
      <c r="G6" s="456"/>
      <c r="H6" s="455"/>
      <c r="I6" s="557" t="s">
        <v>460</v>
      </c>
      <c r="J6" s="456"/>
      <c r="K6" s="455"/>
      <c r="L6" s="557" t="s">
        <v>461</v>
      </c>
      <c r="M6" s="457"/>
      <c r="N6" s="456"/>
      <c r="O6" s="557" t="s">
        <v>475</v>
      </c>
      <c r="P6" s="457"/>
      <c r="Q6" s="456"/>
      <c r="R6" s="557" t="s">
        <v>526</v>
      </c>
      <c r="S6" s="458"/>
    </row>
    <row r="7" spans="2:20" ht="27.6" customHeight="1" x14ac:dyDescent="0.25">
      <c r="B7" s="556"/>
      <c r="C7" s="25" t="s">
        <v>93</v>
      </c>
      <c r="D7" s="440" t="s">
        <v>68</v>
      </c>
      <c r="E7" s="440" t="s">
        <v>476</v>
      </c>
      <c r="F7" s="440" t="s">
        <v>477</v>
      </c>
      <c r="G7" s="26" t="s">
        <v>478</v>
      </c>
      <c r="H7" s="21" t="s">
        <v>93</v>
      </c>
      <c r="I7" s="23" t="s">
        <v>68</v>
      </c>
      <c r="J7" s="440" t="s">
        <v>476</v>
      </c>
      <c r="K7" s="25" t="s">
        <v>93</v>
      </c>
      <c r="L7" s="440" t="s">
        <v>68</v>
      </c>
      <c r="M7" s="440" t="s">
        <v>476</v>
      </c>
      <c r="N7" s="25" t="s">
        <v>93</v>
      </c>
      <c r="O7" s="440" t="s">
        <v>68</v>
      </c>
      <c r="P7" s="440" t="s">
        <v>476</v>
      </c>
      <c r="Q7" s="25" t="s">
        <v>93</v>
      </c>
      <c r="R7" s="440" t="s">
        <v>68</v>
      </c>
      <c r="S7" s="440" t="s">
        <v>476</v>
      </c>
      <c r="T7" s="10"/>
    </row>
    <row r="8" spans="2:20" x14ac:dyDescent="0.25">
      <c r="B8" s="17" t="s">
        <v>464</v>
      </c>
      <c r="C8" s="19">
        <v>20</v>
      </c>
      <c r="D8" s="441">
        <v>17686.650000000001</v>
      </c>
      <c r="E8" s="441">
        <v>17687</v>
      </c>
      <c r="F8" s="507">
        <f>+'FedEx Earnings Model'!T13</f>
        <v>17824</v>
      </c>
      <c r="G8" s="447">
        <f>+F8-E8</f>
        <v>137</v>
      </c>
      <c r="H8" s="19">
        <v>17</v>
      </c>
      <c r="I8" s="441">
        <v>17889</v>
      </c>
      <c r="J8" s="441">
        <v>17867.753170948203</v>
      </c>
      <c r="K8" s="19">
        <v>17</v>
      </c>
      <c r="L8" s="441">
        <v>18692</v>
      </c>
      <c r="M8" s="441">
        <v>18664.022324205656</v>
      </c>
      <c r="N8" s="19">
        <v>7</v>
      </c>
      <c r="O8" s="441">
        <v>18026</v>
      </c>
      <c r="P8" s="441">
        <v>17992.033178206144</v>
      </c>
      <c r="Q8" s="19"/>
      <c r="R8" s="441"/>
      <c r="S8" s="436">
        <v>18519.036677241606</v>
      </c>
      <c r="T8" s="11"/>
    </row>
    <row r="9" spans="2:20" x14ac:dyDescent="0.25">
      <c r="B9" s="17" t="s">
        <v>479</v>
      </c>
      <c r="C9" s="19">
        <v>12</v>
      </c>
      <c r="D9" s="441">
        <v>1433</v>
      </c>
      <c r="E9" s="441">
        <v>1395.1111006628587</v>
      </c>
      <c r="F9" s="507">
        <f>+'FedEx Earnings Model'!T27</f>
        <v>1328</v>
      </c>
      <c r="G9" s="447">
        <f t="shared" ref="G9:G16" si="0">+F9-E9</f>
        <v>-67.111100662858689</v>
      </c>
      <c r="H9" s="19">
        <v>12</v>
      </c>
      <c r="I9" s="441">
        <v>1383</v>
      </c>
      <c r="J9" s="441">
        <v>1369.3862766080263</v>
      </c>
      <c r="K9" s="19">
        <v>10</v>
      </c>
      <c r="L9" s="441">
        <v>2167</v>
      </c>
      <c r="M9" s="441">
        <v>2160.6838691403505</v>
      </c>
      <c r="N9" s="19">
        <v>5</v>
      </c>
      <c r="O9" s="441">
        <v>1632</v>
      </c>
      <c r="P9" s="441">
        <v>1585.7636301158309</v>
      </c>
      <c r="Q9" s="19"/>
      <c r="R9" s="441"/>
      <c r="S9" s="436">
        <v>1606.7614414949603</v>
      </c>
      <c r="T9" s="11"/>
    </row>
    <row r="10" spans="2:20" x14ac:dyDescent="0.25">
      <c r="B10" s="17" t="s">
        <v>472</v>
      </c>
      <c r="C10" s="19"/>
      <c r="D10" s="442">
        <v>8.1021561460197372E-2</v>
      </c>
      <c r="E10" s="442">
        <v>7.8877769020345948E-2</v>
      </c>
      <c r="F10" s="508">
        <f>+F9/F8</f>
        <v>7.4506283662477552E-2</v>
      </c>
      <c r="G10" s="448">
        <f t="shared" si="0"/>
        <v>-4.371485357868396E-3</v>
      </c>
      <c r="H10" s="19"/>
      <c r="I10" s="442">
        <v>7.7306183069722617E-2</v>
      </c>
      <c r="J10" s="442">
        <v>7.6640093665193379E-2</v>
      </c>
      <c r="K10" s="19"/>
      <c r="L10" s="442">
        <v>0.11591675084731336</v>
      </c>
      <c r="M10" s="442">
        <v>0.11576732129912459</v>
      </c>
      <c r="N10" s="19"/>
      <c r="O10" s="442">
        <v>9.0559518148676438E-2</v>
      </c>
      <c r="P10" s="442">
        <v>8.8136988988919598E-2</v>
      </c>
      <c r="Q10" s="19"/>
      <c r="R10" s="442"/>
      <c r="S10" s="437">
        <v>8.6762690171111323E-2</v>
      </c>
      <c r="T10" s="11"/>
    </row>
    <row r="11" spans="2:20" x14ac:dyDescent="0.25">
      <c r="B11" s="17" t="s">
        <v>465</v>
      </c>
      <c r="C11" s="19">
        <v>116</v>
      </c>
      <c r="D11" s="441">
        <v>2203.125</v>
      </c>
      <c r="E11" s="441">
        <v>2036.9168986068935</v>
      </c>
      <c r="F11" s="507">
        <f>+'FedEx Earnings Model'!T36</f>
        <v>2005</v>
      </c>
      <c r="G11" s="447">
        <f t="shared" si="0"/>
        <v>-31.916898606893483</v>
      </c>
      <c r="H11" s="19">
        <v>15</v>
      </c>
      <c r="I11" s="441">
        <v>2226</v>
      </c>
      <c r="J11" s="441">
        <v>2015.8006873789627</v>
      </c>
      <c r="K11" s="19">
        <v>15</v>
      </c>
      <c r="L11" s="441">
        <v>2983</v>
      </c>
      <c r="M11" s="441">
        <v>3055.5600825338324</v>
      </c>
      <c r="N11" s="19">
        <v>6</v>
      </c>
      <c r="O11" s="441">
        <v>2455</v>
      </c>
      <c r="P11" s="441">
        <v>2324.0616542820117</v>
      </c>
      <c r="Q11" s="19"/>
      <c r="R11" s="441"/>
      <c r="S11" s="436">
        <v>2363.7761610327948</v>
      </c>
      <c r="T11" s="11"/>
    </row>
    <row r="12" spans="2:20" x14ac:dyDescent="0.25">
      <c r="B12" s="17" t="s">
        <v>466</v>
      </c>
      <c r="C12" s="19">
        <v>13</v>
      </c>
      <c r="D12" s="441">
        <v>1413.538</v>
      </c>
      <c r="E12" s="441">
        <v>1293.3840928006919</v>
      </c>
      <c r="F12" s="507">
        <f>+'FedEx Earnings Model'!T35</f>
        <v>1177</v>
      </c>
      <c r="G12" s="447">
        <f t="shared" si="0"/>
        <v>-116.38409280069186</v>
      </c>
      <c r="H12" s="19">
        <v>11</v>
      </c>
      <c r="I12" s="441">
        <v>1361</v>
      </c>
      <c r="J12" s="441">
        <v>1262.8353580839478</v>
      </c>
      <c r="K12" s="19">
        <v>11</v>
      </c>
      <c r="L12" s="441">
        <v>2173</v>
      </c>
      <c r="M12" s="441">
        <v>2283.2853030347765</v>
      </c>
      <c r="N12" s="19">
        <v>3</v>
      </c>
      <c r="O12" s="441">
        <v>1615</v>
      </c>
      <c r="P12" s="441">
        <v>1523.2027162111144</v>
      </c>
      <c r="Q12" s="19"/>
      <c r="R12" s="441"/>
      <c r="S12" s="436">
        <v>1544.0140055777156</v>
      </c>
      <c r="T12" s="11"/>
    </row>
    <row r="13" spans="2:20" x14ac:dyDescent="0.25">
      <c r="B13" s="17" t="s">
        <v>467</v>
      </c>
      <c r="C13" s="19">
        <v>15</v>
      </c>
      <c r="D13" s="441">
        <v>1051.8</v>
      </c>
      <c r="E13" s="441">
        <v>1060.5380696005188</v>
      </c>
      <c r="F13" s="507">
        <f>+'FedEx Earnings Model'!T40</f>
        <v>1074.5</v>
      </c>
      <c r="G13" s="447">
        <f t="shared" si="0"/>
        <v>13.961930399481162</v>
      </c>
      <c r="H13" s="19">
        <v>15</v>
      </c>
      <c r="I13" s="441">
        <v>1027</v>
      </c>
      <c r="J13" s="441">
        <v>1037.6265185629609</v>
      </c>
      <c r="K13" s="19">
        <v>15</v>
      </c>
      <c r="L13" s="441">
        <v>1618</v>
      </c>
      <c r="M13" s="441">
        <v>1632.5410973128473</v>
      </c>
      <c r="N13" s="19">
        <v>15</v>
      </c>
      <c r="O13" s="441">
        <v>1185</v>
      </c>
      <c r="P13" s="441">
        <v>1193.9645371583358</v>
      </c>
      <c r="Q13" s="19"/>
      <c r="R13" s="441"/>
      <c r="S13" s="436">
        <v>1209.5730041832867</v>
      </c>
      <c r="T13" s="11"/>
    </row>
    <row r="14" spans="2:20" x14ac:dyDescent="0.25">
      <c r="B14" s="17" t="s">
        <v>469</v>
      </c>
      <c r="C14" s="19">
        <v>24</v>
      </c>
      <c r="D14" s="443">
        <v>3.94</v>
      </c>
      <c r="E14" s="443">
        <v>3.9301580500996711</v>
      </c>
      <c r="F14" s="509">
        <f>+'FedEx Earnings Model'!T45</f>
        <v>4.033408408408409</v>
      </c>
      <c r="G14" s="449">
        <f t="shared" si="0"/>
        <v>0.10325035830873786</v>
      </c>
      <c r="H14" s="19">
        <v>22</v>
      </c>
      <c r="I14" s="443">
        <v>3.85</v>
      </c>
      <c r="J14" s="443">
        <v>3.8409164406225065</v>
      </c>
      <c r="K14" s="19">
        <v>21</v>
      </c>
      <c r="L14" s="443">
        <v>6.05</v>
      </c>
      <c r="M14" s="443">
        <v>6.0277517437607919</v>
      </c>
      <c r="N14" s="19">
        <v>11</v>
      </c>
      <c r="O14" s="443">
        <v>4.43</v>
      </c>
      <c r="P14" s="443">
        <v>4.410645372128859</v>
      </c>
      <c r="Q14" s="19"/>
      <c r="R14" s="443"/>
      <c r="S14" s="438">
        <v>4.4620648913314458</v>
      </c>
      <c r="T14" s="11"/>
    </row>
    <row r="15" spans="2:20" x14ac:dyDescent="0.25">
      <c r="B15" s="17" t="s">
        <v>470</v>
      </c>
      <c r="C15" s="19">
        <v>3</v>
      </c>
      <c r="D15" s="441">
        <v>534</v>
      </c>
      <c r="E15" s="441"/>
      <c r="F15" s="507"/>
      <c r="G15" s="447">
        <f t="shared" si="0"/>
        <v>0</v>
      </c>
      <c r="H15" s="19">
        <v>3</v>
      </c>
      <c r="I15" s="441">
        <v>577</v>
      </c>
      <c r="J15" s="441"/>
      <c r="K15" s="19">
        <v>3</v>
      </c>
      <c r="L15" s="441">
        <v>970</v>
      </c>
      <c r="M15" s="441"/>
      <c r="N15" s="19">
        <v>3</v>
      </c>
      <c r="O15" s="441">
        <v>327</v>
      </c>
      <c r="P15" s="441"/>
      <c r="Q15" s="19"/>
      <c r="R15" s="441"/>
      <c r="S15" s="436"/>
      <c r="T15" s="11"/>
    </row>
    <row r="16" spans="2:20" x14ac:dyDescent="0.25">
      <c r="B16" s="18" t="s">
        <v>471</v>
      </c>
      <c r="C16" s="20">
        <v>2</v>
      </c>
      <c r="D16" s="444">
        <v>1437</v>
      </c>
      <c r="E16" s="444">
        <v>1432.6469999999999</v>
      </c>
      <c r="F16" s="510">
        <f>-'FedEx Earnings Model'!T336</f>
        <v>1455</v>
      </c>
      <c r="G16" s="450">
        <f t="shared" si="0"/>
        <v>22.353000000000065</v>
      </c>
      <c r="H16" s="20">
        <v>2</v>
      </c>
      <c r="I16" s="444">
        <v>1493</v>
      </c>
      <c r="J16" s="444">
        <v>1447.2880068468044</v>
      </c>
      <c r="K16" s="20">
        <v>2</v>
      </c>
      <c r="L16" s="444">
        <v>1493</v>
      </c>
      <c r="M16" s="444">
        <v>1530.116435708147</v>
      </c>
      <c r="N16" s="20">
        <v>3</v>
      </c>
      <c r="O16" s="444">
        <v>1525</v>
      </c>
      <c r="P16" s="444">
        <v>1408.4324902548356</v>
      </c>
      <c r="Q16" s="20"/>
      <c r="R16" s="444"/>
      <c r="S16" s="439">
        <v>1492.0002352391127</v>
      </c>
      <c r="T16" s="11"/>
    </row>
    <row r="17" spans="2:20" ht="6" customHeight="1" x14ac:dyDescent="0.25"/>
    <row r="18" spans="2:20" ht="16.899999999999999" customHeight="1" x14ac:dyDescent="0.25">
      <c r="B18" s="807" t="s">
        <v>474</v>
      </c>
      <c r="C18" s="808"/>
      <c r="D18" s="808"/>
      <c r="E18" s="808"/>
      <c r="F18" s="808"/>
      <c r="G18" s="808"/>
      <c r="H18" s="808"/>
      <c r="I18" s="808"/>
      <c r="J18" s="808"/>
      <c r="K18" s="808"/>
      <c r="L18" s="808"/>
      <c r="M18" s="808"/>
      <c r="N18" s="808"/>
      <c r="O18" s="808"/>
      <c r="P18" s="808"/>
      <c r="Q18" s="808"/>
      <c r="R18" s="808"/>
      <c r="S18" s="809"/>
    </row>
    <row r="19" spans="2:20" ht="16.899999999999999" customHeight="1" x14ac:dyDescent="0.25">
      <c r="B19" s="445"/>
      <c r="C19" s="455"/>
      <c r="D19" s="456"/>
      <c r="E19" s="557" t="s">
        <v>527</v>
      </c>
      <c r="F19" s="456"/>
      <c r="G19" s="456"/>
      <c r="H19" s="790" t="s">
        <v>460</v>
      </c>
      <c r="I19" s="791"/>
      <c r="J19" s="791"/>
      <c r="K19" s="790" t="s">
        <v>461</v>
      </c>
      <c r="L19" s="791"/>
      <c r="M19" s="791"/>
      <c r="N19" s="791" t="s">
        <v>475</v>
      </c>
      <c r="O19" s="791"/>
      <c r="P19" s="792"/>
      <c r="Q19" s="791" t="s">
        <v>526</v>
      </c>
      <c r="R19" s="791"/>
      <c r="S19" s="793"/>
    </row>
    <row r="20" spans="2:20" ht="33.6" customHeight="1" x14ac:dyDescent="0.25">
      <c r="B20" s="555" t="s">
        <v>92</v>
      </c>
      <c r="C20" s="25" t="s">
        <v>93</v>
      </c>
      <c r="D20" s="440" t="s">
        <v>68</v>
      </c>
      <c r="E20" s="440" t="s">
        <v>476</v>
      </c>
      <c r="F20" s="440"/>
      <c r="G20" s="26"/>
      <c r="H20" s="21" t="s">
        <v>93</v>
      </c>
      <c r="I20" s="23" t="s">
        <v>68</v>
      </c>
      <c r="J20" s="23" t="s">
        <v>476</v>
      </c>
      <c r="K20" s="21" t="s">
        <v>93</v>
      </c>
      <c r="L20" s="23" t="s">
        <v>68</v>
      </c>
      <c r="M20" s="23" t="s">
        <v>476</v>
      </c>
      <c r="N20" s="21" t="s">
        <v>93</v>
      </c>
      <c r="O20" s="23" t="s">
        <v>68</v>
      </c>
      <c r="P20" s="23" t="s">
        <v>476</v>
      </c>
      <c r="Q20" s="21" t="s">
        <v>93</v>
      </c>
      <c r="R20" s="23" t="s">
        <v>68</v>
      </c>
      <c r="S20" s="23" t="s">
        <v>476</v>
      </c>
      <c r="T20" s="10"/>
    </row>
    <row r="21" spans="2:20" x14ac:dyDescent="0.25">
      <c r="B21" s="17" t="s">
        <v>464</v>
      </c>
      <c r="C21" s="521"/>
      <c r="D21" s="522"/>
      <c r="E21" s="441">
        <f>+'FedEx Earnings Model'!$T$13</f>
        <v>17824</v>
      </c>
      <c r="F21" s="451"/>
      <c r="G21" s="452"/>
      <c r="H21" s="19">
        <v>19</v>
      </c>
      <c r="I21" s="441">
        <v>17704.400000000001</v>
      </c>
      <c r="J21" s="441">
        <f>+'FedEx Earnings Model'!$U$13</f>
        <v>17010</v>
      </c>
      <c r="K21" s="19">
        <v>19</v>
      </c>
      <c r="L21" s="441">
        <v>18454.7</v>
      </c>
      <c r="M21" s="441">
        <f>+'FedEx Earnings Model'!$V$13</f>
        <v>17807</v>
      </c>
      <c r="N21" s="19">
        <v>8</v>
      </c>
      <c r="O21" s="441">
        <v>17777.3</v>
      </c>
      <c r="P21" s="441">
        <f>+'FedEx Earnings Model'!$X$13</f>
        <v>17100</v>
      </c>
      <c r="Q21" s="19">
        <v>7</v>
      </c>
      <c r="R21" s="441">
        <v>18593</v>
      </c>
      <c r="S21" s="436">
        <f>+'FedEx Earnings Model'!$Y$13</f>
        <v>18100.000000000004</v>
      </c>
      <c r="T21" s="11"/>
    </row>
    <row r="22" spans="2:20" x14ac:dyDescent="0.25">
      <c r="B22" s="17" t="s">
        <v>468</v>
      </c>
      <c r="C22" s="521"/>
      <c r="D22" s="522"/>
      <c r="E22" s="441">
        <f>+'FedEx Earnings Model'!$T$27</f>
        <v>1328</v>
      </c>
      <c r="F22" s="441"/>
      <c r="G22" s="452"/>
      <c r="H22" s="19">
        <v>13</v>
      </c>
      <c r="I22" s="441">
        <v>1164.2</v>
      </c>
      <c r="J22" s="441">
        <f>+'FedEx Earnings Model'!$U$27</f>
        <v>984</v>
      </c>
      <c r="K22" s="19">
        <v>13</v>
      </c>
      <c r="L22" s="441">
        <v>1934.3</v>
      </c>
      <c r="M22" s="441">
        <f>+'FedEx Earnings Model'!$V$27</f>
        <v>1716</v>
      </c>
      <c r="N22" s="19">
        <v>5</v>
      </c>
      <c r="O22" s="441">
        <v>1457.6</v>
      </c>
      <c r="P22" s="441">
        <f>+'FedEx Earnings Model'!$X$27</f>
        <v>1080.8642782544357</v>
      </c>
      <c r="Q22" s="19">
        <v>5</v>
      </c>
      <c r="R22" s="441">
        <v>1490</v>
      </c>
      <c r="S22" s="436">
        <f>+'FedEx Earnings Model'!$Y$27</f>
        <v>1219.4326333762874</v>
      </c>
      <c r="T22" s="11"/>
    </row>
    <row r="23" spans="2:20" x14ac:dyDescent="0.25">
      <c r="B23" s="17" t="s">
        <v>472</v>
      </c>
      <c r="C23" s="521"/>
      <c r="D23" s="442"/>
      <c r="E23" s="442">
        <f>+E22/E21</f>
        <v>7.4506283662477552E-2</v>
      </c>
      <c r="F23" s="442"/>
      <c r="G23" s="434"/>
      <c r="H23" s="19"/>
      <c r="I23" s="442">
        <f>+I22/I21</f>
        <v>6.5757664761302279E-2</v>
      </c>
      <c r="J23" s="442">
        <f>+J22/J21</f>
        <v>5.7848324514991181E-2</v>
      </c>
      <c r="K23" s="19"/>
      <c r="L23" s="442">
        <f>+L22/L21</f>
        <v>0.10481340796653427</v>
      </c>
      <c r="M23" s="442">
        <f>+M22/M21</f>
        <v>9.636659740551469E-2</v>
      </c>
      <c r="N23" s="19"/>
      <c r="O23" s="442">
        <f>+O22/O21</f>
        <v>8.1992203540470154E-2</v>
      </c>
      <c r="P23" s="442">
        <f>+P22/P21</f>
        <v>6.3208437324820801E-2</v>
      </c>
      <c r="Q23" s="19"/>
      <c r="R23" s="442">
        <f>+R22/R21</f>
        <v>8.0137686225999039E-2</v>
      </c>
      <c r="S23" s="437">
        <f>+S22/S21</f>
        <v>6.7371968694822496E-2</v>
      </c>
      <c r="T23" s="11"/>
    </row>
    <row r="24" spans="2:20" x14ac:dyDescent="0.25">
      <c r="B24" s="17" t="s">
        <v>465</v>
      </c>
      <c r="C24" s="521"/>
      <c r="D24" s="522"/>
      <c r="E24" s="441">
        <f>+'FedEx Earnings Model'!$T$36</f>
        <v>2005</v>
      </c>
      <c r="F24" s="441"/>
      <c r="G24" s="452"/>
      <c r="H24" s="19">
        <v>16</v>
      </c>
      <c r="I24" s="441">
        <v>1962.1</v>
      </c>
      <c r="J24" s="441">
        <f>+'FedEx Earnings Model'!$U$36</f>
        <v>1782</v>
      </c>
      <c r="K24" s="19">
        <v>16</v>
      </c>
      <c r="L24" s="441">
        <v>2745.9</v>
      </c>
      <c r="M24" s="441">
        <f>+'FedEx Earnings Model'!$V$36</f>
        <v>-1688</v>
      </c>
      <c r="N24" s="19">
        <v>7</v>
      </c>
      <c r="O24" s="441">
        <v>2223.6</v>
      </c>
      <c r="P24" s="441">
        <f>+'FedEx Earnings Model'!$X$36</f>
        <v>1751.4791322274405</v>
      </c>
      <c r="Q24" s="19">
        <v>6</v>
      </c>
      <c r="R24" s="441">
        <v>2312.6999999999998</v>
      </c>
      <c r="S24" s="436">
        <f>+'FedEx Earnings Model'!$Y$36</f>
        <v>1959.073950508121</v>
      </c>
      <c r="T24" s="11"/>
    </row>
    <row r="25" spans="2:20" x14ac:dyDescent="0.25">
      <c r="B25" s="17" t="s">
        <v>466</v>
      </c>
      <c r="C25" s="521"/>
      <c r="D25" s="522"/>
      <c r="E25" s="441">
        <f>+'FedEx Earnings Model'!$T$35</f>
        <v>1177</v>
      </c>
      <c r="F25" s="441"/>
      <c r="G25" s="452"/>
      <c r="H25" s="19">
        <v>13</v>
      </c>
      <c r="I25" s="441">
        <v>1124.9000000000001</v>
      </c>
      <c r="J25" s="441">
        <f>+'FedEx Earnings Model'!$U$35</f>
        <v>931</v>
      </c>
      <c r="K25" s="19">
        <v>13</v>
      </c>
      <c r="L25" s="441">
        <v>1936.7</v>
      </c>
      <c r="M25" s="441">
        <f>+'FedEx Earnings Model'!$V$35</f>
        <v>-2554</v>
      </c>
      <c r="N25" s="19">
        <v>5</v>
      </c>
      <c r="O25" s="441">
        <v>1360.4</v>
      </c>
      <c r="P25" s="441">
        <f>+'FedEx Earnings Model'!$X$35</f>
        <v>865.68393379999088</v>
      </c>
      <c r="Q25" s="19">
        <v>5</v>
      </c>
      <c r="R25" s="441">
        <v>1447.4</v>
      </c>
      <c r="S25" s="436">
        <f>+'FedEx Earnings Model'!$Y$35</f>
        <v>1052.6236727201631</v>
      </c>
      <c r="T25" s="11"/>
    </row>
    <row r="26" spans="2:20" x14ac:dyDescent="0.25">
      <c r="B26" s="17" t="s">
        <v>467</v>
      </c>
      <c r="C26" s="521"/>
      <c r="D26" s="522"/>
      <c r="E26" s="441">
        <f>+'FedEx Earnings Model'!$T$40</f>
        <v>1074.5</v>
      </c>
      <c r="F26" s="441"/>
      <c r="G26" s="452"/>
      <c r="H26" s="19">
        <v>16</v>
      </c>
      <c r="I26" s="441">
        <v>860</v>
      </c>
      <c r="J26" s="441">
        <f>+'FedEx Earnings Model'!$U$40</f>
        <v>797</v>
      </c>
      <c r="K26" s="19">
        <v>16</v>
      </c>
      <c r="L26" s="441">
        <v>1432.3</v>
      </c>
      <c r="M26" s="441">
        <f>+'FedEx Earnings Model'!$V$40</f>
        <v>1319.5</v>
      </c>
      <c r="N26" s="19">
        <v>6</v>
      </c>
      <c r="O26" s="441">
        <v>1054.3</v>
      </c>
      <c r="P26" s="441">
        <f>+'FedEx Earnings Model'!$X$40</f>
        <v>828.45162902599293</v>
      </c>
      <c r="Q26" s="19">
        <v>5</v>
      </c>
      <c r="R26" s="441">
        <v>1089.8</v>
      </c>
      <c r="S26" s="436">
        <f>+'FedEx Earnings Model'!$Y$40</f>
        <v>934.59522799452566</v>
      </c>
      <c r="T26" s="11"/>
    </row>
    <row r="27" spans="2:20" x14ac:dyDescent="0.25">
      <c r="B27" s="17" t="s">
        <v>469</v>
      </c>
      <c r="C27" s="521"/>
      <c r="D27" s="523"/>
      <c r="E27" s="443">
        <f>+'FedEx Earnings Model'!$T$45</f>
        <v>4.033408408408409</v>
      </c>
      <c r="F27" s="443"/>
      <c r="G27" s="453"/>
      <c r="H27" s="19">
        <v>22</v>
      </c>
      <c r="I27" s="443">
        <v>3.25</v>
      </c>
      <c r="J27" s="443">
        <f>+'FedEx Earnings Model'!$U$45</f>
        <v>3.0250123353702505</v>
      </c>
      <c r="K27" s="19">
        <v>22</v>
      </c>
      <c r="L27" s="443">
        <v>5.35</v>
      </c>
      <c r="M27" s="443">
        <f>+'FedEx Earnings Model'!$V$45</f>
        <v>5.0132978723404253</v>
      </c>
      <c r="N27" s="19">
        <v>13</v>
      </c>
      <c r="O27" s="443">
        <v>3.89</v>
      </c>
      <c r="P27" s="443">
        <f>+'FedEx Earnings Model'!$X$45</f>
        <v>3.1820765476796402</v>
      </c>
      <c r="Q27" s="19">
        <v>12</v>
      </c>
      <c r="R27" s="443">
        <v>4.1500000000000004</v>
      </c>
      <c r="S27" s="438">
        <f>+'FedEx Earnings Model'!$Y$45</f>
        <v>3.6121778067531731</v>
      </c>
      <c r="T27" s="11"/>
    </row>
    <row r="28" spans="2:20" x14ac:dyDescent="0.25">
      <c r="B28" s="17" t="s">
        <v>470</v>
      </c>
      <c r="C28" s="521"/>
      <c r="D28" s="522"/>
      <c r="E28" s="441"/>
      <c r="F28" s="441"/>
      <c r="G28" s="452"/>
      <c r="H28" s="19"/>
      <c r="I28" s="441"/>
      <c r="J28" s="441"/>
      <c r="K28" s="19"/>
      <c r="L28" s="441"/>
      <c r="M28" s="441"/>
      <c r="N28" s="19"/>
      <c r="O28" s="441"/>
      <c r="P28" s="441"/>
      <c r="Q28" s="19"/>
      <c r="R28" s="441"/>
      <c r="S28" s="436"/>
      <c r="T28" s="11"/>
    </row>
    <row r="29" spans="2:20" x14ac:dyDescent="0.25">
      <c r="B29" s="18" t="s">
        <v>471</v>
      </c>
      <c r="C29" s="524"/>
      <c r="D29" s="525"/>
      <c r="E29" s="444">
        <f>-'FedEx Earnings Model'!$T$336</f>
        <v>1455</v>
      </c>
      <c r="F29" s="444"/>
      <c r="G29" s="454"/>
      <c r="H29" s="20">
        <v>2</v>
      </c>
      <c r="I29" s="444">
        <v>1483</v>
      </c>
      <c r="J29" s="444">
        <f>-'FedEx Earnings Model'!$U$336</f>
        <v>1123</v>
      </c>
      <c r="K29" s="20">
        <v>2</v>
      </c>
      <c r="L29" s="444">
        <v>1483</v>
      </c>
      <c r="M29" s="444">
        <f>-'FedEx Earnings Model'!$V$336</f>
        <v>1733</v>
      </c>
      <c r="N29" s="20">
        <v>2</v>
      </c>
      <c r="O29" s="444">
        <v>1602.5</v>
      </c>
      <c r="P29" s="444">
        <f>-'FedEx Earnings Model'!$X$336</f>
        <v>1342.8383082565081</v>
      </c>
      <c r="Q29" s="20">
        <v>2</v>
      </c>
      <c r="R29" s="444">
        <v>1602.5</v>
      </c>
      <c r="S29" s="439">
        <f>-'FedEx Earnings Model'!$Y$336</f>
        <v>1463.8435205515955</v>
      </c>
      <c r="T29" s="11"/>
    </row>
    <row r="30" spans="2:20" ht="8.4499999999999993" customHeight="1" x14ac:dyDescent="0.25">
      <c r="C30" s="8"/>
      <c r="D30" s="8"/>
      <c r="E30" s="8"/>
      <c r="F30" s="8"/>
      <c r="G30" s="8"/>
      <c r="H30" s="8"/>
      <c r="I30" s="8"/>
      <c r="J30" s="8"/>
      <c r="M30" s="8"/>
      <c r="N30" s="7"/>
      <c r="P30" s="8"/>
      <c r="Q30" s="7"/>
      <c r="S30" s="8"/>
    </row>
    <row r="31" spans="2:20" ht="16.899999999999999" customHeight="1" x14ac:dyDescent="0.25">
      <c r="B31" s="794" t="s">
        <v>482</v>
      </c>
      <c r="C31" s="795"/>
      <c r="D31" s="795"/>
      <c r="E31" s="795"/>
      <c r="F31" s="795"/>
      <c r="G31" s="795"/>
      <c r="H31" s="795"/>
      <c r="I31" s="795"/>
      <c r="J31" s="795"/>
      <c r="K31" s="795"/>
      <c r="L31" s="795"/>
      <c r="M31" s="795"/>
      <c r="N31" s="795"/>
      <c r="O31" s="795"/>
      <c r="P31" s="795"/>
      <c r="Q31" s="795"/>
      <c r="R31" s="795"/>
      <c r="S31" s="796"/>
    </row>
    <row r="32" spans="2:20" ht="16.899999999999999" customHeight="1" x14ac:dyDescent="0.25">
      <c r="B32" s="445"/>
      <c r="C32" s="455"/>
      <c r="D32" s="456"/>
      <c r="E32" s="557" t="s">
        <v>527</v>
      </c>
      <c r="F32" s="456"/>
      <c r="G32" s="456"/>
      <c r="H32" s="790" t="s">
        <v>460</v>
      </c>
      <c r="I32" s="791"/>
      <c r="J32" s="791"/>
      <c r="K32" s="790" t="s">
        <v>461</v>
      </c>
      <c r="L32" s="791"/>
      <c r="M32" s="791"/>
      <c r="N32" s="791" t="s">
        <v>475</v>
      </c>
      <c r="O32" s="791"/>
      <c r="P32" s="792"/>
      <c r="Q32" s="791" t="s">
        <v>526</v>
      </c>
      <c r="R32" s="791"/>
      <c r="S32" s="793"/>
    </row>
    <row r="33" spans="2:20" ht="33.6" customHeight="1" x14ac:dyDescent="0.25">
      <c r="B33" s="555" t="s">
        <v>92</v>
      </c>
      <c r="C33" s="25"/>
      <c r="D33" s="440" t="s">
        <v>68</v>
      </c>
      <c r="E33" s="440" t="s">
        <v>476</v>
      </c>
      <c r="F33" s="23"/>
      <c r="G33" s="22"/>
      <c r="H33" s="21"/>
      <c r="I33" s="23" t="s">
        <v>68</v>
      </c>
      <c r="J33" s="23" t="s">
        <v>476</v>
      </c>
      <c r="K33" s="21"/>
      <c r="L33" s="23" t="s">
        <v>68</v>
      </c>
      <c r="M33" s="23" t="s">
        <v>476</v>
      </c>
      <c r="N33" s="21"/>
      <c r="O33" s="23" t="s">
        <v>68</v>
      </c>
      <c r="P33" s="23" t="s">
        <v>476</v>
      </c>
      <c r="Q33" s="21"/>
      <c r="R33" s="23" t="s">
        <v>68</v>
      </c>
      <c r="S33" s="24" t="s">
        <v>476</v>
      </c>
      <c r="T33" s="10"/>
    </row>
    <row r="34" spans="2:20" x14ac:dyDescent="0.25">
      <c r="B34" s="17" t="s">
        <v>464</v>
      </c>
      <c r="C34" s="19"/>
      <c r="D34" s="441">
        <f>+F8-D8</f>
        <v>137.34999999999854</v>
      </c>
      <c r="E34" s="441">
        <f>+E21-E8</f>
        <v>137</v>
      </c>
      <c r="F34" s="451"/>
      <c r="G34" s="452"/>
      <c r="H34" s="19"/>
      <c r="I34" s="441">
        <f>+I21-I8</f>
        <v>-184.59999999999854</v>
      </c>
      <c r="J34" s="441">
        <f>+J21-J8</f>
        <v>-857.75317094820275</v>
      </c>
      <c r="K34" s="19"/>
      <c r="L34" s="441">
        <f>+L21-L8</f>
        <v>-237.29999999999927</v>
      </c>
      <c r="M34" s="441">
        <f>+M21-M8</f>
        <v>-857.02232420565633</v>
      </c>
      <c r="N34" s="19"/>
      <c r="O34" s="441">
        <f>+O21-O8</f>
        <v>-248.70000000000073</v>
      </c>
      <c r="P34" s="441">
        <f>+P21-P8</f>
        <v>-892.03317820614393</v>
      </c>
      <c r="Q34" s="19"/>
      <c r="R34" s="441"/>
      <c r="S34" s="436">
        <f>+S21-S8</f>
        <v>-419.03667724160186</v>
      </c>
      <c r="T34" s="11"/>
    </row>
    <row r="35" spans="2:20" x14ac:dyDescent="0.25">
      <c r="B35" s="17" t="s">
        <v>468</v>
      </c>
      <c r="C35" s="19"/>
      <c r="D35" s="441">
        <f t="shared" ref="D35:D42" si="1">+F9-D9</f>
        <v>-105</v>
      </c>
      <c r="E35" s="441">
        <f t="shared" ref="E35:E42" si="2">+E22-E9</f>
        <v>-67.111100662858689</v>
      </c>
      <c r="F35" s="441"/>
      <c r="G35" s="452"/>
      <c r="H35" s="19"/>
      <c r="I35" s="441">
        <f t="shared" ref="I35:J42" si="3">+I22-I9</f>
        <v>-218.79999999999995</v>
      </c>
      <c r="J35" s="441">
        <f t="shared" si="3"/>
        <v>-385.38627660802626</v>
      </c>
      <c r="K35" s="19"/>
      <c r="L35" s="441">
        <f t="shared" ref="L35:M42" si="4">+L22-L9</f>
        <v>-232.70000000000005</v>
      </c>
      <c r="M35" s="441">
        <f t="shared" si="4"/>
        <v>-444.68386914035045</v>
      </c>
      <c r="N35" s="19"/>
      <c r="O35" s="441">
        <f t="shared" ref="O35:P42" si="5">+O22-O9</f>
        <v>-174.40000000000009</v>
      </c>
      <c r="P35" s="441">
        <f t="shared" si="5"/>
        <v>-504.89935186139519</v>
      </c>
      <c r="Q35" s="19"/>
      <c r="R35" s="441"/>
      <c r="S35" s="436">
        <f t="shared" ref="S35:S42" si="6">+S22-S9</f>
        <v>-387.3288081186729</v>
      </c>
      <c r="T35" s="11"/>
    </row>
    <row r="36" spans="2:20" x14ac:dyDescent="0.25">
      <c r="B36" s="17" t="s">
        <v>472</v>
      </c>
      <c r="C36" s="19"/>
      <c r="D36" s="441">
        <f t="shared" si="1"/>
        <v>-6.5152777977198206E-3</v>
      </c>
      <c r="E36" s="442">
        <f t="shared" si="2"/>
        <v>-4.371485357868396E-3</v>
      </c>
      <c r="F36" s="442"/>
      <c r="G36" s="434"/>
      <c r="H36" s="19"/>
      <c r="I36" s="442">
        <f t="shared" si="3"/>
        <v>-1.1548518308420339E-2</v>
      </c>
      <c r="J36" s="442">
        <f t="shared" si="3"/>
        <v>-1.8791769150202198E-2</v>
      </c>
      <c r="K36" s="19"/>
      <c r="L36" s="442">
        <f t="shared" si="4"/>
        <v>-1.1103342880779091E-2</v>
      </c>
      <c r="M36" s="442">
        <f t="shared" si="4"/>
        <v>-1.9400723893609903E-2</v>
      </c>
      <c r="N36" s="19"/>
      <c r="O36" s="442">
        <f t="shared" si="5"/>
        <v>-8.5673146082062834E-3</v>
      </c>
      <c r="P36" s="442">
        <f t="shared" si="5"/>
        <v>-2.4928551664098797E-2</v>
      </c>
      <c r="Q36" s="19"/>
      <c r="R36" s="442"/>
      <c r="S36" s="437">
        <f t="shared" si="6"/>
        <v>-1.9390721476288827E-2</v>
      </c>
      <c r="T36" s="11"/>
    </row>
    <row r="37" spans="2:20" x14ac:dyDescent="0.25">
      <c r="B37" s="17" t="s">
        <v>465</v>
      </c>
      <c r="C37" s="19"/>
      <c r="D37" s="441">
        <f t="shared" si="1"/>
        <v>-198.125</v>
      </c>
      <c r="E37" s="441">
        <f t="shared" si="2"/>
        <v>-31.916898606893483</v>
      </c>
      <c r="F37" s="441"/>
      <c r="G37" s="452"/>
      <c r="H37" s="19"/>
      <c r="I37" s="441">
        <f t="shared" si="3"/>
        <v>-263.90000000000009</v>
      </c>
      <c r="J37" s="441">
        <f t="shared" si="3"/>
        <v>-233.80068737896272</v>
      </c>
      <c r="K37" s="19"/>
      <c r="L37" s="441">
        <f t="shared" si="4"/>
        <v>-237.09999999999991</v>
      </c>
      <c r="M37" s="441">
        <f t="shared" si="4"/>
        <v>-4743.5600825338324</v>
      </c>
      <c r="N37" s="19"/>
      <c r="O37" s="441">
        <f t="shared" si="5"/>
        <v>-231.40000000000009</v>
      </c>
      <c r="P37" s="441">
        <f t="shared" si="5"/>
        <v>-572.5825220545712</v>
      </c>
      <c r="Q37" s="19"/>
      <c r="R37" s="441"/>
      <c r="S37" s="436">
        <f t="shared" si="6"/>
        <v>-404.70221052467377</v>
      </c>
      <c r="T37" s="11"/>
    </row>
    <row r="38" spans="2:20" x14ac:dyDescent="0.25">
      <c r="B38" s="17" t="s">
        <v>466</v>
      </c>
      <c r="C38" s="19"/>
      <c r="D38" s="441">
        <f t="shared" si="1"/>
        <v>-236.53800000000001</v>
      </c>
      <c r="E38" s="441">
        <f t="shared" si="2"/>
        <v>-116.38409280069186</v>
      </c>
      <c r="F38" s="441"/>
      <c r="G38" s="452"/>
      <c r="H38" s="19"/>
      <c r="I38" s="441">
        <f t="shared" si="3"/>
        <v>-236.09999999999991</v>
      </c>
      <c r="J38" s="441">
        <f t="shared" si="3"/>
        <v>-331.83535808394777</v>
      </c>
      <c r="K38" s="19"/>
      <c r="L38" s="441">
        <f t="shared" si="4"/>
        <v>-236.29999999999995</v>
      </c>
      <c r="M38" s="441">
        <f t="shared" si="4"/>
        <v>-4837.285303034776</v>
      </c>
      <c r="N38" s="19"/>
      <c r="O38" s="441">
        <f t="shared" si="5"/>
        <v>-254.59999999999991</v>
      </c>
      <c r="P38" s="441">
        <f t="shared" si="5"/>
        <v>-657.51878241112354</v>
      </c>
      <c r="Q38" s="19"/>
      <c r="R38" s="441"/>
      <c r="S38" s="436">
        <f t="shared" si="6"/>
        <v>-491.39033285755249</v>
      </c>
      <c r="T38" s="11"/>
    </row>
    <row r="39" spans="2:20" x14ac:dyDescent="0.25">
      <c r="B39" s="17" t="s">
        <v>467</v>
      </c>
      <c r="C39" s="19"/>
      <c r="D39" s="441">
        <f t="shared" si="1"/>
        <v>22.700000000000045</v>
      </c>
      <c r="E39" s="441">
        <f t="shared" si="2"/>
        <v>13.961930399481162</v>
      </c>
      <c r="F39" s="441"/>
      <c r="G39" s="452"/>
      <c r="H39" s="19"/>
      <c r="I39" s="441">
        <f t="shared" si="3"/>
        <v>-167</v>
      </c>
      <c r="J39" s="441">
        <f t="shared" si="3"/>
        <v>-240.62651856296088</v>
      </c>
      <c r="K39" s="19"/>
      <c r="L39" s="441">
        <f t="shared" si="4"/>
        <v>-185.70000000000005</v>
      </c>
      <c r="M39" s="441">
        <f t="shared" si="4"/>
        <v>-313.04109731284734</v>
      </c>
      <c r="N39" s="19"/>
      <c r="O39" s="441">
        <f t="shared" si="5"/>
        <v>-130.70000000000005</v>
      </c>
      <c r="P39" s="441">
        <f t="shared" si="5"/>
        <v>-365.51290813234289</v>
      </c>
      <c r="Q39" s="19"/>
      <c r="R39" s="441"/>
      <c r="S39" s="436">
        <f t="shared" si="6"/>
        <v>-274.97777618876103</v>
      </c>
      <c r="T39" s="11"/>
    </row>
    <row r="40" spans="2:20" x14ac:dyDescent="0.25">
      <c r="B40" s="17" t="s">
        <v>469</v>
      </c>
      <c r="C40" s="19"/>
      <c r="D40" s="443">
        <f t="shared" si="1"/>
        <v>9.3408408408409027E-2</v>
      </c>
      <c r="E40" s="443">
        <f t="shared" si="2"/>
        <v>0.10325035830873786</v>
      </c>
      <c r="F40" s="443"/>
      <c r="G40" s="453"/>
      <c r="H40" s="19"/>
      <c r="I40" s="443">
        <f t="shared" si="3"/>
        <v>-0.60000000000000009</v>
      </c>
      <c r="J40" s="443">
        <f t="shared" si="3"/>
        <v>-0.81590410525225598</v>
      </c>
      <c r="K40" s="19"/>
      <c r="L40" s="443">
        <f t="shared" si="4"/>
        <v>-0.70000000000000018</v>
      </c>
      <c r="M40" s="443">
        <f t="shared" si="4"/>
        <v>-1.0144538714203666</v>
      </c>
      <c r="N40" s="19"/>
      <c r="O40" s="443">
        <f t="shared" si="5"/>
        <v>-0.53999999999999959</v>
      </c>
      <c r="P40" s="443">
        <f t="shared" si="5"/>
        <v>-1.2285688244492188</v>
      </c>
      <c r="Q40" s="19"/>
      <c r="R40" s="443"/>
      <c r="S40" s="438">
        <f t="shared" si="6"/>
        <v>-0.84988708457827267</v>
      </c>
      <c r="T40" s="11"/>
    </row>
    <row r="41" spans="2:20" x14ac:dyDescent="0.25">
      <c r="B41" s="17" t="s">
        <v>470</v>
      </c>
      <c r="C41" s="19"/>
      <c r="D41" s="441">
        <f t="shared" si="1"/>
        <v>-534</v>
      </c>
      <c r="E41" s="441">
        <f t="shared" si="2"/>
        <v>0</v>
      </c>
      <c r="F41" s="441"/>
      <c r="G41" s="452"/>
      <c r="H41" s="19"/>
      <c r="I41" s="441">
        <f t="shared" si="3"/>
        <v>-577</v>
      </c>
      <c r="J41" s="441">
        <f t="shared" si="3"/>
        <v>0</v>
      </c>
      <c r="K41" s="19"/>
      <c r="L41" s="441">
        <f t="shared" si="4"/>
        <v>-970</v>
      </c>
      <c r="M41" s="441">
        <f t="shared" si="4"/>
        <v>0</v>
      </c>
      <c r="N41" s="19"/>
      <c r="O41" s="441">
        <f t="shared" si="5"/>
        <v>-327</v>
      </c>
      <c r="P41" s="441">
        <f t="shared" si="5"/>
        <v>0</v>
      </c>
      <c r="Q41" s="19"/>
      <c r="R41" s="441"/>
      <c r="S41" s="436">
        <f t="shared" si="6"/>
        <v>0</v>
      </c>
      <c r="T41" s="11"/>
    </row>
    <row r="42" spans="2:20" x14ac:dyDescent="0.25">
      <c r="B42" s="18" t="s">
        <v>471</v>
      </c>
      <c r="C42" s="20"/>
      <c r="D42" s="444">
        <f t="shared" si="1"/>
        <v>18</v>
      </c>
      <c r="E42" s="444">
        <f t="shared" si="2"/>
        <v>22.353000000000065</v>
      </c>
      <c r="F42" s="444"/>
      <c r="G42" s="454"/>
      <c r="H42" s="20"/>
      <c r="I42" s="444">
        <f t="shared" si="3"/>
        <v>-10</v>
      </c>
      <c r="J42" s="444">
        <f t="shared" si="3"/>
        <v>-324.28800684680436</v>
      </c>
      <c r="K42" s="20"/>
      <c r="L42" s="444">
        <f t="shared" si="4"/>
        <v>-10</v>
      </c>
      <c r="M42" s="444">
        <f t="shared" si="4"/>
        <v>202.88356429185296</v>
      </c>
      <c r="N42" s="20"/>
      <c r="O42" s="444">
        <f t="shared" si="5"/>
        <v>77.5</v>
      </c>
      <c r="P42" s="444">
        <f t="shared" si="5"/>
        <v>-65.594181998327485</v>
      </c>
      <c r="Q42" s="20"/>
      <c r="R42" s="444"/>
      <c r="S42" s="439">
        <f t="shared" si="6"/>
        <v>-28.156714687517251</v>
      </c>
      <c r="T42" s="11"/>
    </row>
    <row r="43" spans="2:20" ht="12.6" customHeight="1" x14ac:dyDescent="0.25">
      <c r="B43" s="7"/>
      <c r="C43" s="8"/>
      <c r="D43" s="8"/>
      <c r="E43" s="8"/>
      <c r="F43" s="8"/>
      <c r="G43" s="8"/>
      <c r="H43" s="8"/>
      <c r="I43" s="8"/>
      <c r="J43" s="8"/>
      <c r="M43" s="8"/>
      <c r="P43" s="8"/>
      <c r="S43" s="8"/>
    </row>
    <row r="44" spans="2:20" ht="21" customHeight="1" x14ac:dyDescent="0.25">
      <c r="B44" s="7"/>
      <c r="C44" s="13"/>
      <c r="D44" s="14"/>
      <c r="E44" s="14"/>
      <c r="F44" s="14"/>
      <c r="G44" s="14"/>
      <c r="H44" s="14"/>
      <c r="I44" s="14"/>
      <c r="J44" s="14"/>
      <c r="L44" s="7"/>
      <c r="M44" s="14"/>
      <c r="P44" s="14"/>
      <c r="S44" s="14"/>
    </row>
    <row r="45" spans="2:20" s="5" customFormat="1" ht="21" customHeight="1" x14ac:dyDescent="0.25">
      <c r="C45" s="14"/>
      <c r="D45" s="14"/>
      <c r="E45" s="14"/>
      <c r="F45" s="14"/>
      <c r="G45" s="14"/>
      <c r="H45" s="14"/>
      <c r="I45" s="14"/>
      <c r="J45" s="14"/>
      <c r="L45" s="783"/>
      <c r="M45" s="783"/>
      <c r="N45" s="783"/>
      <c r="O45" s="783"/>
      <c r="P45" s="783"/>
      <c r="Q45" s="783"/>
      <c r="R45" s="783"/>
      <c r="S45" s="783"/>
      <c r="T45" s="783"/>
    </row>
    <row r="46" spans="2:20" ht="21" customHeight="1" x14ac:dyDescent="0.25">
      <c r="C46" s="8"/>
      <c r="D46" s="12"/>
      <c r="E46" s="12"/>
      <c r="F46" s="12"/>
      <c r="G46" s="12"/>
      <c r="H46" s="12"/>
      <c r="I46" s="12"/>
      <c r="J46" s="12"/>
      <c r="K46" s="9"/>
      <c r="M46" s="12"/>
      <c r="P46" s="12"/>
      <c r="S46" s="12"/>
    </row>
    <row r="47" spans="2:20" ht="21" customHeight="1" x14ac:dyDescent="0.25">
      <c r="C47" s="8"/>
      <c r="D47" s="12"/>
      <c r="E47" s="12"/>
      <c r="F47" s="12"/>
      <c r="G47" s="12"/>
      <c r="H47" s="12"/>
      <c r="I47" s="12"/>
      <c r="J47" s="12"/>
      <c r="K47" s="9"/>
      <c r="M47" s="12"/>
      <c r="P47" s="12"/>
      <c r="S47" s="12"/>
    </row>
    <row r="48" spans="2:20" ht="21" customHeight="1" x14ac:dyDescent="0.25">
      <c r="C48" s="8"/>
      <c r="D48" s="12"/>
      <c r="E48" s="12"/>
      <c r="F48" s="12"/>
      <c r="G48" s="12"/>
      <c r="H48" s="12"/>
      <c r="I48" s="12"/>
      <c r="J48" s="12"/>
      <c r="K48" s="9"/>
      <c r="M48" s="12"/>
      <c r="P48" s="12"/>
      <c r="S48" s="12"/>
    </row>
    <row r="49" spans="3:19" ht="21" customHeight="1" x14ac:dyDescent="0.25">
      <c r="C49" s="8"/>
      <c r="D49" s="12"/>
      <c r="E49" s="12"/>
      <c r="F49" s="12"/>
      <c r="G49" s="12"/>
      <c r="H49" s="12"/>
      <c r="I49" s="12"/>
      <c r="J49" s="12"/>
      <c r="K49" s="9"/>
      <c r="M49" s="12"/>
      <c r="P49" s="12"/>
      <c r="S49" s="12"/>
    </row>
    <row r="50" spans="3:19" ht="21" customHeight="1" x14ac:dyDescent="0.25">
      <c r="C50" s="8"/>
      <c r="D50" s="12"/>
      <c r="E50" s="12"/>
      <c r="F50" s="12"/>
      <c r="G50" s="12"/>
      <c r="H50" s="12"/>
      <c r="I50" s="15"/>
      <c r="J50" s="12"/>
      <c r="K50" s="9"/>
      <c r="M50" s="12"/>
      <c r="P50" s="12"/>
      <c r="S50" s="12"/>
    </row>
    <row r="51" spans="3:19" ht="21" customHeight="1" x14ac:dyDescent="0.25">
      <c r="C51" s="8"/>
      <c r="D51" s="12"/>
      <c r="E51" s="12"/>
      <c r="F51" s="12"/>
      <c r="G51" s="12"/>
      <c r="H51" s="16"/>
      <c r="I51" s="16"/>
      <c r="J51" s="12"/>
      <c r="K51" s="9"/>
      <c r="M51" s="12"/>
      <c r="P51" s="12"/>
      <c r="S51" s="12"/>
    </row>
    <row r="52" spans="3:19" ht="21" customHeight="1" x14ac:dyDescent="0.25">
      <c r="C52" s="8"/>
      <c r="D52" s="12"/>
      <c r="E52" s="12"/>
      <c r="F52" s="12"/>
      <c r="G52" s="12"/>
      <c r="H52" s="16"/>
      <c r="I52" s="16"/>
      <c r="J52" s="12"/>
      <c r="K52" s="9"/>
      <c r="M52" s="12"/>
      <c r="P52" s="12"/>
      <c r="S52" s="12"/>
    </row>
    <row r="53" spans="3:19" ht="21" customHeight="1" x14ac:dyDescent="0.25">
      <c r="C53" s="8"/>
      <c r="D53" s="12"/>
      <c r="E53" s="12"/>
      <c r="F53" s="12"/>
      <c r="G53" s="12"/>
      <c r="H53" s="16"/>
      <c r="I53" s="16"/>
      <c r="J53" s="12"/>
      <c r="K53" s="9"/>
      <c r="M53" s="12"/>
      <c r="P53" s="12"/>
      <c r="S53" s="12"/>
    </row>
    <row r="54" spans="3:19" ht="21" customHeight="1" x14ac:dyDescent="0.25">
      <c r="D54" s="1"/>
      <c r="E54" s="1"/>
      <c r="F54" s="1"/>
      <c r="G54" s="1"/>
      <c r="H54" s="2"/>
      <c r="I54" s="2"/>
      <c r="J54" s="1"/>
      <c r="K54" s="9"/>
      <c r="M54" s="1"/>
      <c r="P54" s="1"/>
      <c r="S54" s="1"/>
    </row>
    <row r="55" spans="3:19" ht="21" customHeight="1" x14ac:dyDescent="0.25">
      <c r="D55" s="1"/>
      <c r="E55" s="1"/>
      <c r="F55" s="1"/>
      <c r="G55" s="1"/>
      <c r="H55" s="2"/>
      <c r="I55" s="2"/>
      <c r="J55" s="1"/>
      <c r="K55" s="9"/>
      <c r="M55" s="1"/>
      <c r="P55" s="1"/>
      <c r="S55" s="1"/>
    </row>
  </sheetData>
  <mergeCells count="12">
    <mergeCell ref="L45:T45"/>
    <mergeCell ref="B5:S5"/>
    <mergeCell ref="B18:S18"/>
    <mergeCell ref="H19:J19"/>
    <mergeCell ref="K19:M19"/>
    <mergeCell ref="N19:P19"/>
    <mergeCell ref="Q19:S19"/>
    <mergeCell ref="B31:S31"/>
    <mergeCell ref="H32:J32"/>
    <mergeCell ref="K32:M32"/>
    <mergeCell ref="N32:P32"/>
    <mergeCell ref="Q32:S32"/>
  </mergeCells>
  <pageMargins left="0.7" right="0.7" top="0.75" bottom="0.75" header="0.3" footer="0.3"/>
  <pageSetup orientation="portrait" horizontalDpi="200" verticalDpi="2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89EE8-E360-43D2-903B-25BD287D24DF}">
  <sheetPr>
    <tabColor theme="4" tint="0.39997558519241921"/>
  </sheetPr>
  <dimension ref="B1:X26"/>
  <sheetViews>
    <sheetView showGridLines="0" zoomScaleNormal="100" workbookViewId="0">
      <selection activeCell="H48" sqref="H48"/>
    </sheetView>
  </sheetViews>
  <sheetFormatPr defaultColWidth="9.140625" defaultRowHeight="15" x14ac:dyDescent="0.25"/>
  <cols>
    <col min="1" max="1" width="1.140625" style="6" customWidth="1"/>
    <col min="2" max="2" width="34.5703125" style="6" customWidth="1"/>
    <col min="3" max="6" width="10.28515625" style="6" customWidth="1"/>
    <col min="7" max="7" width="11.140625" style="6" customWidth="1"/>
    <col min="8" max="8" width="10.85546875" style="6" customWidth="1"/>
    <col min="9" max="9" width="11.140625" style="6" customWidth="1"/>
    <col min="10" max="10" width="10.85546875" style="6" customWidth="1"/>
    <col min="11" max="11" width="11.140625" style="6" customWidth="1"/>
    <col min="12" max="12" width="10.85546875" style="6" customWidth="1"/>
    <col min="13" max="13" width="11.140625" style="6" customWidth="1"/>
    <col min="14" max="14" width="10.7109375" style="6" customWidth="1"/>
    <col min="15" max="15" width="1.140625" style="6" customWidth="1"/>
    <col min="16" max="16" width="34.5703125" style="6" customWidth="1"/>
    <col min="17" max="17" width="11.140625" style="6" customWidth="1"/>
    <col min="18" max="18" width="10.7109375" style="6" customWidth="1"/>
    <col min="19" max="19" width="11.140625" style="6" customWidth="1"/>
    <col min="20" max="20" width="10.7109375" style="6" customWidth="1"/>
    <col min="21" max="21" width="11.140625" style="6" customWidth="1"/>
    <col min="22" max="22" width="10.7109375" style="6" customWidth="1"/>
    <col min="23" max="23" width="11.140625" style="6" customWidth="1"/>
    <col min="24" max="24" width="10.7109375" style="6" customWidth="1"/>
    <col min="25" max="16384" width="9.140625" style="6"/>
  </cols>
  <sheetData>
    <row r="1" spans="2:24" x14ac:dyDescent="0.25">
      <c r="B1" s="6" t="s">
        <v>733</v>
      </c>
    </row>
    <row r="2" spans="2:24" x14ac:dyDescent="0.25">
      <c r="B2" s="6" t="s">
        <v>457</v>
      </c>
    </row>
    <row r="3" spans="2:24" ht="5.45" customHeight="1" x14ac:dyDescent="0.25">
      <c r="H3" s="1"/>
      <c r="I3" s="2"/>
      <c r="J3" s="2"/>
      <c r="K3" s="9"/>
    </row>
    <row r="4" spans="2:24" ht="16.899999999999999" customHeight="1" x14ac:dyDescent="0.25">
      <c r="B4" s="803" t="s">
        <v>91</v>
      </c>
      <c r="C4" s="813"/>
      <c r="D4" s="813"/>
      <c r="E4" s="813"/>
      <c r="F4" s="813"/>
      <c r="G4" s="804"/>
      <c r="H4" s="804"/>
      <c r="I4" s="804"/>
      <c r="J4" s="804"/>
      <c r="K4" s="804"/>
      <c r="L4" s="804"/>
      <c r="M4" s="804"/>
      <c r="N4" s="805"/>
      <c r="P4" s="803" t="s">
        <v>94</v>
      </c>
      <c r="Q4" s="804"/>
      <c r="R4" s="804"/>
      <c r="S4" s="804"/>
      <c r="T4" s="804"/>
      <c r="U4" s="804"/>
      <c r="V4" s="804"/>
      <c r="W4" s="804"/>
      <c r="X4" s="805"/>
    </row>
    <row r="5" spans="2:24" ht="16.899999999999999" customHeight="1" x14ac:dyDescent="0.25">
      <c r="B5" s="797" t="s">
        <v>92</v>
      </c>
      <c r="C5" s="814" t="s">
        <v>524</v>
      </c>
      <c r="D5" s="815"/>
      <c r="E5" s="815"/>
      <c r="F5" s="815"/>
      <c r="G5" s="579" t="s">
        <v>368</v>
      </c>
      <c r="H5" s="580"/>
      <c r="I5" s="579" t="s">
        <v>369</v>
      </c>
      <c r="J5" s="580"/>
      <c r="K5" s="579" t="s">
        <v>370</v>
      </c>
      <c r="L5" s="580"/>
      <c r="M5" s="579" t="s">
        <v>371</v>
      </c>
      <c r="N5" s="581"/>
      <c r="O5" s="10"/>
      <c r="P5" s="797" t="s">
        <v>92</v>
      </c>
      <c r="Q5" s="810" t="s">
        <v>95</v>
      </c>
      <c r="R5" s="811"/>
      <c r="S5" s="810" t="s">
        <v>96</v>
      </c>
      <c r="T5" s="811"/>
      <c r="U5" s="810" t="s">
        <v>462</v>
      </c>
      <c r="V5" s="811"/>
      <c r="W5" s="810" t="s">
        <v>463</v>
      </c>
      <c r="X5" s="812"/>
    </row>
    <row r="6" spans="2:24" ht="16.899999999999999" customHeight="1" x14ac:dyDescent="0.25">
      <c r="B6" s="806"/>
      <c r="C6" s="566" t="s">
        <v>112</v>
      </c>
      <c r="D6" s="566" t="s">
        <v>113</v>
      </c>
      <c r="E6" s="566" t="s">
        <v>114</v>
      </c>
      <c r="F6" s="565" t="s">
        <v>492</v>
      </c>
      <c r="G6" s="594" t="s">
        <v>93</v>
      </c>
      <c r="H6" s="575" t="s">
        <v>68</v>
      </c>
      <c r="I6" s="594" t="s">
        <v>93</v>
      </c>
      <c r="J6" s="575" t="s">
        <v>68</v>
      </c>
      <c r="K6" s="594" t="s">
        <v>93</v>
      </c>
      <c r="L6" s="575" t="s">
        <v>68</v>
      </c>
      <c r="M6" s="594" t="s">
        <v>93</v>
      </c>
      <c r="N6" s="576" t="s">
        <v>68</v>
      </c>
      <c r="O6" s="10"/>
      <c r="P6" s="806"/>
      <c r="Q6" s="594" t="s">
        <v>93</v>
      </c>
      <c r="R6" s="575" t="s">
        <v>68</v>
      </c>
      <c r="S6" s="594" t="s">
        <v>93</v>
      </c>
      <c r="T6" s="575" t="s">
        <v>68</v>
      </c>
      <c r="U6" s="594" t="s">
        <v>93</v>
      </c>
      <c r="V6" s="575" t="s">
        <v>68</v>
      </c>
      <c r="W6" s="594" t="s">
        <v>93</v>
      </c>
      <c r="X6" s="576" t="s">
        <v>68</v>
      </c>
    </row>
    <row r="7" spans="2:24" x14ac:dyDescent="0.25">
      <c r="B7" s="567" t="s">
        <v>464</v>
      </c>
      <c r="C7" s="571">
        <v>16313</v>
      </c>
      <c r="D7" s="433">
        <v>16526</v>
      </c>
      <c r="E7" s="433">
        <v>17314</v>
      </c>
      <c r="F7" s="433">
        <v>17052</v>
      </c>
      <c r="G7" s="582">
        <v>20</v>
      </c>
      <c r="H7" s="583">
        <v>17686.650000000001</v>
      </c>
      <c r="I7" s="584">
        <v>17</v>
      </c>
      <c r="J7" s="583">
        <v>17889</v>
      </c>
      <c r="K7" s="584">
        <v>17</v>
      </c>
      <c r="L7" s="583">
        <v>18692</v>
      </c>
      <c r="M7" s="584">
        <v>7</v>
      </c>
      <c r="N7" s="585">
        <v>18026</v>
      </c>
      <c r="O7" s="11"/>
      <c r="P7" s="567" t="s">
        <v>464</v>
      </c>
      <c r="Q7" s="595">
        <v>24</v>
      </c>
      <c r="R7" s="583">
        <v>71323</v>
      </c>
      <c r="S7" s="584">
        <v>23</v>
      </c>
      <c r="T7" s="583">
        <v>75245</v>
      </c>
      <c r="U7" s="584">
        <v>8</v>
      </c>
      <c r="V7" s="583">
        <v>78816</v>
      </c>
      <c r="W7" s="584">
        <v>1</v>
      </c>
      <c r="X7" s="585">
        <v>83791</v>
      </c>
    </row>
    <row r="8" spans="2:24" x14ac:dyDescent="0.25">
      <c r="B8" s="567" t="s">
        <v>525</v>
      </c>
      <c r="C8" s="572">
        <v>1237</v>
      </c>
      <c r="D8" s="433">
        <v>964</v>
      </c>
      <c r="E8" s="433">
        <v>1835</v>
      </c>
      <c r="F8" s="433">
        <v>1192</v>
      </c>
      <c r="G8" s="582">
        <v>12</v>
      </c>
      <c r="H8" s="583">
        <v>1433</v>
      </c>
      <c r="I8" s="584">
        <v>12</v>
      </c>
      <c r="J8" s="583">
        <v>1383</v>
      </c>
      <c r="K8" s="584">
        <v>10</v>
      </c>
      <c r="L8" s="583">
        <v>2167</v>
      </c>
      <c r="M8" s="584">
        <v>5</v>
      </c>
      <c r="N8" s="585">
        <v>1632</v>
      </c>
      <c r="O8" s="11"/>
      <c r="P8" s="567" t="s">
        <v>525</v>
      </c>
      <c r="Q8" s="584">
        <v>16</v>
      </c>
      <c r="R8" s="583">
        <v>6084</v>
      </c>
      <c r="S8" s="584">
        <v>17</v>
      </c>
      <c r="T8" s="583">
        <v>7152</v>
      </c>
      <c r="U8" s="584">
        <v>8</v>
      </c>
      <c r="V8" s="583">
        <v>7705</v>
      </c>
      <c r="W8" s="584">
        <v>1</v>
      </c>
      <c r="X8" s="585">
        <v>7852</v>
      </c>
    </row>
    <row r="9" spans="2:24" x14ac:dyDescent="0.25">
      <c r="B9" s="567" t="s">
        <v>523</v>
      </c>
      <c r="C9" s="573">
        <f>+C8/C7</f>
        <v>7.5829093361123034E-2</v>
      </c>
      <c r="D9" s="434">
        <f t="shared" ref="D9:F9" si="0">+D8/D7</f>
        <v>5.8332324821493406E-2</v>
      </c>
      <c r="E9" s="434">
        <f t="shared" si="0"/>
        <v>0.10598359708906088</v>
      </c>
      <c r="F9" s="434">
        <f t="shared" si="0"/>
        <v>6.9903823598404885E-2</v>
      </c>
      <c r="G9" s="582"/>
      <c r="H9" s="586">
        <f>+H8/H7</f>
        <v>8.1021561460197372E-2</v>
      </c>
      <c r="I9" s="584"/>
      <c r="J9" s="586">
        <v>7.7306183069722617E-2</v>
      </c>
      <c r="K9" s="584"/>
      <c r="L9" s="586">
        <v>0.11591675084731336</v>
      </c>
      <c r="M9" s="584"/>
      <c r="N9" s="587">
        <v>9.0559518148676438E-2</v>
      </c>
      <c r="O9" s="11"/>
      <c r="P9" s="567" t="s">
        <v>523</v>
      </c>
      <c r="Q9" s="584"/>
      <c r="R9" s="586">
        <v>8.5295115936838986E-2</v>
      </c>
      <c r="S9" s="584"/>
      <c r="T9" s="586">
        <v>9.5045431392421553E-2</v>
      </c>
      <c r="U9" s="584"/>
      <c r="V9" s="586">
        <v>9.7754270217118938E-2</v>
      </c>
      <c r="W9" s="584">
        <v>0</v>
      </c>
      <c r="X9" s="587" t="s">
        <v>408</v>
      </c>
    </row>
    <row r="10" spans="2:24" x14ac:dyDescent="0.25">
      <c r="B10" s="567" t="s">
        <v>465</v>
      </c>
      <c r="C10" s="572">
        <v>1895</v>
      </c>
      <c r="D10" s="433">
        <v>1660</v>
      </c>
      <c r="E10" s="433">
        <v>2160</v>
      </c>
      <c r="F10" s="433">
        <v>1909</v>
      </c>
      <c r="G10" s="582">
        <v>116</v>
      </c>
      <c r="H10" s="583">
        <v>2203.125</v>
      </c>
      <c r="I10" s="584">
        <v>15</v>
      </c>
      <c r="J10" s="583">
        <v>2226</v>
      </c>
      <c r="K10" s="584">
        <v>15</v>
      </c>
      <c r="L10" s="583">
        <v>2983</v>
      </c>
      <c r="M10" s="584">
        <v>6</v>
      </c>
      <c r="N10" s="585">
        <v>2455</v>
      </c>
      <c r="O10" s="11"/>
      <c r="P10" s="567" t="s">
        <v>465</v>
      </c>
      <c r="Q10" s="584">
        <v>17</v>
      </c>
      <c r="R10" s="583">
        <v>9209</v>
      </c>
      <c r="S10" s="584">
        <v>20</v>
      </c>
      <c r="T10" s="583">
        <v>10542</v>
      </c>
      <c r="U10" s="584">
        <v>8</v>
      </c>
      <c r="V10" s="583">
        <v>11301</v>
      </c>
      <c r="W10" s="584">
        <v>1</v>
      </c>
      <c r="X10" s="585">
        <v>11256</v>
      </c>
    </row>
    <row r="11" spans="2:24" x14ac:dyDescent="0.25">
      <c r="B11" s="567" t="s">
        <v>466</v>
      </c>
      <c r="C11" s="572">
        <v>1139</v>
      </c>
      <c r="D11" s="433">
        <v>874</v>
      </c>
      <c r="E11" s="433">
        <v>1358</v>
      </c>
      <c r="F11" s="433">
        <v>1101</v>
      </c>
      <c r="G11" s="582">
        <v>13</v>
      </c>
      <c r="H11" s="583">
        <v>1413.538</v>
      </c>
      <c r="I11" s="584">
        <v>11</v>
      </c>
      <c r="J11" s="583">
        <v>1361</v>
      </c>
      <c r="K11" s="584">
        <v>11</v>
      </c>
      <c r="L11" s="583">
        <v>2173</v>
      </c>
      <c r="M11" s="584">
        <v>3</v>
      </c>
      <c r="N11" s="585">
        <v>1615</v>
      </c>
      <c r="O11" s="11"/>
      <c r="P11" s="567" t="s">
        <v>466</v>
      </c>
      <c r="Q11" s="584">
        <v>17</v>
      </c>
      <c r="R11" s="583">
        <v>6085</v>
      </c>
      <c r="S11" s="584">
        <v>18</v>
      </c>
      <c r="T11" s="583">
        <v>7065</v>
      </c>
      <c r="U11" s="584">
        <v>6</v>
      </c>
      <c r="V11" s="583">
        <v>7781</v>
      </c>
      <c r="W11" s="584">
        <v>0</v>
      </c>
      <c r="X11" s="585" t="s">
        <v>408</v>
      </c>
    </row>
    <row r="12" spans="2:24" x14ac:dyDescent="0.25">
      <c r="B12" s="567" t="s">
        <v>467</v>
      </c>
      <c r="C12" s="572">
        <v>775</v>
      </c>
      <c r="D12" s="433">
        <v>2074</v>
      </c>
      <c r="E12" s="433">
        <v>1127</v>
      </c>
      <c r="F12" s="433">
        <v>835</v>
      </c>
      <c r="G12" s="582">
        <v>15</v>
      </c>
      <c r="H12" s="583">
        <v>1051.8</v>
      </c>
      <c r="I12" s="584">
        <v>15</v>
      </c>
      <c r="J12" s="583">
        <v>1027</v>
      </c>
      <c r="K12" s="584">
        <v>15</v>
      </c>
      <c r="L12" s="583">
        <v>1618</v>
      </c>
      <c r="M12" s="584">
        <v>15</v>
      </c>
      <c r="N12" s="585">
        <v>1185</v>
      </c>
      <c r="O12" s="11"/>
      <c r="P12" s="567" t="s">
        <v>467</v>
      </c>
      <c r="Q12" s="584">
        <v>20</v>
      </c>
      <c r="R12" s="583">
        <v>4627</v>
      </c>
      <c r="S12" s="584">
        <v>21</v>
      </c>
      <c r="T12" s="583">
        <v>5346</v>
      </c>
      <c r="U12" s="584">
        <v>8</v>
      </c>
      <c r="V12" s="583">
        <v>5809</v>
      </c>
      <c r="W12" s="584">
        <v>1</v>
      </c>
      <c r="X12" s="585">
        <v>6028</v>
      </c>
    </row>
    <row r="13" spans="2:24" x14ac:dyDescent="0.25">
      <c r="B13" s="567" t="s">
        <v>469</v>
      </c>
      <c r="C13" s="574">
        <v>3.17</v>
      </c>
      <c r="D13" s="435">
        <v>3.72</v>
      </c>
      <c r="E13" s="435">
        <v>5.91</v>
      </c>
      <c r="F13" s="435">
        <v>3.46</v>
      </c>
      <c r="G13" s="582">
        <v>24</v>
      </c>
      <c r="H13" s="588">
        <v>3.94</v>
      </c>
      <c r="I13" s="584">
        <v>22</v>
      </c>
      <c r="J13" s="588">
        <v>3.85</v>
      </c>
      <c r="K13" s="584">
        <v>21</v>
      </c>
      <c r="L13" s="588">
        <v>6.05</v>
      </c>
      <c r="M13" s="584">
        <v>11</v>
      </c>
      <c r="N13" s="589">
        <v>4.43</v>
      </c>
      <c r="O13" s="11"/>
      <c r="P13" s="567" t="s">
        <v>469</v>
      </c>
      <c r="Q13" s="584">
        <v>30</v>
      </c>
      <c r="R13" s="588">
        <v>17.39</v>
      </c>
      <c r="S13" s="584">
        <v>29</v>
      </c>
      <c r="T13" s="588">
        <v>20.14</v>
      </c>
      <c r="U13" s="584">
        <v>8</v>
      </c>
      <c r="V13" s="588">
        <v>22.63</v>
      </c>
      <c r="W13" s="584">
        <v>1</v>
      </c>
      <c r="X13" s="589">
        <v>24.56</v>
      </c>
    </row>
    <row r="14" spans="2:24" x14ac:dyDescent="0.25">
      <c r="B14" s="567" t="s">
        <v>470</v>
      </c>
      <c r="C14" s="572"/>
      <c r="D14" s="433"/>
      <c r="E14" s="433"/>
      <c r="F14" s="433"/>
      <c r="G14" s="582">
        <v>3</v>
      </c>
      <c r="H14" s="583">
        <v>534</v>
      </c>
      <c r="I14" s="584">
        <v>3</v>
      </c>
      <c r="J14" s="583">
        <v>577</v>
      </c>
      <c r="K14" s="584">
        <v>3</v>
      </c>
      <c r="L14" s="583">
        <v>970</v>
      </c>
      <c r="M14" s="584">
        <v>3</v>
      </c>
      <c r="N14" s="585">
        <v>327</v>
      </c>
      <c r="O14" s="11"/>
      <c r="P14" s="567" t="s">
        <v>470</v>
      </c>
      <c r="Q14" s="584">
        <v>11</v>
      </c>
      <c r="R14" s="583">
        <v>1821</v>
      </c>
      <c r="S14" s="584">
        <v>12</v>
      </c>
      <c r="T14" s="583">
        <v>2237</v>
      </c>
      <c r="U14" s="584">
        <v>4</v>
      </c>
      <c r="V14" s="583">
        <v>3424</v>
      </c>
      <c r="W14" s="584">
        <v>0</v>
      </c>
      <c r="X14" s="585" t="s">
        <v>408</v>
      </c>
    </row>
    <row r="15" spans="2:24" x14ac:dyDescent="0.25">
      <c r="B15" s="569" t="s">
        <v>471</v>
      </c>
      <c r="C15" s="577">
        <v>1577</v>
      </c>
      <c r="D15" s="578">
        <v>1373</v>
      </c>
      <c r="E15" s="578">
        <v>1669</v>
      </c>
      <c r="F15" s="578">
        <v>1179</v>
      </c>
      <c r="G15" s="590">
        <v>2</v>
      </c>
      <c r="H15" s="591">
        <v>1437</v>
      </c>
      <c r="I15" s="592">
        <v>2</v>
      </c>
      <c r="J15" s="591">
        <v>1493</v>
      </c>
      <c r="K15" s="592">
        <v>2</v>
      </c>
      <c r="L15" s="591">
        <v>1493</v>
      </c>
      <c r="M15" s="592">
        <v>3</v>
      </c>
      <c r="N15" s="593">
        <v>1525</v>
      </c>
      <c r="O15" s="11"/>
      <c r="P15" s="569" t="s">
        <v>471</v>
      </c>
      <c r="Q15" s="592">
        <v>11</v>
      </c>
      <c r="R15" s="591">
        <v>5607</v>
      </c>
      <c r="S15" s="592">
        <v>10</v>
      </c>
      <c r="T15" s="591">
        <v>6413</v>
      </c>
      <c r="U15" s="592">
        <v>3</v>
      </c>
      <c r="V15" s="591">
        <v>6790</v>
      </c>
      <c r="W15" s="592">
        <v>0</v>
      </c>
      <c r="X15" s="593" t="s">
        <v>408</v>
      </c>
    </row>
    <row r="17" spans="3:24" ht="15" customHeight="1" x14ac:dyDescent="0.25">
      <c r="C17" s="797" t="s">
        <v>724</v>
      </c>
      <c r="D17" s="798"/>
      <c r="E17" s="799"/>
      <c r="F17" s="7"/>
      <c r="G17" s="8"/>
      <c r="H17" s="596"/>
      <c r="I17" s="8"/>
      <c r="J17" s="596"/>
      <c r="K17" s="596"/>
      <c r="L17" s="596"/>
      <c r="M17" s="596"/>
      <c r="N17" s="596"/>
      <c r="R17" s="596"/>
      <c r="S17" s="596"/>
      <c r="T17" s="596"/>
      <c r="U17" s="596"/>
      <c r="V17" s="596"/>
      <c r="W17" s="596"/>
      <c r="X17" s="596"/>
    </row>
    <row r="18" spans="3:24" ht="15" customHeight="1" x14ac:dyDescent="0.25">
      <c r="C18" s="567" t="s">
        <v>725</v>
      </c>
      <c r="D18" s="624">
        <v>0.871</v>
      </c>
      <c r="E18" s="568">
        <v>27</v>
      </c>
      <c r="G18" s="8"/>
      <c r="H18" s="596"/>
      <c r="I18" s="12"/>
      <c r="J18" s="596"/>
      <c r="K18" s="596"/>
      <c r="L18" s="596"/>
      <c r="M18" s="596"/>
      <c r="N18" s="596"/>
      <c r="R18" s="596"/>
      <c r="S18" s="596"/>
      <c r="T18" s="596"/>
      <c r="U18" s="596"/>
      <c r="V18" s="596"/>
      <c r="W18" s="596"/>
      <c r="X18" s="596"/>
    </row>
    <row r="19" spans="3:24" ht="15" customHeight="1" x14ac:dyDescent="0.25">
      <c r="C19" s="567" t="s">
        <v>726</v>
      </c>
      <c r="D19" s="624">
        <v>9.7000000000000003E-2</v>
      </c>
      <c r="E19" s="568">
        <v>3</v>
      </c>
      <c r="G19" s="8"/>
      <c r="H19" s="596"/>
      <c r="I19" s="12"/>
      <c r="J19" s="596"/>
      <c r="K19" s="596"/>
      <c r="L19" s="596"/>
      <c r="M19" s="596"/>
      <c r="N19" s="596"/>
      <c r="R19" s="596"/>
      <c r="S19" s="596"/>
      <c r="T19" s="596"/>
      <c r="U19" s="596"/>
      <c r="V19" s="596"/>
      <c r="W19" s="596"/>
      <c r="X19" s="596"/>
    </row>
    <row r="20" spans="3:24" ht="15" customHeight="1" x14ac:dyDescent="0.25">
      <c r="C20" s="567" t="s">
        <v>727</v>
      </c>
      <c r="D20" s="624">
        <v>3.2000000000000001E-2</v>
      </c>
      <c r="E20" s="568">
        <v>1</v>
      </c>
      <c r="G20" s="8"/>
      <c r="H20" s="596"/>
      <c r="I20" s="12"/>
      <c r="J20" s="596"/>
      <c r="K20" s="596"/>
      <c r="L20" s="596"/>
      <c r="M20" s="596"/>
      <c r="N20" s="596"/>
      <c r="R20" s="596"/>
      <c r="S20" s="596"/>
      <c r="T20" s="596"/>
      <c r="U20" s="596"/>
      <c r="V20" s="596"/>
      <c r="W20" s="596"/>
      <c r="X20" s="596"/>
    </row>
    <row r="21" spans="3:24" ht="15" customHeight="1" x14ac:dyDescent="0.25">
      <c r="C21" s="567" t="s">
        <v>728</v>
      </c>
      <c r="D21" s="506"/>
      <c r="E21" s="625">
        <v>287.73</v>
      </c>
      <c r="G21" s="8"/>
      <c r="H21" s="596"/>
      <c r="I21" s="12"/>
      <c r="J21" s="596"/>
      <c r="K21" s="596"/>
      <c r="L21" s="596"/>
      <c r="M21" s="596"/>
      <c r="N21" s="596"/>
      <c r="R21" s="596"/>
      <c r="S21" s="596"/>
      <c r="T21" s="596"/>
      <c r="U21" s="596"/>
      <c r="V21" s="596"/>
      <c r="W21" s="596"/>
      <c r="X21" s="596"/>
    </row>
    <row r="22" spans="3:24" ht="15" customHeight="1" x14ac:dyDescent="0.25">
      <c r="C22" s="567" t="s">
        <v>729</v>
      </c>
      <c r="D22" s="506"/>
      <c r="E22" s="625">
        <v>223.4</v>
      </c>
      <c r="G22" s="8"/>
      <c r="H22" s="596"/>
      <c r="I22" s="12"/>
      <c r="J22" s="596"/>
      <c r="K22" s="596"/>
      <c r="L22" s="596"/>
      <c r="M22" s="596"/>
      <c r="N22" s="596"/>
      <c r="R22" s="596"/>
      <c r="S22" s="596"/>
      <c r="T22" s="596"/>
      <c r="U22" s="596"/>
      <c r="V22" s="596"/>
      <c r="W22" s="596"/>
      <c r="X22" s="596"/>
    </row>
    <row r="23" spans="3:24" ht="15" customHeight="1" x14ac:dyDescent="0.25">
      <c r="C23" s="569" t="s">
        <v>730</v>
      </c>
      <c r="D23" s="570"/>
      <c r="E23" s="626">
        <v>0.28799999999999998</v>
      </c>
      <c r="G23" s="8"/>
      <c r="H23" s="12"/>
      <c r="I23" s="16"/>
      <c r="J23" s="16"/>
      <c r="K23" s="9"/>
    </row>
    <row r="24" spans="3:24" ht="21" customHeight="1" x14ac:dyDescent="0.25">
      <c r="G24" s="8"/>
      <c r="H24" s="12"/>
      <c r="I24" s="16"/>
      <c r="J24" s="16"/>
      <c r="K24" s="9"/>
    </row>
    <row r="25" spans="3:24" ht="21" customHeight="1" x14ac:dyDescent="0.25">
      <c r="H25" s="1"/>
      <c r="I25" s="2"/>
      <c r="J25" s="2"/>
      <c r="K25" s="9"/>
    </row>
    <row r="26" spans="3:24" ht="21" customHeight="1" x14ac:dyDescent="0.25">
      <c r="H26" s="1"/>
      <c r="I26" s="2"/>
      <c r="J26" s="2"/>
      <c r="K26" s="9"/>
    </row>
  </sheetData>
  <mergeCells count="10">
    <mergeCell ref="C17:E17"/>
    <mergeCell ref="P4:X4"/>
    <mergeCell ref="P5:P6"/>
    <mergeCell ref="Q5:R5"/>
    <mergeCell ref="S5:T5"/>
    <mergeCell ref="U5:V5"/>
    <mergeCell ref="W5:X5"/>
    <mergeCell ref="B4:N4"/>
    <mergeCell ref="B5:B6"/>
    <mergeCell ref="C5:F5"/>
  </mergeCells>
  <pageMargins left="0.7" right="0.7" top="0.75" bottom="0.75" header="0.3" footer="0.3"/>
  <pageSetup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FedEx Earnings Model</vt:lpstr>
      <vt:lpstr>Charts</vt:lpstr>
      <vt:lpstr>Guidance</vt:lpstr>
      <vt:lpstr>Std Dev &amp; Mean Return</vt:lpstr>
      <vt:lpstr>Forecast vs Actual (F3Q19)</vt:lpstr>
      <vt:lpstr>Consensus (Before F3Q19)</vt:lpstr>
      <vt:lpstr>Surprise</vt:lpstr>
      <vt:lpstr>Forecast vs Actual (F2Q19)</vt:lpstr>
      <vt:lpstr>Consensus (Before F2Q19)</vt:lpstr>
      <vt:lpstr>Forecast vs Actual (F1Q19)</vt:lpstr>
      <vt:lpstr>'FedEx Earnings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Admin</cp:lastModifiedBy>
  <cp:lastPrinted>2015-01-03T01:11:29Z</cp:lastPrinted>
  <dcterms:created xsi:type="dcterms:W3CDTF">2014-10-18T18:34:10Z</dcterms:created>
  <dcterms:modified xsi:type="dcterms:W3CDTF">2019-07-31T17:47:23Z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